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19425" windowHeight="104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06地块指标" sheetId="80"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Sheet3" sheetId="79" r:id="rId25"/>
    <sheet name="收益法"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8" i="12" l="1"/>
  <c r="N14" i="1"/>
  <c r="N9" i="1"/>
  <c r="J9" i="1"/>
  <c r="I9" i="1"/>
  <c r="H9" i="1"/>
  <c r="F21" i="6"/>
  <c r="F22" i="6"/>
  <c r="F20" i="6"/>
  <c r="F19" i="6"/>
  <c r="AN13" i="3"/>
  <c r="AT13" i="3"/>
  <c r="AH13" i="3"/>
  <c r="I13" i="3"/>
  <c r="A3" i="3"/>
  <c r="J67" i="77"/>
  <c r="I67" i="77"/>
  <c r="H67" i="77"/>
  <c r="G67" i="77"/>
  <c r="J66" i="77"/>
  <c r="I66" i="77"/>
  <c r="H66" i="77"/>
  <c r="G66" i="77"/>
  <c r="J65" i="77"/>
  <c r="I65" i="77"/>
  <c r="H65" i="77"/>
  <c r="G65" i="77"/>
  <c r="Q8" i="1"/>
  <c r="Q7" i="1"/>
  <c r="E71" i="39"/>
  <c r="F71" i="39" s="1"/>
  <c r="G71" i="39" s="1"/>
  <c r="H71" i="39" s="1"/>
  <c r="I71" i="39" s="1"/>
  <c r="J71" i="39" s="1"/>
  <c r="K71" i="39" s="1"/>
  <c r="L71" i="39" s="1"/>
  <c r="M71" i="39" s="1"/>
  <c r="D71" i="39"/>
  <c r="I46" i="39"/>
  <c r="G46" i="39"/>
  <c r="E46" i="39"/>
  <c r="I38" i="39"/>
  <c r="G38" i="39"/>
  <c r="E38" i="39"/>
  <c r="I7" i="39"/>
  <c r="G7" i="39"/>
  <c r="E7" i="39"/>
  <c r="I5" i="39"/>
  <c r="G5" i="39"/>
  <c r="E5" i="39"/>
  <c r="N8" i="1"/>
  <c r="N7" i="1"/>
  <c r="J8" i="1"/>
  <c r="J7" i="1"/>
  <c r="I8" i="1"/>
  <c r="I7" i="1"/>
  <c r="H8" i="1"/>
  <c r="H7" i="1"/>
  <c r="F68" i="77"/>
  <c r="F67" i="77"/>
  <c r="F66" i="77"/>
  <c r="F65" i="77"/>
  <c r="M62" i="77" l="1"/>
  <c r="L62" i="77"/>
  <c r="M5" i="77"/>
  <c r="M6" i="77"/>
  <c r="M7"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4" i="77"/>
  <c r="L5" i="77"/>
  <c r="L6" i="77"/>
  <c r="L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4" i="77"/>
  <c r="K62" i="77"/>
  <c r="J62" i="77"/>
  <c r="I62" i="77"/>
  <c r="H62" i="77"/>
  <c r="F62" i="77"/>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X10" i="71" s="1"/>
  <c r="AH9" i="71"/>
  <c r="AG9" i="71"/>
  <c r="AE9" i="71"/>
  <c r="AF9" i="71" s="1"/>
  <c r="AD9" i="71"/>
  <c r="Q9" i="71"/>
  <c r="P9" i="71"/>
  <c r="O9" i="71"/>
  <c r="N9" i="71"/>
  <c r="AH10" i="71"/>
  <c r="AG10" i="71"/>
  <c r="AE10" i="71"/>
  <c r="AF10" i="71"/>
  <c r="AD10" i="71"/>
  <c r="Q11" i="71"/>
  <c r="Q12" i="71"/>
  <c r="P11" i="71"/>
  <c r="P12" i="71"/>
  <c r="O11" i="71"/>
  <c r="O12" i="71"/>
  <c r="N11" i="71"/>
  <c r="X11" i="71" s="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c r="AD16" i="71"/>
  <c r="AD17" i="71"/>
  <c r="AG17" i="71"/>
  <c r="AH17" i="71"/>
  <c r="AE17" i="71"/>
  <c r="AF17" i="71" s="1"/>
  <c r="N17" i="71"/>
  <c r="Q17" i="71"/>
  <c r="P17" i="71"/>
  <c r="O17" i="71"/>
  <c r="C17" i="71" s="1"/>
  <c r="Q18" i="71"/>
  <c r="P18" i="71"/>
  <c r="E17" i="71"/>
  <c r="V17" i="71" s="1"/>
  <c r="E16" i="71"/>
  <c r="E15" i="71" s="1"/>
  <c r="O18" i="71"/>
  <c r="N18" i="71"/>
  <c r="B17" i="71"/>
  <c r="B16" i="71" s="1"/>
  <c r="A2" i="53"/>
  <c r="B19" i="72" s="1"/>
  <c r="K59" i="67"/>
  <c r="K59" i="15"/>
  <c r="P74" i="15"/>
  <c r="P61" i="15"/>
  <c r="D116" i="39"/>
  <c r="E116" i="39"/>
  <c r="F116" i="39"/>
  <c r="G116" i="39"/>
  <c r="H116" i="39"/>
  <c r="I116" i="39"/>
  <c r="J116" i="39"/>
  <c r="K116" i="39"/>
  <c r="L116" i="39"/>
  <c r="M116" i="39"/>
  <c r="C116" i="39"/>
  <c r="A21" i="62"/>
  <c r="A20" i="62"/>
  <c r="B66" i="72" s="1"/>
  <c r="A22" i="51"/>
  <c r="A21" i="51"/>
  <c r="B16" i="72" s="1"/>
  <c r="A20" i="51"/>
  <c r="A15" i="62"/>
  <c r="A14" i="62"/>
  <c r="B60" i="72" s="1"/>
  <c r="A13" i="62"/>
  <c r="B59" i="72" s="1"/>
  <c r="A19" i="62"/>
  <c r="A12" i="62"/>
  <c r="B58" i="72" s="1"/>
  <c r="A120" i="9"/>
  <c r="H2" i="52"/>
  <c r="A1" i="52"/>
  <c r="A3" i="53"/>
  <c r="Q19" i="71"/>
  <c r="P19" i="71"/>
  <c r="O19" i="71"/>
  <c r="N19"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0" i="43" s="1"/>
  <c r="AI12" i="43"/>
  <c r="AH9" i="43"/>
  <c r="AH12" i="43" s="1"/>
  <c r="AG9" i="43"/>
  <c r="AG10" i="43" s="1"/>
  <c r="AG12" i="43"/>
  <c r="AF9" i="43"/>
  <c r="AF12" i="43" s="1"/>
  <c r="AE9" i="43"/>
  <c r="AE12" i="43"/>
  <c r="AD9" i="43"/>
  <c r="AC9" i="43"/>
  <c r="AC12" i="43" s="1"/>
  <c r="AB9" i="43"/>
  <c r="AB12" i="43" s="1"/>
  <c r="AA9" i="43"/>
  <c r="AA10" i="43" s="1"/>
  <c r="AA12" i="43"/>
  <c r="Z9" i="43"/>
  <c r="Z12" i="43" s="1"/>
  <c r="AC10" i="43"/>
  <c r="AE10" i="43"/>
  <c r="Z10" i="43"/>
  <c r="AB10" i="43"/>
  <c r="AF10" i="43"/>
  <c r="AH10" i="43"/>
  <c r="AJ10" i="43"/>
  <c r="K49" i="9"/>
  <c r="E107" i="9"/>
  <c r="A122" i="9" s="1"/>
  <c r="A8" i="52" s="1"/>
  <c r="E111" i="9"/>
  <c r="A126" i="9"/>
  <c r="E109" i="9"/>
  <c r="A124" i="9"/>
  <c r="B44" i="72"/>
  <c r="B42" i="72"/>
  <c r="B69" i="72"/>
  <c r="B68" i="72"/>
  <c r="B63" i="72"/>
  <c r="B62" i="72"/>
  <c r="B65" i="72"/>
  <c r="B67" i="72"/>
  <c r="B10" i="72"/>
  <c r="C53" i="10"/>
  <c r="B51" i="10"/>
  <c r="A18" i="51"/>
  <c r="B13" i="72" s="1"/>
  <c r="B49" i="48"/>
  <c r="B5" i="72" s="1"/>
  <c r="I19" i="43"/>
  <c r="D82" i="71"/>
  <c r="F81" i="71"/>
  <c r="F80" i="71" s="1"/>
  <c r="F79" i="71" s="1"/>
  <c r="E81" i="71"/>
  <c r="E80" i="71" s="1"/>
  <c r="E79" i="71" s="1"/>
  <c r="C81" i="71"/>
  <c r="D81" i="71"/>
  <c r="B81" i="71"/>
  <c r="B80" i="71" s="1"/>
  <c r="B79" i="71" s="1"/>
  <c r="D78" i="71"/>
  <c r="F77" i="71"/>
  <c r="F76" i="71" s="1"/>
  <c r="E77" i="71"/>
  <c r="E76" i="71"/>
  <c r="E75" i="71" s="1"/>
  <c r="C77" i="71"/>
  <c r="B77" i="71"/>
  <c r="F75" i="71"/>
  <c r="B76" i="71"/>
  <c r="B75" i="71" s="1"/>
  <c r="D74" i="71"/>
  <c r="Q73" i="71"/>
  <c r="P73" i="71"/>
  <c r="O73" i="71"/>
  <c r="N73" i="71"/>
  <c r="F73" i="71"/>
  <c r="F72" i="71" s="1"/>
  <c r="F71" i="71" s="1"/>
  <c r="V73" i="7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s="1"/>
  <c r="E65" i="71"/>
  <c r="U65" i="71"/>
  <c r="C65" i="71"/>
  <c r="T65" i="71" s="1"/>
  <c r="B65" i="71"/>
  <c r="B64" i="71" s="1"/>
  <c r="B63" i="71" s="1"/>
  <c r="S65" i="71"/>
  <c r="Q64" i="71"/>
  <c r="P64" i="71"/>
  <c r="O64" i="71"/>
  <c r="N64" i="71"/>
  <c r="F64" i="71"/>
  <c r="F63" i="71" s="1"/>
  <c r="Q63" i="71"/>
  <c r="P63" i="71"/>
  <c r="O63" i="71"/>
  <c r="N63" i="71"/>
  <c r="Q62" i="71"/>
  <c r="P62" i="71"/>
  <c r="O62" i="71"/>
  <c r="N62" i="71"/>
  <c r="D62" i="71"/>
  <c r="F61" i="71"/>
  <c r="V61" i="71"/>
  <c r="E61" i="71"/>
  <c r="U61" i="71" s="1"/>
  <c r="P61" i="71"/>
  <c r="C61" i="71"/>
  <c r="B61" i="71"/>
  <c r="S61" i="71"/>
  <c r="F60" i="71"/>
  <c r="B60" i="71"/>
  <c r="D58" i="71"/>
  <c r="Q57" i="71"/>
  <c r="P57" i="71"/>
  <c r="O57" i="71"/>
  <c r="N57" i="71"/>
  <c r="Q56" i="71"/>
  <c r="P56" i="71"/>
  <c r="O56" i="71"/>
  <c r="N56" i="71"/>
  <c r="Q55" i="71"/>
  <c r="P55" i="71"/>
  <c r="O55" i="71"/>
  <c r="N55" i="71"/>
  <c r="Q54" i="71"/>
  <c r="F55" i="71"/>
  <c r="F56" i="71" s="1"/>
  <c r="F57" i="71" s="1"/>
  <c r="V57" i="71" s="1"/>
  <c r="P54" i="71"/>
  <c r="E55" i="71"/>
  <c r="O54" i="71"/>
  <c r="C55" i="71" s="1"/>
  <c r="N54" i="71"/>
  <c r="B55" i="71"/>
  <c r="B56" i="71"/>
  <c r="B57" i="71" s="1"/>
  <c r="S57" i="71" s="1"/>
  <c r="D54" i="71"/>
  <c r="Q53" i="71"/>
  <c r="P53" i="71"/>
  <c r="O53" i="71"/>
  <c r="N53" i="71"/>
  <c r="Q52" i="71"/>
  <c r="P52" i="71"/>
  <c r="O52" i="71"/>
  <c r="N52" i="71"/>
  <c r="Q51" i="71"/>
  <c r="P51" i="71"/>
  <c r="O51" i="71"/>
  <c r="N51" i="71"/>
  <c r="Q50" i="71"/>
  <c r="F51" i="71" s="1"/>
  <c r="F52" i="71" s="1"/>
  <c r="F53" i="71" s="1"/>
  <c r="V53" i="71" s="1"/>
  <c r="P50" i="71"/>
  <c r="E51" i="71"/>
  <c r="E52" i="71" s="1"/>
  <c r="O50" i="71"/>
  <c r="C51" i="71"/>
  <c r="N50" i="71"/>
  <c r="B51" i="71"/>
  <c r="B52" i="71" s="1"/>
  <c r="B53" i="71" s="1"/>
  <c r="S53" i="71" s="1"/>
  <c r="D50" i="71"/>
  <c r="Q49" i="71"/>
  <c r="P49" i="71"/>
  <c r="O49" i="71"/>
  <c r="N49" i="71"/>
  <c r="Q48" i="71"/>
  <c r="P48" i="71"/>
  <c r="O48" i="71"/>
  <c r="N48" i="71"/>
  <c r="Q47" i="71"/>
  <c r="F48" i="71" s="1"/>
  <c r="P47" i="71"/>
  <c r="O47" i="71"/>
  <c r="N47" i="71"/>
  <c r="Q46" i="71"/>
  <c r="F47" i="71" s="1"/>
  <c r="F49" i="71"/>
  <c r="V49" i="71" s="1"/>
  <c r="P46" i="71"/>
  <c r="E47" i="71"/>
  <c r="O46" i="71"/>
  <c r="C47" i="71" s="1"/>
  <c r="N46" i="71"/>
  <c r="B47" i="71" s="1"/>
  <c r="D46" i="71"/>
  <c r="Q45" i="71"/>
  <c r="P45" i="71"/>
  <c r="O45" i="71"/>
  <c r="N45" i="71"/>
  <c r="Q44" i="71"/>
  <c r="P44" i="71"/>
  <c r="O44" i="71"/>
  <c r="N44" i="71"/>
  <c r="Q43" i="71"/>
  <c r="P43" i="71"/>
  <c r="O43" i="71"/>
  <c r="N43" i="71"/>
  <c r="Q42" i="71"/>
  <c r="F43" i="71"/>
  <c r="P42" i="71"/>
  <c r="E43" i="71" s="1"/>
  <c r="E44" i="71"/>
  <c r="E45" i="71" s="1"/>
  <c r="U45" i="71" s="1"/>
  <c r="O42" i="71"/>
  <c r="C43" i="71"/>
  <c r="N42" i="71"/>
  <c r="B43" i="71"/>
  <c r="B44" i="71" s="1"/>
  <c r="B45" i="71"/>
  <c r="S45" i="7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c r="O38" i="71"/>
  <c r="C39" i="71"/>
  <c r="N38" i="71"/>
  <c r="B39" i="71"/>
  <c r="B40" i="71" s="1"/>
  <c r="B41" i="71"/>
  <c r="S41" i="71" s="1"/>
  <c r="D38" i="71"/>
  <c r="Q37" i="71"/>
  <c r="P37" i="71"/>
  <c r="O37" i="71"/>
  <c r="N37" i="71"/>
  <c r="Q36" i="71"/>
  <c r="P36" i="71"/>
  <c r="O36" i="71"/>
  <c r="N36" i="71"/>
  <c r="Q35" i="71"/>
  <c r="P35" i="71"/>
  <c r="O35" i="71"/>
  <c r="N35" i="71"/>
  <c r="F36" i="71"/>
  <c r="F37" i="71"/>
  <c r="V37" i="71" s="1"/>
  <c r="Q34" i="71"/>
  <c r="F35" i="71" s="1"/>
  <c r="P34" i="71"/>
  <c r="E35" i="71"/>
  <c r="O34" i="71"/>
  <c r="C35" i="71"/>
  <c r="N34" i="71"/>
  <c r="B35" i="71"/>
  <c r="B36" i="71"/>
  <c r="B37" i="71"/>
  <c r="S37" i="71" s="1"/>
  <c r="D34" i="71"/>
  <c r="Q33" i="71"/>
  <c r="P33" i="71"/>
  <c r="O33" i="71"/>
  <c r="N33" i="71"/>
  <c r="Q32" i="71"/>
  <c r="AB32" i="71" s="1"/>
  <c r="P32" i="71"/>
  <c r="AA32" i="71"/>
  <c r="O32" i="71"/>
  <c r="Y32" i="71"/>
  <c r="Z32" i="71" s="1"/>
  <c r="N32" i="71"/>
  <c r="Q31" i="71"/>
  <c r="P31" i="71"/>
  <c r="AA31" i="71" s="1"/>
  <c r="O31" i="71"/>
  <c r="N31" i="71"/>
  <c r="X31" i="71" s="1"/>
  <c r="F31" i="71"/>
  <c r="F32" i="71" s="1"/>
  <c r="F33" i="71" s="1"/>
  <c r="V33" i="71" s="1"/>
  <c r="Q30" i="71"/>
  <c r="P30" i="71"/>
  <c r="O30" i="71"/>
  <c r="N30" i="71"/>
  <c r="D30" i="71"/>
  <c r="Q29" i="71"/>
  <c r="AB29" i="71" s="1"/>
  <c r="P29" i="71"/>
  <c r="AA29" i="71" s="1"/>
  <c r="O29" i="71"/>
  <c r="N29" i="71"/>
  <c r="Q28" i="71"/>
  <c r="AB28" i="71" s="1"/>
  <c r="P28" i="71"/>
  <c r="O28" i="71"/>
  <c r="Y28" i="71"/>
  <c r="Z28" i="71" s="1"/>
  <c r="N28" i="71"/>
  <c r="Q27" i="71"/>
  <c r="P27" i="71"/>
  <c r="O27" i="71"/>
  <c r="Y27" i="71"/>
  <c r="Z27" i="71" s="1"/>
  <c r="N27" i="71"/>
  <c r="Q26" i="71"/>
  <c r="F27" i="71" s="1"/>
  <c r="P26" i="71"/>
  <c r="O26" i="71"/>
  <c r="N26" i="71"/>
  <c r="D26" i="71"/>
  <c r="Q25" i="71"/>
  <c r="AB25" i="71"/>
  <c r="P25" i="71"/>
  <c r="O25" i="71"/>
  <c r="N25" i="71"/>
  <c r="Q24" i="71"/>
  <c r="P24" i="71"/>
  <c r="O24" i="71"/>
  <c r="N24" i="71"/>
  <c r="Q23" i="71"/>
  <c r="P23" i="71"/>
  <c r="O23" i="71"/>
  <c r="N23" i="71"/>
  <c r="F23" i="71"/>
  <c r="F24" i="71" s="1"/>
  <c r="F25" i="71" s="1"/>
  <c r="V25" i="71" s="1"/>
  <c r="Q22" i="71"/>
  <c r="P22" i="71"/>
  <c r="O22" i="71"/>
  <c r="N22" i="71"/>
  <c r="X22" i="71" s="1"/>
  <c r="D22" i="71"/>
  <c r="O21" i="71"/>
  <c r="N21" i="71"/>
  <c r="B23" i="71"/>
  <c r="N61" i="71"/>
  <c r="E27" i="71"/>
  <c r="E28" i="71" s="1"/>
  <c r="E29" i="71"/>
  <c r="U29" i="71"/>
  <c r="C23" i="71"/>
  <c r="AA24" i="71"/>
  <c r="C31" i="71"/>
  <c r="C32" i="71" s="1"/>
  <c r="F44" i="71"/>
  <c r="F45" i="71" s="1"/>
  <c r="V45" i="71"/>
  <c r="B21" i="71"/>
  <c r="C24" i="71"/>
  <c r="D24" i="71" s="1"/>
  <c r="D23" i="71"/>
  <c r="D31" i="71"/>
  <c r="C40" i="71"/>
  <c r="D40" i="71"/>
  <c r="D39" i="71"/>
  <c r="P21" i="71"/>
  <c r="E48" i="71"/>
  <c r="E49" i="71"/>
  <c r="U49" i="71" s="1"/>
  <c r="E53" i="71"/>
  <c r="U53" i="71" s="1"/>
  <c r="E60" i="71"/>
  <c r="Q21" i="71"/>
  <c r="C52" i="71"/>
  <c r="D51" i="71"/>
  <c r="C56" i="71"/>
  <c r="D55" i="71"/>
  <c r="N60" i="71"/>
  <c r="B59" i="71"/>
  <c r="N59" i="71" s="1"/>
  <c r="T61" i="71"/>
  <c r="O61" i="71"/>
  <c r="D61" i="71"/>
  <c r="C60" i="71"/>
  <c r="Q61" i="71"/>
  <c r="C64" i="71"/>
  <c r="E64" i="71"/>
  <c r="E63" i="71" s="1"/>
  <c r="D65" i="71"/>
  <c r="C68" i="71"/>
  <c r="C67" i="71" s="1"/>
  <c r="D67" i="71" s="1"/>
  <c r="E68" i="71"/>
  <c r="E67" i="71" s="1"/>
  <c r="D69" i="71"/>
  <c r="C72" i="71"/>
  <c r="C71" i="71" s="1"/>
  <c r="D71" i="71" s="1"/>
  <c r="E72" i="71"/>
  <c r="E71" i="71" s="1"/>
  <c r="D73" i="71"/>
  <c r="C80" i="71"/>
  <c r="F21" i="71"/>
  <c r="E21" i="71"/>
  <c r="V21" i="71" s="1"/>
  <c r="E20" i="71"/>
  <c r="E19" i="71"/>
  <c r="AA19" i="71"/>
  <c r="C59" i="71"/>
  <c r="C57" i="71"/>
  <c r="D56" i="71"/>
  <c r="D68" i="71"/>
  <c r="N58" i="71"/>
  <c r="D72" i="71"/>
  <c r="D64" i="71"/>
  <c r="C63" i="71"/>
  <c r="D63" i="71" s="1"/>
  <c r="C53" i="71"/>
  <c r="D52" i="71"/>
  <c r="P60" i="71"/>
  <c r="E59" i="71"/>
  <c r="P58" i="71" s="1"/>
  <c r="C25" i="71"/>
  <c r="D25" i="71" s="1"/>
  <c r="P59" i="71"/>
  <c r="T25" i="71"/>
  <c r="T53" i="71"/>
  <c r="D53" i="71"/>
  <c r="O27" i="6"/>
  <c r="N27" i="6"/>
  <c r="P20" i="6"/>
  <c r="P21" i="6"/>
  <c r="P22" i="6"/>
  <c r="P23" i="6"/>
  <c r="P24" i="6"/>
  <c r="P25" i="6"/>
  <c r="P26" i="6"/>
  <c r="P19" i="6"/>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c r="F25" i="40"/>
  <c r="Q29" i="39"/>
  <c r="Z29" i="39" s="1"/>
  <c r="D103" i="39"/>
  <c r="E103" i="39" s="1"/>
  <c r="F29" i="39"/>
  <c r="AA29" i="39"/>
  <c r="Q18" i="36"/>
  <c r="Z18" i="36" s="1"/>
  <c r="D66" i="36"/>
  <c r="E66" i="36" s="1"/>
  <c r="F66" i="36"/>
  <c r="H18" i="36"/>
  <c r="AB18" i="36"/>
  <c r="F18" i="36"/>
  <c r="AA18" i="36"/>
  <c r="C18" i="36"/>
  <c r="Q18" i="35"/>
  <c r="Z18" i="35" s="1"/>
  <c r="D68" i="35"/>
  <c r="E68" i="35" s="1"/>
  <c r="F68" i="35" s="1"/>
  <c r="F18" i="35"/>
  <c r="AA18" i="35" s="1"/>
  <c r="C18" i="35"/>
  <c r="Q21" i="37"/>
  <c r="Z21" i="37" s="1"/>
  <c r="D77" i="37"/>
  <c r="E77" i="37" s="1"/>
  <c r="F77" i="37" s="1"/>
  <c r="G77" i="37" s="1"/>
  <c r="C21" i="37"/>
  <c r="Q21" i="34"/>
  <c r="Z21" i="34" s="1"/>
  <c r="D84" i="34"/>
  <c r="E84" i="34" s="1"/>
  <c r="F21" i="34"/>
  <c r="AA21" i="34"/>
  <c r="C21" i="34"/>
  <c r="Q21" i="33"/>
  <c r="Z21" i="33" s="1"/>
  <c r="D83" i="33"/>
  <c r="E83" i="33"/>
  <c r="C21" i="33"/>
  <c r="C21" i="21"/>
  <c r="Q21" i="21"/>
  <c r="Z21" i="21"/>
  <c r="H19" i="21"/>
  <c r="D83" i="21"/>
  <c r="F21" i="21"/>
  <c r="AA21" i="21" s="1"/>
  <c r="D81" i="21"/>
  <c r="G20" i="20"/>
  <c r="B86" i="43"/>
  <c r="C22" i="20"/>
  <c r="B66" i="43"/>
  <c r="C25" i="40"/>
  <c r="S29" i="39"/>
  <c r="S18" i="36"/>
  <c r="U18" i="36"/>
  <c r="S21" i="34"/>
  <c r="F94" i="40"/>
  <c r="G94" i="40" s="1"/>
  <c r="H25" i="40"/>
  <c r="AB25" i="40" s="1"/>
  <c r="J25" i="40"/>
  <c r="AC25" i="40" s="1"/>
  <c r="F103" i="39"/>
  <c r="G103" i="39" s="1"/>
  <c r="H29" i="39"/>
  <c r="J29" i="39"/>
  <c r="G66" i="36"/>
  <c r="J18" i="36"/>
  <c r="H18" i="35"/>
  <c r="AB18" i="35" s="1"/>
  <c r="S18" i="35"/>
  <c r="G68" i="35"/>
  <c r="J18" i="35"/>
  <c r="H21" i="37"/>
  <c r="AB21" i="37" s="1"/>
  <c r="F21" i="37"/>
  <c r="F84" i="34"/>
  <c r="H21" i="34"/>
  <c r="F83" i="33"/>
  <c r="G83" i="33" s="1"/>
  <c r="H21" i="33"/>
  <c r="F21" i="33"/>
  <c r="E83" i="21"/>
  <c r="S21" i="21"/>
  <c r="H1" i="69"/>
  <c r="W25" i="40"/>
  <c r="U25" i="40"/>
  <c r="AC29" i="39"/>
  <c r="W29" i="39"/>
  <c r="U21" i="37"/>
  <c r="AB21" i="34"/>
  <c r="U21" i="34"/>
  <c r="AA21" i="33"/>
  <c r="S21" i="33"/>
  <c r="U18" i="35"/>
  <c r="AC18" i="35"/>
  <c r="W18" i="35"/>
  <c r="J21" i="37"/>
  <c r="G84" i="34"/>
  <c r="J21" i="34"/>
  <c r="J21" i="33"/>
  <c r="F83" i="21"/>
  <c r="H21" i="21"/>
  <c r="F38" i="69"/>
  <c r="E37" i="69"/>
  <c r="F36" i="69"/>
  <c r="F35" i="69"/>
  <c r="F21" i="69"/>
  <c r="F40" i="69" s="1"/>
  <c r="F20" i="69"/>
  <c r="F39" i="69" s="1"/>
  <c r="E10" i="69"/>
  <c r="E9" i="69"/>
  <c r="C7" i="69"/>
  <c r="AC21" i="37"/>
  <c r="W21" i="37"/>
  <c r="AC21" i="33"/>
  <c r="W21" i="33"/>
  <c r="G83" i="21"/>
  <c r="J21" i="2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s="1"/>
  <c r="E99" i="43"/>
  <c r="E100" i="43" s="1"/>
  <c r="E108" i="43"/>
  <c r="F99" i="43"/>
  <c r="F108" i="43" s="1"/>
  <c r="G99" i="43"/>
  <c r="G108" i="43"/>
  <c r="H99" i="43"/>
  <c r="H108" i="43" s="1"/>
  <c r="I99" i="43"/>
  <c r="I108" i="43"/>
  <c r="J99" i="43"/>
  <c r="J108" i="43" s="1"/>
  <c r="K99" i="43"/>
  <c r="K108" i="43"/>
  <c r="L99" i="43"/>
  <c r="L108" i="43" s="1"/>
  <c r="M99" i="43"/>
  <c r="M100" i="43" s="1"/>
  <c r="M108" i="43"/>
  <c r="C99" i="43"/>
  <c r="C108" i="43" s="1"/>
  <c r="N100" i="43"/>
  <c r="D100" i="43"/>
  <c r="L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s="1"/>
  <c r="D55" i="43"/>
  <c r="M54" i="43"/>
  <c r="N54" i="43" s="1"/>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c r="I12" i="31" s="1"/>
  <c r="J12" i="31" s="1"/>
  <c r="K12" i="31" s="1"/>
  <c r="L12" i="31" s="1"/>
  <c r="M12" i="31" s="1"/>
  <c r="N12" i="31" s="1"/>
  <c r="O12" i="31" s="1"/>
  <c r="P12" i="31"/>
  <c r="Q12" i="31" s="1"/>
  <c r="R12" i="31" s="1"/>
  <c r="S12" i="31" s="1"/>
  <c r="D10" i="31"/>
  <c r="E10" i="31" s="1"/>
  <c r="F10" i="31" s="1"/>
  <c r="G10" i="31" s="1"/>
  <c r="H10" i="31"/>
  <c r="I10" i="31" s="1"/>
  <c r="J10" i="31" s="1"/>
  <c r="K10" i="31" s="1"/>
  <c r="L10" i="31" s="1"/>
  <c r="M10" i="31" s="1"/>
  <c r="N10" i="31" s="1"/>
  <c r="O10" i="31" s="1"/>
  <c r="P10" i="3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K7" i="1" s="1"/>
  <c r="M7" i="1" s="1"/>
  <c r="A8" i="1"/>
  <c r="B8" i="1" s="1"/>
  <c r="E8" i="1" s="1"/>
  <c r="A9" i="1"/>
  <c r="A10" i="1"/>
  <c r="A11" i="1"/>
  <c r="A12" i="1"/>
  <c r="A13" i="1"/>
  <c r="K13" i="1" s="1"/>
  <c r="M13" i="1" s="1"/>
  <c r="O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Z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A97" i="3" s="1"/>
  <c r="BB97" i="3"/>
  <c r="AX97" i="3"/>
  <c r="AW97" i="3"/>
  <c r="AV97" i="3"/>
  <c r="AC97" i="3"/>
  <c r="H97" i="3"/>
  <c r="G97" i="3" s="1"/>
  <c r="BT96" i="3"/>
  <c r="BS96" i="3"/>
  <c r="BR96" i="3"/>
  <c r="BQ96" i="3"/>
  <c r="BP96" i="3"/>
  <c r="BO96" i="3"/>
  <c r="BN96" i="3"/>
  <c r="BM96" i="3"/>
  <c r="BK96" i="3"/>
  <c r="BJ96" i="3"/>
  <c r="BI96" i="3"/>
  <c r="BH96" i="3"/>
  <c r="BG96" i="3"/>
  <c r="BF96" i="3"/>
  <c r="BE96" i="3"/>
  <c r="BD96" i="3"/>
  <c r="BC96" i="3"/>
  <c r="BA96" i="3" s="1"/>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A82" i="3" s="1"/>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BC62" i="3"/>
  <c r="BB62" i="3"/>
  <c r="AZ62" i="3"/>
  <c r="AX62" i="3"/>
  <c r="AW62" i="3"/>
  <c r="AV62" i="3"/>
  <c r="AC62" i="3"/>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BC36" i="3"/>
  <c r="BB36" i="3"/>
  <c r="AZ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BT283" i="3"/>
  <c r="BS283" i="3"/>
  <c r="BR283" i="3"/>
  <c r="BQ283" i="3"/>
  <c r="BP283" i="3"/>
  <c r="BO283" i="3"/>
  <c r="BL283" i="3" s="1"/>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L260" i="3" s="1"/>
  <c r="AZ260" i="3" s="1"/>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A258" i="3" s="1"/>
  <c r="AZ258" i="3" s="1"/>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L255" i="3" s="1"/>
  <c r="AZ255" i="3" s="1"/>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L212" i="3" s="1"/>
  <c r="AZ212" i="3" s="1"/>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AZ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AZ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AZ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AZ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c r="C58" i="40"/>
  <c r="H57" i="40"/>
  <c r="I57" i="40" s="1"/>
  <c r="C57" i="40" s="1"/>
  <c r="H56" i="40"/>
  <c r="I56" i="40" s="1"/>
  <c r="C56" i="40" s="1"/>
  <c r="H55" i="40"/>
  <c r="I55" i="40"/>
  <c r="C55" i="40" s="1"/>
  <c r="H54" i="40"/>
  <c r="I54" i="40"/>
  <c r="C54" i="40"/>
  <c r="H53" i="40"/>
  <c r="I53" i="40" s="1"/>
  <c r="C53" i="40" s="1"/>
  <c r="H52" i="40"/>
  <c r="I52" i="40" s="1"/>
  <c r="C52" i="40" s="1"/>
  <c r="H65" i="39"/>
  <c r="I65" i="39"/>
  <c r="C65" i="39" s="1"/>
  <c r="H64" i="39"/>
  <c r="I64" i="39"/>
  <c r="C64" i="39"/>
  <c r="H60" i="39"/>
  <c r="I60" i="39" s="1"/>
  <c r="C60" i="39" s="1"/>
  <c r="H59" i="39"/>
  <c r="I59" i="39" s="1"/>
  <c r="C59" i="39" s="1"/>
  <c r="H58" i="39"/>
  <c r="I58" i="39"/>
  <c r="C58" i="39" s="1"/>
  <c r="H57" i="39"/>
  <c r="I57" i="39"/>
  <c r="C57" i="39"/>
  <c r="H61" i="39"/>
  <c r="I61" i="39" s="1"/>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c r="R264" i="31"/>
  <c r="R265" i="31"/>
  <c r="S265" i="31"/>
  <c r="R266" i="31"/>
  <c r="R267" i="31"/>
  <c r="S267" i="31" s="1"/>
  <c r="R268" i="31"/>
  <c r="R269" i="31"/>
  <c r="S269" i="31" s="1"/>
  <c r="R270" i="31"/>
  <c r="R271" i="31"/>
  <c r="S271" i="31"/>
  <c r="R272" i="31"/>
  <c r="R273" i="31"/>
  <c r="S273" i="31"/>
  <c r="R274" i="31"/>
  <c r="R275" i="31"/>
  <c r="S275" i="31" s="1"/>
  <c r="R276" i="31"/>
  <c r="R277" i="31"/>
  <c r="S277" i="31" s="1"/>
  <c r="R278" i="31"/>
  <c r="R279" i="31"/>
  <c r="S279" i="31"/>
  <c r="R280" i="31"/>
  <c r="R281" i="31"/>
  <c r="S281" i="31"/>
  <c r="R282" i="31"/>
  <c r="R283" i="31"/>
  <c r="S283" i="31" s="1"/>
  <c r="R284" i="31"/>
  <c r="R285" i="31"/>
  <c r="S285" i="31" s="1"/>
  <c r="R286" i="31"/>
  <c r="R287" i="31"/>
  <c r="S287" i="31"/>
  <c r="R288" i="31"/>
  <c r="R289" i="31"/>
  <c r="S289" i="31"/>
  <c r="R290" i="31"/>
  <c r="R291" i="31"/>
  <c r="S291" i="31" s="1"/>
  <c r="R292" i="31"/>
  <c r="R293" i="31"/>
  <c r="S293" i="31" s="1"/>
  <c r="R294" i="31"/>
  <c r="R295" i="31"/>
  <c r="S295" i="31"/>
  <c r="R296" i="31"/>
  <c r="R297" i="31"/>
  <c r="S297" i="31"/>
  <c r="R298" i="31"/>
  <c r="R299" i="31"/>
  <c r="S299" i="31" s="1"/>
  <c r="R300" i="31"/>
  <c r="R301" i="31"/>
  <c r="S301" i="31" s="1"/>
  <c r="R302" i="31"/>
  <c r="R303" i="31"/>
  <c r="S303" i="31"/>
  <c r="R304" i="31"/>
  <c r="R305" i="31"/>
  <c r="S305" i="31"/>
  <c r="R306" i="31"/>
  <c r="R307" i="31"/>
  <c r="S307" i="31" s="1"/>
  <c r="R308" i="31"/>
  <c r="R309" i="31"/>
  <c r="S309" i="31" s="1"/>
  <c r="R310" i="31"/>
  <c r="R311" i="31"/>
  <c r="S311" i="31"/>
  <c r="R312" i="31"/>
  <c r="R313" i="31"/>
  <c r="S313" i="31"/>
  <c r="R314" i="31"/>
  <c r="R315" i="31"/>
  <c r="S315" i="31" s="1"/>
  <c r="R316" i="31"/>
  <c r="R317" i="31"/>
  <c r="S317" i="31" s="1"/>
  <c r="R318" i="31"/>
  <c r="R319" i="31"/>
  <c r="S319" i="31"/>
  <c r="R320" i="31"/>
  <c r="R321" i="31"/>
  <c r="S321" i="31"/>
  <c r="R322" i="31"/>
  <c r="R323" i="31"/>
  <c r="S323" i="31" s="1"/>
  <c r="R324" i="31"/>
  <c r="R325" i="31"/>
  <c r="S325" i="31" s="1"/>
  <c r="R326" i="31"/>
  <c r="R327" i="31"/>
  <c r="S327" i="31"/>
  <c r="R328" i="31"/>
  <c r="R329" i="31"/>
  <c r="S329" i="31"/>
  <c r="R330" i="31"/>
  <c r="R331" i="31"/>
  <c r="S331" i="31" s="1"/>
  <c r="R332" i="31"/>
  <c r="R333" i="31"/>
  <c r="S333" i="31" s="1"/>
  <c r="R334" i="31"/>
  <c r="R335" i="31"/>
  <c r="S335" i="31"/>
  <c r="R336" i="31"/>
  <c r="R337" i="31"/>
  <c r="S337" i="31"/>
  <c r="R338" i="31"/>
  <c r="R339" i="31"/>
  <c r="S339" i="31" s="1"/>
  <c r="R340" i="31"/>
  <c r="R341" i="31"/>
  <c r="S341" i="31" s="1"/>
  <c r="R342" i="31"/>
  <c r="R343" i="31"/>
  <c r="S343" i="31"/>
  <c r="R344" i="31"/>
  <c r="R345" i="31"/>
  <c r="S345" i="31"/>
  <c r="R346" i="31"/>
  <c r="R347" i="31"/>
  <c r="S347" i="31" s="1"/>
  <c r="R348" i="31"/>
  <c r="R349" i="31"/>
  <c r="S349" i="31" s="1"/>
  <c r="R350" i="31"/>
  <c r="R351" i="31"/>
  <c r="S351" i="31"/>
  <c r="R352" i="31"/>
  <c r="R353" i="31"/>
  <c r="S353" i="31"/>
  <c r="R354" i="31"/>
  <c r="R355" i="31"/>
  <c r="S355" i="31" s="1"/>
  <c r="R356" i="31"/>
  <c r="R357" i="31"/>
  <c r="S357" i="31" s="1"/>
  <c r="R358" i="31"/>
  <c r="R359" i="31"/>
  <c r="S359" i="31"/>
  <c r="R360" i="31"/>
  <c r="R361" i="31"/>
  <c r="S361" i="31"/>
  <c r="R362" i="31"/>
  <c r="R363" i="31"/>
  <c r="S363" i="31" s="1"/>
  <c r="R364" i="31"/>
  <c r="R365" i="31"/>
  <c r="S365" i="31" s="1"/>
  <c r="R366" i="31"/>
  <c r="R367" i="31"/>
  <c r="S367" i="31"/>
  <c r="R368" i="31"/>
  <c r="R369" i="31"/>
  <c r="S369" i="31"/>
  <c r="R370" i="31"/>
  <c r="R371" i="31"/>
  <c r="S371" i="31" s="1"/>
  <c r="R372" i="31"/>
  <c r="R373" i="31"/>
  <c r="S373" i="31" s="1"/>
  <c r="R374" i="31"/>
  <c r="R375" i="31"/>
  <c r="S375" i="31"/>
  <c r="R376" i="31"/>
  <c r="R377" i="31"/>
  <c r="S377" i="31"/>
  <c r="R378" i="31"/>
  <c r="R379" i="31"/>
  <c r="S379" i="31" s="1"/>
  <c r="R380" i="31"/>
  <c r="R381" i="31"/>
  <c r="S381" i="31" s="1"/>
  <c r="R382" i="31"/>
  <c r="R383" i="31"/>
  <c r="S383" i="31"/>
  <c r="R384" i="31"/>
  <c r="R385" i="31"/>
  <c r="S385" i="31"/>
  <c r="R386" i="31"/>
  <c r="R387" i="31"/>
  <c r="S387" i="31"/>
  <c r="R388" i="31"/>
  <c r="R389" i="31"/>
  <c r="S389" i="31" s="1"/>
  <c r="R390" i="31"/>
  <c r="R391" i="31"/>
  <c r="S391" i="31"/>
  <c r="R392" i="31"/>
  <c r="R393" i="31"/>
  <c r="S393" i="31"/>
  <c r="R394" i="31"/>
  <c r="R395" i="31"/>
  <c r="S395" i="31"/>
  <c r="R396" i="31"/>
  <c r="R397" i="31"/>
  <c r="S397" i="31" s="1"/>
  <c r="R398" i="31"/>
  <c r="R399" i="31"/>
  <c r="S399" i="31"/>
  <c r="R400" i="31"/>
  <c r="R401" i="31"/>
  <c r="S401" i="31"/>
  <c r="R402" i="31"/>
  <c r="R403" i="31"/>
  <c r="S403" i="31" s="1"/>
  <c r="R404" i="31"/>
  <c r="R405" i="31"/>
  <c r="S405" i="31" s="1"/>
  <c r="R406" i="31"/>
  <c r="R407" i="31"/>
  <c r="S407" i="31"/>
  <c r="R408" i="31"/>
  <c r="R409" i="31"/>
  <c r="S409" i="31"/>
  <c r="R410" i="31"/>
  <c r="R411" i="31"/>
  <c r="S411" i="31" s="1"/>
  <c r="R412" i="31"/>
  <c r="R413" i="31"/>
  <c r="S413" i="31" s="1"/>
  <c r="R414" i="31"/>
  <c r="R415" i="31"/>
  <c r="S415" i="3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5" i="3" s="1"/>
  <c r="BO14" i="3"/>
  <c r="BO15" i="3"/>
  <c r="BO16" i="3"/>
  <c r="BO17" i="3"/>
  <c r="BN13" i="3"/>
  <c r="BN5" i="3" s="1"/>
  <c r="BN14" i="3"/>
  <c r="BN15" i="3"/>
  <c r="BL15" i="3" s="1"/>
  <c r="BN16" i="3"/>
  <c r="BN17" i="3"/>
  <c r="BP13" i="3"/>
  <c r="BP14" i="3"/>
  <c r="BP15" i="3"/>
  <c r="BP16" i="3"/>
  <c r="BP17" i="3"/>
  <c r="E19" i="6"/>
  <c r="C7" i="12" s="1"/>
  <c r="C8" i="12" s="1"/>
  <c r="E20" i="6"/>
  <c r="E21" i="6"/>
  <c r="F23" i="15"/>
  <c r="D24" i="15"/>
  <c r="E22" i="6"/>
  <c r="K9" i="1" s="1"/>
  <c r="M9" i="1" s="1"/>
  <c r="O9" i="1" s="1"/>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I4" i="6" s="1"/>
  <c r="G3" i="43" s="1"/>
  <c r="K10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C94"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c r="G53" i="39"/>
  <c r="H53" i="39" s="1"/>
  <c r="E53" i="39"/>
  <c r="F53" i="39" s="1"/>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G5" i="3" s="1"/>
  <c r="BH556" i="3"/>
  <c r="BI556" i="3"/>
  <c r="BJ556" i="3"/>
  <c r="BK556" i="3"/>
  <c r="BK5" i="3" s="1"/>
  <c r="BM556" i="3"/>
  <c r="BN556" i="3"/>
  <c r="BO556" i="3"/>
  <c r="BP556" i="3"/>
  <c r="BL556" i="3" s="1"/>
  <c r="BQ556" i="3"/>
  <c r="BR556" i="3"/>
  <c r="BS556" i="3"/>
  <c r="BT556" i="3"/>
  <c r="BT5" i="3" s="1"/>
  <c r="H557" i="3"/>
  <c r="BB557" i="3"/>
  <c r="BC557" i="3"/>
  <c r="BD557" i="3"/>
  <c r="BE557" i="3"/>
  <c r="BF557" i="3"/>
  <c r="BG557" i="3"/>
  <c r="BH557" i="3"/>
  <c r="BH5" i="3" s="1"/>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H31" i="35"/>
  <c r="F31" i="35"/>
  <c r="D87" i="35"/>
  <c r="E87" i="35" s="1"/>
  <c r="F87" i="35"/>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S515" i="31"/>
  <c r="S516" i="31"/>
  <c r="S517" i="31"/>
  <c r="S518" i="31"/>
  <c r="S519" i="31"/>
  <c r="S520" i="31"/>
  <c r="S521" i="31"/>
  <c r="S522" i="31"/>
  <c r="S523" i="31"/>
  <c r="S524" i="31"/>
  <c r="F41" i="21"/>
  <c r="S41" i="21" s="1"/>
  <c r="J41" i="21"/>
  <c r="AC41" i="21" s="1"/>
  <c r="H41" i="21"/>
  <c r="U41" i="2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s="1"/>
  <c r="G113" i="40" s="1"/>
  <c r="H113" i="40"/>
  <c r="I113" i="40" s="1"/>
  <c r="J113" i="40" s="1"/>
  <c r="K113" i="40" s="1"/>
  <c r="L113" i="40" s="1"/>
  <c r="M113" i="40" s="1"/>
  <c r="D111" i="40"/>
  <c r="E111" i="40"/>
  <c r="M107" i="40"/>
  <c r="L107" i="40"/>
  <c r="K107" i="40"/>
  <c r="J107" i="40"/>
  <c r="H107" i="40"/>
  <c r="G107" i="40"/>
  <c r="F107" i="40"/>
  <c r="E107" i="40"/>
  <c r="D107" i="40"/>
  <c r="C107" i="40"/>
  <c r="B105" i="40"/>
  <c r="F33" i="40" s="1"/>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s="1"/>
  <c r="D96" i="40"/>
  <c r="E96" i="40" s="1"/>
  <c r="F96" i="40"/>
  <c r="G96" i="40"/>
  <c r="H96" i="40" s="1"/>
  <c r="I96" i="40" s="1"/>
  <c r="J96" i="40" s="1"/>
  <c r="K96" i="40" s="1"/>
  <c r="L96" i="40" s="1"/>
  <c r="M96" i="40" s="1"/>
  <c r="B95" i="40"/>
  <c r="D92" i="40"/>
  <c r="E92" i="40"/>
  <c r="F92" i="40" s="1"/>
  <c r="G92" i="40"/>
  <c r="D90" i="40"/>
  <c r="E90" i="40" s="1"/>
  <c r="F90" i="40" s="1"/>
  <c r="G90" i="40"/>
  <c r="D88" i="40"/>
  <c r="E88" i="40" s="1"/>
  <c r="D86" i="40"/>
  <c r="E86" i="40"/>
  <c r="F86" i="40"/>
  <c r="G86" i="40" s="1"/>
  <c r="D84" i="40"/>
  <c r="E84" i="40"/>
  <c r="F84" i="40"/>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H39" i="40"/>
  <c r="Q38" i="40"/>
  <c r="Z38" i="40" s="1"/>
  <c r="J38" i="40"/>
  <c r="AC38" i="40" s="1"/>
  <c r="H38" i="40"/>
  <c r="Q37" i="40"/>
  <c r="Z37" i="40" s="1"/>
  <c r="Q36" i="40"/>
  <c r="Z36" i="40"/>
  <c r="Q35" i="40"/>
  <c r="Z35" i="40" s="1"/>
  <c r="Q34" i="40"/>
  <c r="Z34" i="40" s="1"/>
  <c r="J34" i="40"/>
  <c r="AC34" i="40" s="1"/>
  <c r="H34" i="40"/>
  <c r="F34" i="40"/>
  <c r="AA34" i="40" s="1"/>
  <c r="Q33" i="40"/>
  <c r="Z33" i="40"/>
  <c r="Q32" i="40"/>
  <c r="Z32" i="40" s="1"/>
  <c r="Q31" i="40"/>
  <c r="Z31" i="40"/>
  <c r="Q30" i="40"/>
  <c r="Z30" i="40" s="1"/>
  <c r="Q28" i="40"/>
  <c r="Z28" i="40" s="1"/>
  <c r="Q27" i="40"/>
  <c r="Z27" i="40" s="1"/>
  <c r="Q23" i="40"/>
  <c r="Z23" i="40" s="1"/>
  <c r="Q21" i="40"/>
  <c r="Z21" i="40" s="1"/>
  <c r="Q19" i="40"/>
  <c r="Z19" i="40" s="1"/>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c r="G120" i="39"/>
  <c r="H120" i="39" s="1"/>
  <c r="I120" i="39" s="1"/>
  <c r="J120" i="39" s="1"/>
  <c r="K120" i="39"/>
  <c r="L120" i="39"/>
  <c r="M120" i="39" s="1"/>
  <c r="B114" i="39"/>
  <c r="J37" i="39" s="1"/>
  <c r="D109" i="39"/>
  <c r="E109" i="39" s="1"/>
  <c r="F109" i="39" s="1"/>
  <c r="G109" i="39" s="1"/>
  <c r="F34" i="39"/>
  <c r="AA34" i="39"/>
  <c r="D107" i="39"/>
  <c r="E107" i="39"/>
  <c r="D105" i="39"/>
  <c r="E105" i="39"/>
  <c r="F105" i="39" s="1"/>
  <c r="G105" i="39" s="1"/>
  <c r="H105" i="39" s="1"/>
  <c r="I105" i="39" s="1"/>
  <c r="J105" i="39" s="1"/>
  <c r="K105" i="39" s="1"/>
  <c r="L105" i="39" s="1"/>
  <c r="M105" i="39" s="1"/>
  <c r="D101" i="39"/>
  <c r="E101" i="39" s="1"/>
  <c r="F101" i="39" s="1"/>
  <c r="G101" i="39" s="1"/>
  <c r="D99" i="39"/>
  <c r="E99" i="39" s="1"/>
  <c r="F99" i="39" s="1"/>
  <c r="G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c r="F126" i="39" s="1"/>
  <c r="G126" i="39" s="1"/>
  <c r="H126" i="39" s="1"/>
  <c r="I126" i="39"/>
  <c r="J126" i="39" s="1"/>
  <c r="K126" i="39" s="1"/>
  <c r="L126" i="39" s="1"/>
  <c r="M126" i="39" s="1"/>
  <c r="D122" i="39"/>
  <c r="E122" i="39" s="1"/>
  <c r="F122" i="39"/>
  <c r="G122" i="39" s="1"/>
  <c r="H122" i="39" s="1"/>
  <c r="I122" i="39" s="1"/>
  <c r="J122" i="39"/>
  <c r="K122" i="39" s="1"/>
  <c r="L122" i="39" s="1"/>
  <c r="M122" i="39" s="1"/>
  <c r="B104" i="39"/>
  <c r="D97" i="39"/>
  <c r="J23" i="39"/>
  <c r="AC23" i="39"/>
  <c r="D95" i="39"/>
  <c r="E95" i="39" s="1"/>
  <c r="F95" i="39" s="1"/>
  <c r="D93" i="39"/>
  <c r="E93" i="39"/>
  <c r="F93" i="39" s="1"/>
  <c r="G93" i="39"/>
  <c r="D91" i="39"/>
  <c r="E91" i="39" s="1"/>
  <c r="F91" i="39" s="1"/>
  <c r="G91" i="39"/>
  <c r="D89" i="39"/>
  <c r="E89" i="39" s="1"/>
  <c r="F89" i="39" s="1"/>
  <c r="G89" i="39" s="1"/>
  <c r="B86" i="39"/>
  <c r="B84" i="39"/>
  <c r="J13" i="39" s="1"/>
  <c r="W13" i="39" s="1"/>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c r="Q29" i="37"/>
  <c r="Z29" i="37" s="1"/>
  <c r="H29" i="37"/>
  <c r="AB29" i="37"/>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c r="Q13" i="37"/>
  <c r="Z13" i="37" s="1"/>
  <c r="Q12" i="37"/>
  <c r="Z12" i="37"/>
  <c r="Q11" i="37"/>
  <c r="Z11" i="37" s="1"/>
  <c r="Q10" i="37"/>
  <c r="Z10" i="37" s="1"/>
  <c r="F10" i="37"/>
  <c r="Q9" i="37"/>
  <c r="Z9" i="37" s="1"/>
  <c r="J8" i="37"/>
  <c r="W8" i="37" s="1"/>
  <c r="H8" i="37"/>
  <c r="AB8" i="37" s="1"/>
  <c r="F8" i="37"/>
  <c r="S8" i="37" s="1"/>
  <c r="J31" i="36"/>
  <c r="H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F54" i="36"/>
  <c r="G54" i="36" s="1"/>
  <c r="H54" i="36"/>
  <c r="I54" i="36" s="1"/>
  <c r="C51" i="36"/>
  <c r="J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c r="H12" i="36"/>
  <c r="U12" i="36" s="1"/>
  <c r="Q11" i="36"/>
  <c r="Z11" i="36" s="1"/>
  <c r="Q10" i="36"/>
  <c r="Z10" i="36" s="1"/>
  <c r="F10" i="36"/>
  <c r="Q9" i="36"/>
  <c r="Z9" i="36" s="1"/>
  <c r="J8" i="36"/>
  <c r="AC8" i="36" s="1"/>
  <c r="H8" i="36"/>
  <c r="U8" i="36" s="1"/>
  <c r="F8" i="36"/>
  <c r="AA8" i="36" s="1"/>
  <c r="D89" i="35"/>
  <c r="E89" i="35" s="1"/>
  <c r="F89" i="35" s="1"/>
  <c r="G89" i="35" s="1"/>
  <c r="H89" i="35" s="1"/>
  <c r="I89" i="35" s="1"/>
  <c r="M90" i="35"/>
  <c r="L90" i="35"/>
  <c r="K90" i="35"/>
  <c r="J90" i="35"/>
  <c r="I90" i="35"/>
  <c r="H90" i="35"/>
  <c r="G90" i="35"/>
  <c r="F90" i="35"/>
  <c r="E90" i="35"/>
  <c r="D90" i="35"/>
  <c r="C90" i="35"/>
  <c r="F85" i="35"/>
  <c r="E85" i="35"/>
  <c r="D85" i="35"/>
  <c r="C85" i="35"/>
  <c r="J27" i="35"/>
  <c r="H27" i="35"/>
  <c r="U27" i="35" s="1"/>
  <c r="F27" i="35"/>
  <c r="AA27" i="35"/>
  <c r="J22" i="35"/>
  <c r="AC22" i="35" s="1"/>
  <c r="B101" i="35"/>
  <c r="H36" i="35"/>
  <c r="AB36" i="35"/>
  <c r="B99" i="35"/>
  <c r="B97" i="35"/>
  <c r="B77" i="35"/>
  <c r="F25" i="35" s="1"/>
  <c r="B75" i="35"/>
  <c r="B73" i="35"/>
  <c r="H23" i="35"/>
  <c r="U23" i="35" s="1"/>
  <c r="B57" i="35"/>
  <c r="J11" i="35" s="1"/>
  <c r="B61" i="35"/>
  <c r="B59" i="35"/>
  <c r="B131" i="34"/>
  <c r="B129" i="34"/>
  <c r="B127" i="34"/>
  <c r="B99" i="34"/>
  <c r="B97" i="34"/>
  <c r="B95" i="34"/>
  <c r="B93" i="34"/>
  <c r="B75" i="34"/>
  <c r="B73" i="34"/>
  <c r="B71" i="34"/>
  <c r="J12" i="34" s="1"/>
  <c r="W12" i="34" s="1"/>
  <c r="B130" i="33"/>
  <c r="B128" i="33"/>
  <c r="B126" i="33"/>
  <c r="B98" i="33"/>
  <c r="B96" i="33"/>
  <c r="B94" i="33"/>
  <c r="B74" i="33"/>
  <c r="B72" i="33"/>
  <c r="H13" i="33" s="1"/>
  <c r="AB13" i="33" s="1"/>
  <c r="B70" i="33"/>
  <c r="J12" i="33" s="1"/>
  <c r="D96" i="35"/>
  <c r="E96" i="35"/>
  <c r="F96" i="35" s="1"/>
  <c r="G96" i="35" s="1"/>
  <c r="D94" i="35"/>
  <c r="E94" i="35"/>
  <c r="F94" i="35" s="1"/>
  <c r="G94" i="35" s="1"/>
  <c r="H94" i="35" s="1"/>
  <c r="I94" i="35"/>
  <c r="J94" i="35" s="1"/>
  <c r="K94" i="35" s="1"/>
  <c r="L94" i="35" s="1"/>
  <c r="M94" i="35" s="1"/>
  <c r="D84" i="35"/>
  <c r="E84" i="35" s="1"/>
  <c r="F84" i="35" s="1"/>
  <c r="G84" i="35" s="1"/>
  <c r="H84" i="35" s="1"/>
  <c r="I84" i="35"/>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F56" i="35"/>
  <c r="G56" i="35"/>
  <c r="H56" i="35"/>
  <c r="I56" i="35" s="1"/>
  <c r="C53" i="35"/>
  <c r="J9" i="35"/>
  <c r="P39" i="35"/>
  <c r="P38" i="35"/>
  <c r="V37" i="35"/>
  <c r="T37" i="35"/>
  <c r="R37" i="35"/>
  <c r="P37" i="35"/>
  <c r="Q36" i="35"/>
  <c r="Z36" i="35"/>
  <c r="J36" i="35"/>
  <c r="W36" i="35" s="1"/>
  <c r="Q35" i="35"/>
  <c r="Z35" i="35"/>
  <c r="Q34" i="35"/>
  <c r="Z34" i="35" s="1"/>
  <c r="H34" i="35"/>
  <c r="AB34" i="35"/>
  <c r="Q33" i="35"/>
  <c r="Z33" i="35" s="1"/>
  <c r="Q32" i="35"/>
  <c r="Z32" i="35"/>
  <c r="H32" i="35"/>
  <c r="AB32" i="35" s="1"/>
  <c r="F32" i="35"/>
  <c r="AA32" i="35"/>
  <c r="Q31" i="35"/>
  <c r="Z31" i="35" s="1"/>
  <c r="AB31" i="35"/>
  <c r="AA31" i="35"/>
  <c r="Q30" i="35"/>
  <c r="Z30" i="35" s="1"/>
  <c r="Q29" i="35"/>
  <c r="Z29" i="35"/>
  <c r="Q28" i="35"/>
  <c r="Z28" i="35" s="1"/>
  <c r="J28" i="35"/>
  <c r="AC28" i="35" s="1"/>
  <c r="H28" i="35"/>
  <c r="AB28" i="35" s="1"/>
  <c r="F28" i="35"/>
  <c r="AA28" i="35" s="1"/>
  <c r="Q27" i="35"/>
  <c r="Z27" i="35" s="1"/>
  <c r="Q26" i="35"/>
  <c r="Z26" i="35" s="1"/>
  <c r="Q25" i="35"/>
  <c r="Z25" i="35" s="1"/>
  <c r="Q24" i="35"/>
  <c r="Z24" i="35"/>
  <c r="Q23" i="35"/>
  <c r="Z23" i="35" s="1"/>
  <c r="J23" i="35"/>
  <c r="AC23" i="35" s="1"/>
  <c r="Q22" i="35"/>
  <c r="Z22" i="35"/>
  <c r="Q20" i="35"/>
  <c r="Z20" i="35" s="1"/>
  <c r="Q16" i="35"/>
  <c r="Z16" i="35" s="1"/>
  <c r="Q14" i="35"/>
  <c r="Z14" i="35" s="1"/>
  <c r="Q13" i="35"/>
  <c r="Z13" i="35" s="1"/>
  <c r="Q12" i="35"/>
  <c r="Z12" i="35" s="1"/>
  <c r="J12" i="35"/>
  <c r="H12" i="35"/>
  <c r="U12" i="35" s="1"/>
  <c r="F12" i="35"/>
  <c r="S12" i="35"/>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c r="C15" i="34"/>
  <c r="F67" i="34"/>
  <c r="G67" i="34"/>
  <c r="D126" i="34"/>
  <c r="E126" i="34" s="1"/>
  <c r="F126" i="34" s="1"/>
  <c r="G126" i="34" s="1"/>
  <c r="D124" i="34"/>
  <c r="E124" i="34" s="1"/>
  <c r="F124" i="34" s="1"/>
  <c r="G124" i="34" s="1"/>
  <c r="H124" i="34"/>
  <c r="I124" i="34" s="1"/>
  <c r="J124" i="34" s="1"/>
  <c r="K124" i="34" s="1"/>
  <c r="L124" i="34" s="1"/>
  <c r="M124" i="34" s="1"/>
  <c r="H43" i="34"/>
  <c r="AB43" i="34"/>
  <c r="D118" i="34"/>
  <c r="E118" i="34" s="1"/>
  <c r="F118" i="34" s="1"/>
  <c r="G118" i="34" s="1"/>
  <c r="D116" i="34"/>
  <c r="E116" i="34" s="1"/>
  <c r="F116" i="34" s="1"/>
  <c r="G116" i="34"/>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D107" i="34"/>
  <c r="E107" i="34" s="1"/>
  <c r="F107" i="34" s="1"/>
  <c r="G107" i="34" s="1"/>
  <c r="H107" i="34"/>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c r="J88" i="34" s="1"/>
  <c r="K88" i="34" s="1"/>
  <c r="L88" i="34" s="1"/>
  <c r="M88" i="34" s="1"/>
  <c r="D86" i="34"/>
  <c r="E86" i="34" s="1"/>
  <c r="F86" i="34" s="1"/>
  <c r="G86" i="34"/>
  <c r="D82" i="34"/>
  <c r="E82" i="34" s="1"/>
  <c r="F82" i="34" s="1"/>
  <c r="G82" i="34" s="1"/>
  <c r="D80" i="34"/>
  <c r="E80" i="34" s="1"/>
  <c r="F80" i="34" s="1"/>
  <c r="G80" i="34"/>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s="1"/>
  <c r="H12" i="34"/>
  <c r="F12" i="34"/>
  <c r="Q11" i="34"/>
  <c r="Z11" i="34"/>
  <c r="Q10" i="34"/>
  <c r="Z10" i="34" s="1"/>
  <c r="F10" i="34"/>
  <c r="AA10" i="34"/>
  <c r="Q9" i="34"/>
  <c r="Z9" i="34" s="1"/>
  <c r="AC9" i="34"/>
  <c r="H9" i="34"/>
  <c r="F9" i="34"/>
  <c r="AA9" i="34" s="1"/>
  <c r="J8" i="34"/>
  <c r="W8" i="34" s="1"/>
  <c r="H8" i="34"/>
  <c r="U8" i="34" s="1"/>
  <c r="F8" i="34"/>
  <c r="D121" i="33"/>
  <c r="E121" i="33" s="1"/>
  <c r="F109" i="33"/>
  <c r="E109" i="33"/>
  <c r="D109" i="33"/>
  <c r="C109" i="33"/>
  <c r="D91" i="33"/>
  <c r="E91" i="33"/>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c r="L115" i="33" s="1"/>
  <c r="M115" i="33" s="1"/>
  <c r="D108" i="33"/>
  <c r="E108" i="33" s="1"/>
  <c r="F108" i="33" s="1"/>
  <c r="D106" i="33"/>
  <c r="E106" i="33"/>
  <c r="F106" i="33" s="1"/>
  <c r="G106" i="33" s="1"/>
  <c r="M102" i="33"/>
  <c r="L102" i="33"/>
  <c r="K102" i="33"/>
  <c r="J102" i="33"/>
  <c r="I102" i="33"/>
  <c r="H102" i="33"/>
  <c r="G102" i="33"/>
  <c r="F102" i="33"/>
  <c r="E102" i="33"/>
  <c r="D102" i="33"/>
  <c r="C102" i="33"/>
  <c r="D101" i="33"/>
  <c r="E101" i="33" s="1"/>
  <c r="B92" i="33"/>
  <c r="B90" i="33"/>
  <c r="D87" i="33"/>
  <c r="E87" i="33" s="1"/>
  <c r="F87" i="33" s="1"/>
  <c r="G87" i="33" s="1"/>
  <c r="H87" i="33" s="1"/>
  <c r="I87" i="33" s="1"/>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U40" i="33" s="1"/>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J8" i="33"/>
  <c r="AC8" i="33"/>
  <c r="H8" i="33"/>
  <c r="AB8" i="33" s="1"/>
  <c r="F8" i="33"/>
  <c r="AA8" i="33"/>
  <c r="M102" i="21"/>
  <c r="D102" i="21"/>
  <c r="E102" i="21"/>
  <c r="F102" i="21"/>
  <c r="G102" i="21"/>
  <c r="H102" i="21"/>
  <c r="I102" i="21"/>
  <c r="J102" i="21"/>
  <c r="K102" i="21"/>
  <c r="L102" i="21"/>
  <c r="C102" i="21"/>
  <c r="C63" i="21"/>
  <c r="F9" i="21" s="1"/>
  <c r="AA9" i="21" s="1"/>
  <c r="G18" i="20"/>
  <c r="B88" i="43" s="1"/>
  <c r="G19" i="20"/>
  <c r="G16" i="20"/>
  <c r="B82" i="43" s="1"/>
  <c r="G15" i="20"/>
  <c r="B81" i="43"/>
  <c r="C24" i="20"/>
  <c r="B73" i="43" s="1"/>
  <c r="C21" i="20"/>
  <c r="C27" i="39" s="1"/>
  <c r="C20" i="20"/>
  <c r="B77" i="43" s="1"/>
  <c r="C18" i="20"/>
  <c r="C21" i="39" s="1"/>
  <c r="C17" i="20"/>
  <c r="B59" i="43" s="1"/>
  <c r="C16" i="20"/>
  <c r="C17" i="39" s="1"/>
  <c r="C15" i="20"/>
  <c r="B70" i="43" s="1"/>
  <c r="E54" i="21"/>
  <c r="F54" i="21"/>
  <c r="I54" i="21"/>
  <c r="J54" i="21" s="1"/>
  <c r="G54" i="21"/>
  <c r="H54" i="21" s="1"/>
  <c r="D125" i="21"/>
  <c r="E125" i="21" s="1"/>
  <c r="F125" i="21" s="1"/>
  <c r="G125" i="21" s="1"/>
  <c r="D123" i="21"/>
  <c r="E123" i="21" s="1"/>
  <c r="F123" i="21"/>
  <c r="G123" i="21" s="1"/>
  <c r="H123" i="21" s="1"/>
  <c r="I123" i="21" s="1"/>
  <c r="J123" i="21" s="1"/>
  <c r="K123" i="21" s="1"/>
  <c r="L123" i="21" s="1"/>
  <c r="F42" i="21"/>
  <c r="AA42" i="21" s="1"/>
  <c r="D119" i="2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s="1"/>
  <c r="E81" i="21"/>
  <c r="F81" i="21" s="1"/>
  <c r="G81" i="21" s="1"/>
  <c r="D77" i="21"/>
  <c r="E77" i="21" s="1"/>
  <c r="B130" i="21"/>
  <c r="B128" i="21"/>
  <c r="B126" i="21"/>
  <c r="B98" i="21"/>
  <c r="F31" i="21" s="1"/>
  <c r="H31" i="21"/>
  <c r="AB31" i="21" s="1"/>
  <c r="B96" i="21"/>
  <c r="B94" i="21"/>
  <c r="J29" i="21"/>
  <c r="AC29" i="21"/>
  <c r="B92" i="21"/>
  <c r="B90" i="21"/>
  <c r="J27" i="21"/>
  <c r="W27" i="21"/>
  <c r="B74" i="21"/>
  <c r="B72" i="21"/>
  <c r="H13" i="2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BB12" i="3"/>
  <c r="F7" i="12"/>
  <c r="D7" i="12"/>
  <c r="D8" i="12" s="1"/>
  <c r="E7" i="12"/>
  <c r="E8" i="12" s="1"/>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W26" i="21" s="1"/>
  <c r="F26" i="21"/>
  <c r="S26" i="21" s="1"/>
  <c r="AB41" i="21"/>
  <c r="AA41" i="21"/>
  <c r="F45" i="39"/>
  <c r="S45" i="39" s="1"/>
  <c r="J44" i="39"/>
  <c r="F36" i="39"/>
  <c r="S36" i="39"/>
  <c r="H36" i="39"/>
  <c r="F35" i="39"/>
  <c r="J36" i="39"/>
  <c r="AC36" i="39"/>
  <c r="U9" i="39"/>
  <c r="W40" i="39"/>
  <c r="U30" i="37"/>
  <c r="W31" i="37"/>
  <c r="G103" i="37"/>
  <c r="H103" i="37" s="1"/>
  <c r="I103" i="37" s="1"/>
  <c r="J103" i="37" s="1"/>
  <c r="K103" i="37" s="1"/>
  <c r="L103" i="37" s="1"/>
  <c r="M103" i="37" s="1"/>
  <c r="F39" i="37"/>
  <c r="S39" i="37"/>
  <c r="U14" i="37"/>
  <c r="F29" i="36"/>
  <c r="AA29" i="36" s="1"/>
  <c r="W8" i="36"/>
  <c r="F16" i="36"/>
  <c r="AA16" i="36" s="1"/>
  <c r="W28" i="36"/>
  <c r="S30" i="36"/>
  <c r="AA31" i="36"/>
  <c r="AC31" i="36"/>
  <c r="W31" i="36"/>
  <c r="H22" i="35"/>
  <c r="W28" i="35"/>
  <c r="U31" i="35"/>
  <c r="W22" i="35"/>
  <c r="S31" i="35"/>
  <c r="U34" i="35"/>
  <c r="F36" i="34"/>
  <c r="J35" i="34"/>
  <c r="W9" i="34"/>
  <c r="S34" i="34"/>
  <c r="H39" i="33"/>
  <c r="W33" i="33"/>
  <c r="W39" i="33"/>
  <c r="H39" i="37"/>
  <c r="AB39" i="37" s="1"/>
  <c r="S27" i="35"/>
  <c r="F11" i="40"/>
  <c r="H11" i="40"/>
  <c r="AB11" i="40"/>
  <c r="W8" i="40"/>
  <c r="AA9" i="40"/>
  <c r="AC9" i="40"/>
  <c r="U9" i="40"/>
  <c r="S34" i="40"/>
  <c r="S40" i="40"/>
  <c r="W31" i="40"/>
  <c r="S38" i="40"/>
  <c r="F42" i="39"/>
  <c r="AA42" i="39" s="1"/>
  <c r="F41" i="39"/>
  <c r="S41" i="39" s="1"/>
  <c r="H40" i="39"/>
  <c r="AB40" i="39" s="1"/>
  <c r="H39" i="39"/>
  <c r="U39" i="39" s="1"/>
  <c r="S38" i="39"/>
  <c r="S34" i="39"/>
  <c r="H34" i="39"/>
  <c r="U34" i="39" s="1"/>
  <c r="F31" i="39"/>
  <c r="H19" i="39"/>
  <c r="AB19" i="39" s="1"/>
  <c r="F19" i="39"/>
  <c r="AA19" i="39" s="1"/>
  <c r="H17" i="39"/>
  <c r="F17" i="39"/>
  <c r="AA17" i="39" s="1"/>
  <c r="J23" i="40"/>
  <c r="AC23" i="40"/>
  <c r="F21" i="40"/>
  <c r="AA21" i="40" s="1"/>
  <c r="J21" i="40"/>
  <c r="W21" i="40" s="1"/>
  <c r="H42" i="39"/>
  <c r="AB42" i="39" s="1"/>
  <c r="J34" i="39"/>
  <c r="AC34" i="39" s="1"/>
  <c r="H109" i="39"/>
  <c r="I109" i="39"/>
  <c r="J109" i="39" s="1"/>
  <c r="K109" i="39" s="1"/>
  <c r="L109" i="39" s="1"/>
  <c r="M109" i="39" s="1"/>
  <c r="H27" i="39"/>
  <c r="U27" i="39"/>
  <c r="J19" i="39"/>
  <c r="AC19" i="39" s="1"/>
  <c r="J17" i="39"/>
  <c r="J27" i="39"/>
  <c r="AC27" i="39" s="1"/>
  <c r="F27" i="39"/>
  <c r="F11" i="21"/>
  <c r="S11" i="21" s="1"/>
  <c r="U34" i="21"/>
  <c r="S34" i="21"/>
  <c r="C25" i="39"/>
  <c r="H11" i="39"/>
  <c r="U11" i="39" s="1"/>
  <c r="S40" i="39"/>
  <c r="C15" i="39"/>
  <c r="H32" i="33"/>
  <c r="AB32" i="33"/>
  <c r="H11" i="21"/>
  <c r="J11" i="21"/>
  <c r="W11" i="21"/>
  <c r="H37" i="40"/>
  <c r="U37" i="40" s="1"/>
  <c r="H36" i="40"/>
  <c r="AB36" i="40"/>
  <c r="F35" i="40"/>
  <c r="AA35" i="40" s="1"/>
  <c r="H23" i="40"/>
  <c r="AB23" i="40"/>
  <c r="H17" i="40"/>
  <c r="U17" i="40" s="1"/>
  <c r="J15" i="40"/>
  <c r="W15" i="40"/>
  <c r="J11" i="40"/>
  <c r="AB12" i="33"/>
  <c r="AC12" i="34"/>
  <c r="AB12" i="35"/>
  <c r="AB12" i="36"/>
  <c r="W32" i="40"/>
  <c r="F37" i="39"/>
  <c r="AA37" i="39"/>
  <c r="J34" i="36"/>
  <c r="J30" i="35"/>
  <c r="W30" i="35" s="1"/>
  <c r="H30" i="35"/>
  <c r="AB30" i="35" s="1"/>
  <c r="F22" i="35"/>
  <c r="AA22" i="35"/>
  <c r="H10" i="35"/>
  <c r="U10" i="35" s="1"/>
  <c r="AC16" i="36"/>
  <c r="W30" i="36"/>
  <c r="H16" i="36"/>
  <c r="AB16" i="36" s="1"/>
  <c r="E85" i="36"/>
  <c r="F85" i="36" s="1"/>
  <c r="G85" i="36"/>
  <c r="H85" i="36" s="1"/>
  <c r="I85" i="36" s="1"/>
  <c r="J85" i="36" s="1"/>
  <c r="K85" i="36" s="1"/>
  <c r="L85" i="36" s="1"/>
  <c r="M85" i="36" s="1"/>
  <c r="J29" i="36"/>
  <c r="AC29" i="36"/>
  <c r="F12" i="36"/>
  <c r="S12" i="36" s="1"/>
  <c r="F24" i="36"/>
  <c r="AA24" i="36" s="1"/>
  <c r="F34" i="36"/>
  <c r="AB8"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c r="J34" i="37"/>
  <c r="W34" i="37" s="1"/>
  <c r="AA39" i="37"/>
  <c r="AB34" i="37"/>
  <c r="J33" i="37"/>
  <c r="AC33" i="37" s="1"/>
  <c r="H40" i="34"/>
  <c r="U40" i="34" s="1"/>
  <c r="E114" i="34"/>
  <c r="H36" i="34"/>
  <c r="U36" i="34" s="1"/>
  <c r="F37" i="34"/>
  <c r="AA37" i="34" s="1"/>
  <c r="S35" i="34"/>
  <c r="F28" i="34"/>
  <c r="AA28" i="34" s="1"/>
  <c r="F25" i="34"/>
  <c r="S25" i="34" s="1"/>
  <c r="H23" i="34"/>
  <c r="U23" i="34"/>
  <c r="J23" i="34"/>
  <c r="F19" i="34"/>
  <c r="H17" i="34"/>
  <c r="U17" i="34"/>
  <c r="F15" i="34"/>
  <c r="AA15" i="34" s="1"/>
  <c r="J15" i="34"/>
  <c r="H15" i="34"/>
  <c r="AB15" i="34"/>
  <c r="S9" i="34"/>
  <c r="F41" i="33"/>
  <c r="E113" i="33"/>
  <c r="F113" i="33" s="1"/>
  <c r="G113" i="33" s="1"/>
  <c r="H113" i="33" s="1"/>
  <c r="I113" i="33" s="1"/>
  <c r="J113" i="33" s="1"/>
  <c r="K113" i="33" s="1"/>
  <c r="L113" i="33" s="1"/>
  <c r="M113" i="33" s="1"/>
  <c r="F32" i="33"/>
  <c r="AA32" i="33" s="1"/>
  <c r="J19" i="33"/>
  <c r="AC19" i="33"/>
  <c r="J15" i="33"/>
  <c r="F11" i="33"/>
  <c r="AA11" i="33"/>
  <c r="W40" i="33"/>
  <c r="U8" i="33"/>
  <c r="S8" i="33"/>
  <c r="F37" i="40"/>
  <c r="AA37" i="40" s="1"/>
  <c r="F36" i="40"/>
  <c r="H28" i="40"/>
  <c r="U28" i="40" s="1"/>
  <c r="F23" i="40"/>
  <c r="AA23" i="40"/>
  <c r="F17" i="40"/>
  <c r="AA17" i="40" s="1"/>
  <c r="J17" i="40"/>
  <c r="W17" i="40" s="1"/>
  <c r="F15" i="40"/>
  <c r="S15" i="40" s="1"/>
  <c r="H15" i="40"/>
  <c r="AB15" i="40" s="1"/>
  <c r="AB30" i="36"/>
  <c r="U30" i="35"/>
  <c r="F29" i="35"/>
  <c r="H29" i="35"/>
  <c r="AB29" i="35"/>
  <c r="H33" i="37"/>
  <c r="AB33" i="37" s="1"/>
  <c r="F33" i="37"/>
  <c r="AA33" i="37"/>
  <c r="U34" i="37"/>
  <c r="W33"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AB17" i="34"/>
  <c r="H37" i="33"/>
  <c r="AB37" i="33"/>
  <c r="H15" i="33"/>
  <c r="AB15" i="33" s="1"/>
  <c r="H11" i="33"/>
  <c r="AB11" i="33"/>
  <c r="F28" i="40"/>
  <c r="AA28" i="40" s="1"/>
  <c r="AA42" i="34"/>
  <c r="S42" i="34"/>
  <c r="AA38" i="34"/>
  <c r="J37" i="34"/>
  <c r="AC37" i="34" s="1"/>
  <c r="J11" i="33"/>
  <c r="W11" i="33" s="1"/>
  <c r="U23" i="40"/>
  <c r="M123" i="21"/>
  <c r="J42" i="21"/>
  <c r="AC42" i="21" s="1"/>
  <c r="H42" i="21"/>
  <c r="U42" i="21"/>
  <c r="J44" i="34"/>
  <c r="F44" i="34"/>
  <c r="AA44" i="34" s="1"/>
  <c r="J10" i="35"/>
  <c r="W10" i="35" s="1"/>
  <c r="J14" i="21"/>
  <c r="W14" i="21"/>
  <c r="F14" i="21"/>
  <c r="S14" i="21" s="1"/>
  <c r="H14" i="21"/>
  <c r="U14" i="21"/>
  <c r="H28" i="21"/>
  <c r="AB28" i="21" s="1"/>
  <c r="F28" i="21"/>
  <c r="AA28" i="21"/>
  <c r="J28" i="21"/>
  <c r="H30" i="21"/>
  <c r="U30" i="21"/>
  <c r="F30" i="21"/>
  <c r="S30" i="21" s="1"/>
  <c r="J30" i="21"/>
  <c r="AC30" i="21"/>
  <c r="J44" i="21"/>
  <c r="AC44" i="21" s="1"/>
  <c r="H44" i="21"/>
  <c r="U44" i="21"/>
  <c r="F44" i="21"/>
  <c r="AA44" i="21" s="1"/>
  <c r="H46" i="21"/>
  <c r="U46" i="21"/>
  <c r="J46" i="21"/>
  <c r="W46" i="21" s="1"/>
  <c r="F46" i="21"/>
  <c r="AA46" i="21"/>
  <c r="E119" i="21"/>
  <c r="F119" i="21" s="1"/>
  <c r="G119" i="21" s="1"/>
  <c r="H119" i="21"/>
  <c r="I119" i="21" s="1"/>
  <c r="J119" i="21" s="1"/>
  <c r="K119" i="21" s="1"/>
  <c r="L119" i="21" s="1"/>
  <c r="M119" i="21" s="1"/>
  <c r="H28" i="33"/>
  <c r="U28" i="33" s="1"/>
  <c r="F28" i="33"/>
  <c r="AA28" i="33" s="1"/>
  <c r="J28" i="33"/>
  <c r="W28" i="33"/>
  <c r="F33" i="35"/>
  <c r="S33" i="35" s="1"/>
  <c r="J33" i="35"/>
  <c r="AC33" i="35" s="1"/>
  <c r="F30" i="35"/>
  <c r="S30" i="35" s="1"/>
  <c r="J89" i="35"/>
  <c r="K89" i="35" s="1"/>
  <c r="L89" i="35" s="1"/>
  <c r="M89" i="35" s="1"/>
  <c r="H10" i="36"/>
  <c r="AB10" i="36" s="1"/>
  <c r="J14" i="36"/>
  <c r="AC14" i="36"/>
  <c r="H14" i="36"/>
  <c r="U14" i="36" s="1"/>
  <c r="F28" i="36"/>
  <c r="AA28" i="36"/>
  <c r="J13" i="21"/>
  <c r="H27" i="21"/>
  <c r="AB27" i="21"/>
  <c r="F27" i="21"/>
  <c r="AA27" i="21" s="1"/>
  <c r="H29" i="21"/>
  <c r="U29" i="21"/>
  <c r="J31" i="21"/>
  <c r="AC31" i="21" s="1"/>
  <c r="S31" i="21"/>
  <c r="F27" i="33"/>
  <c r="AA27" i="33"/>
  <c r="J13" i="33"/>
  <c r="F13" i="33"/>
  <c r="S13" i="33" s="1"/>
  <c r="J29" i="33"/>
  <c r="AC29" i="33" s="1"/>
  <c r="H29" i="33"/>
  <c r="U29" i="33"/>
  <c r="F29" i="33"/>
  <c r="S29" i="33" s="1"/>
  <c r="J31" i="33"/>
  <c r="W31" i="33" s="1"/>
  <c r="H45" i="33"/>
  <c r="U45" i="33" s="1"/>
  <c r="J45" i="33"/>
  <c r="W45" i="33" s="1"/>
  <c r="F45" i="33"/>
  <c r="S45" i="33" s="1"/>
  <c r="AA45" i="33"/>
  <c r="J14" i="34"/>
  <c r="W14" i="34" s="1"/>
  <c r="F14" i="34"/>
  <c r="AA14" i="34" s="1"/>
  <c r="H14" i="34"/>
  <c r="F30" i="34"/>
  <c r="S30" i="34" s="1"/>
  <c r="H32" i="34"/>
  <c r="F32" i="34"/>
  <c r="AA32" i="34" s="1"/>
  <c r="J32" i="34"/>
  <c r="W32" i="34" s="1"/>
  <c r="H46" i="34"/>
  <c r="U46" i="34" s="1"/>
  <c r="H11" i="35"/>
  <c r="F11" i="35"/>
  <c r="S11" i="35" s="1"/>
  <c r="J26" i="36"/>
  <c r="W26" i="36" s="1"/>
  <c r="H28" i="36"/>
  <c r="U28" i="36" s="1"/>
  <c r="H32" i="36"/>
  <c r="AB32" i="36" s="1"/>
  <c r="J32" i="36"/>
  <c r="J11" i="36"/>
  <c r="AC11" i="36" s="1"/>
  <c r="H11" i="36"/>
  <c r="AB11" i="36" s="1"/>
  <c r="U11" i="36"/>
  <c r="F11" i="36"/>
  <c r="AA11" i="36" s="1"/>
  <c r="H13" i="36"/>
  <c r="AB13" i="36" s="1"/>
  <c r="J13" i="36"/>
  <c r="AC13" i="36" s="1"/>
  <c r="F13" i="36"/>
  <c r="S13" i="36"/>
  <c r="E89" i="37"/>
  <c r="F89" i="37" s="1"/>
  <c r="G89" i="37" s="1"/>
  <c r="H89" i="37"/>
  <c r="I89" i="37" s="1"/>
  <c r="J89" i="37" s="1"/>
  <c r="K89" i="37" s="1"/>
  <c r="L89" i="37" s="1"/>
  <c r="M89" i="37" s="1"/>
  <c r="J29" i="37"/>
  <c r="W29" i="37" s="1"/>
  <c r="F29" i="37"/>
  <c r="S29" i="37" s="1"/>
  <c r="H36" i="37"/>
  <c r="AB36" i="37"/>
  <c r="F107" i="37"/>
  <c r="J37" i="37"/>
  <c r="AC37" i="37" s="1"/>
  <c r="H37" i="37"/>
  <c r="U37" i="37"/>
  <c r="H40" i="37"/>
  <c r="U40" i="37" s="1"/>
  <c r="J40" i="37"/>
  <c r="AC40" i="37" s="1"/>
  <c r="F40" i="37"/>
  <c r="AA40" i="37" s="1"/>
  <c r="H14" i="33"/>
  <c r="U14" i="33" s="1"/>
  <c r="F14" i="33"/>
  <c r="J14" i="33"/>
  <c r="H30" i="33"/>
  <c r="AB30" i="33"/>
  <c r="F30" i="33"/>
  <c r="J30" i="33"/>
  <c r="H44" i="33"/>
  <c r="J44" i="33"/>
  <c r="F44" i="33"/>
  <c r="S44" i="33" s="1"/>
  <c r="J46" i="33"/>
  <c r="AC46" i="33"/>
  <c r="F46" i="33"/>
  <c r="AA46" i="33" s="1"/>
  <c r="H46" i="33"/>
  <c r="U46" i="33" s="1"/>
  <c r="H13" i="34"/>
  <c r="U13" i="34" s="1"/>
  <c r="J13" i="34"/>
  <c r="W13" i="34" s="1"/>
  <c r="F13" i="34"/>
  <c r="AA13" i="34" s="1"/>
  <c r="J29" i="34"/>
  <c r="W29" i="34" s="1"/>
  <c r="F29" i="34"/>
  <c r="S29" i="34" s="1"/>
  <c r="H29" i="34"/>
  <c r="AB29" i="34"/>
  <c r="J31" i="34"/>
  <c r="H31" i="34"/>
  <c r="AB31" i="34"/>
  <c r="F31" i="34"/>
  <c r="S31" i="34" s="1"/>
  <c r="H45" i="34"/>
  <c r="U45" i="34"/>
  <c r="J45" i="34"/>
  <c r="W45" i="34" s="1"/>
  <c r="F45" i="34"/>
  <c r="S45" i="34"/>
  <c r="H47" i="34"/>
  <c r="U47" i="34" s="1"/>
  <c r="F47" i="34"/>
  <c r="S47" i="34"/>
  <c r="J47" i="34"/>
  <c r="F13" i="35"/>
  <c r="S13" i="35"/>
  <c r="J13" i="35"/>
  <c r="AC13" i="35" s="1"/>
  <c r="H13" i="35"/>
  <c r="U13" i="35"/>
  <c r="J25" i="35"/>
  <c r="W25" i="35" s="1"/>
  <c r="S25" i="35"/>
  <c r="H25" i="35"/>
  <c r="AB25" i="35" s="1"/>
  <c r="J35" i="35"/>
  <c r="AC35" i="35"/>
  <c r="F35" i="35"/>
  <c r="AA35" i="35" s="1"/>
  <c r="H35" i="35"/>
  <c r="AB35" i="35"/>
  <c r="H25" i="36"/>
  <c r="AB25" i="36" s="1"/>
  <c r="F13" i="37"/>
  <c r="S13" i="37" s="1"/>
  <c r="F28" i="37"/>
  <c r="AA28" i="37" s="1"/>
  <c r="J28" i="37"/>
  <c r="AC28" i="37"/>
  <c r="H28" i="37"/>
  <c r="U28" i="37" s="1"/>
  <c r="J38" i="37"/>
  <c r="AC38" i="37" s="1"/>
  <c r="F43" i="39"/>
  <c r="AA43" i="39" s="1"/>
  <c r="H43" i="39"/>
  <c r="J14" i="39"/>
  <c r="AC14" i="39" s="1"/>
  <c r="F12" i="40"/>
  <c r="H30" i="40"/>
  <c r="AB30" i="40" s="1"/>
  <c r="AA33" i="40"/>
  <c r="H33" i="40"/>
  <c r="J35" i="40"/>
  <c r="AC35" i="40"/>
  <c r="J37" i="40"/>
  <c r="AC37" i="40" s="1"/>
  <c r="J13" i="40"/>
  <c r="W13" i="40" s="1"/>
  <c r="F14" i="37"/>
  <c r="S14" i="37" s="1"/>
  <c r="F27" i="37"/>
  <c r="AA27" i="37"/>
  <c r="F13" i="39"/>
  <c r="H13" i="39"/>
  <c r="H14" i="40"/>
  <c r="J14" i="40"/>
  <c r="W14" i="40"/>
  <c r="F14" i="40"/>
  <c r="AA14" i="40" s="1"/>
  <c r="J14" i="37"/>
  <c r="AC14" i="37"/>
  <c r="J27" i="37"/>
  <c r="AC27" i="37" s="1"/>
  <c r="AA13" i="35"/>
  <c r="U31" i="34"/>
  <c r="J36" i="37"/>
  <c r="AC36" i="37" s="1"/>
  <c r="J10" i="36"/>
  <c r="AB30" i="21"/>
  <c r="AA14" i="37"/>
  <c r="W13" i="36"/>
  <c r="S11" i="36"/>
  <c r="W11" i="36"/>
  <c r="AB46" i="34"/>
  <c r="AB45" i="33"/>
  <c r="U13" i="33"/>
  <c r="S44" i="34"/>
  <c r="BA585" i="3"/>
  <c r="F17" i="21"/>
  <c r="AA17" i="21" s="1"/>
  <c r="H17" i="21"/>
  <c r="AB17" i="21"/>
  <c r="F15" i="21"/>
  <c r="S15" i="21" s="1"/>
  <c r="J41" i="39"/>
  <c r="W41" i="39" s="1"/>
  <c r="W36" i="39"/>
  <c r="G544" i="3"/>
  <c r="G540" i="3"/>
  <c r="G536" i="3"/>
  <c r="G535" i="3"/>
  <c r="G532" i="3"/>
  <c r="G531" i="3"/>
  <c r="G528" i="3"/>
  <c r="G527" i="3"/>
  <c r="G523" i="3"/>
  <c r="G518" i="3"/>
  <c r="G514" i="3"/>
  <c r="G510" i="3"/>
  <c r="G508" i="3"/>
  <c r="G504" i="3"/>
  <c r="G500" i="3"/>
  <c r="G496" i="3"/>
  <c r="G584" i="3"/>
  <c r="G580" i="3"/>
  <c r="G568" i="3"/>
  <c r="G564" i="3"/>
  <c r="G554" i="3"/>
  <c r="G550" i="3"/>
  <c r="BL584" i="3"/>
  <c r="BL580" i="3"/>
  <c r="BL572" i="3"/>
  <c r="BL568" i="3"/>
  <c r="BL564" i="3"/>
  <c r="BL554" i="3"/>
  <c r="BL546" i="3"/>
  <c r="BL542" i="3"/>
  <c r="BL538" i="3"/>
  <c r="BL534" i="3"/>
  <c r="BL530" i="3"/>
  <c r="BL526" i="3"/>
  <c r="BL522" i="3"/>
  <c r="BL516" i="3"/>
  <c r="BL512" i="3"/>
  <c r="BL506" i="3"/>
  <c r="BL502" i="3"/>
  <c r="BL498" i="3"/>
  <c r="BL494" i="3"/>
  <c r="BL582" i="3"/>
  <c r="BL574" i="3"/>
  <c r="BL570" i="3"/>
  <c r="AZ570" i="3" s="1"/>
  <c r="BL566" i="3"/>
  <c r="BL552" i="3"/>
  <c r="BL544" i="3"/>
  <c r="BL536" i="3"/>
  <c r="G533" i="3"/>
  <c r="BL532" i="3"/>
  <c r="G529" i="3"/>
  <c r="BL528" i="3"/>
  <c r="G525" i="3"/>
  <c r="BL524" i="3"/>
  <c r="AZ524" i="3" s="1"/>
  <c r="BL518" i="3"/>
  <c r="BL514" i="3"/>
  <c r="BL510" i="3"/>
  <c r="BL504" i="3"/>
  <c r="BL500" i="3"/>
  <c r="BL496" i="3"/>
  <c r="G493" i="3"/>
  <c r="BA584" i="3"/>
  <c r="AZ584" i="3" s="1"/>
  <c r="BA580" i="3"/>
  <c r="AZ580" i="3" s="1"/>
  <c r="BA576" i="3"/>
  <c r="BA572" i="3"/>
  <c r="AZ572" i="3" s="1"/>
  <c r="BA568" i="3"/>
  <c r="AZ568" i="3"/>
  <c r="BA564" i="3"/>
  <c r="BA560" i="3"/>
  <c r="BA558" i="3"/>
  <c r="BA554" i="3"/>
  <c r="AZ554" i="3" s="1"/>
  <c r="BA552" i="3"/>
  <c r="BA548" i="3"/>
  <c r="AZ548" i="3" s="1"/>
  <c r="BA544" i="3"/>
  <c r="AZ544" i="3" s="1"/>
  <c r="BA542" i="3"/>
  <c r="AZ542" i="3" s="1"/>
  <c r="BA540" i="3"/>
  <c r="AZ540" i="3" s="1"/>
  <c r="BA538" i="3"/>
  <c r="AZ538" i="3" s="1"/>
  <c r="BA536" i="3"/>
  <c r="AZ536" i="3"/>
  <c r="BA534" i="3"/>
  <c r="AZ534" i="3" s="1"/>
  <c r="BA532" i="3"/>
  <c r="BA530" i="3"/>
  <c r="BA528" i="3"/>
  <c r="AZ528" i="3"/>
  <c r="BA526" i="3"/>
  <c r="AZ526" i="3"/>
  <c r="BA524" i="3"/>
  <c r="BA522" i="3"/>
  <c r="BA520" i="3"/>
  <c r="AZ520" i="3" s="1"/>
  <c r="BA518" i="3"/>
  <c r="AZ518" i="3"/>
  <c r="BA516" i="3"/>
  <c r="AZ516" i="3"/>
  <c r="BA514" i="3"/>
  <c r="BA512" i="3"/>
  <c r="AZ512" i="3" s="1"/>
  <c r="BA510" i="3"/>
  <c r="AZ510" i="3" s="1"/>
  <c r="BA508" i="3"/>
  <c r="BA506" i="3"/>
  <c r="BA504" i="3"/>
  <c r="BA502" i="3"/>
  <c r="AZ502" i="3" s="1"/>
  <c r="BA500" i="3"/>
  <c r="BA498" i="3"/>
  <c r="BA496" i="3"/>
  <c r="BA494" i="3"/>
  <c r="BA587" i="3"/>
  <c r="BA583" i="3"/>
  <c r="BA581" i="3"/>
  <c r="BA577" i="3"/>
  <c r="BA575" i="3"/>
  <c r="BA573" i="3"/>
  <c r="BA569" i="3"/>
  <c r="AZ569" i="3" s="1"/>
  <c r="BA567" i="3"/>
  <c r="BA565" i="3"/>
  <c r="BA561" i="3"/>
  <c r="BA559" i="3"/>
  <c r="BA555" i="3"/>
  <c r="BA549" i="3"/>
  <c r="BA547" i="3"/>
  <c r="BA545" i="3"/>
  <c r="BA541" i="3"/>
  <c r="BA539" i="3"/>
  <c r="AZ539" i="3" s="1"/>
  <c r="BA537" i="3"/>
  <c r="BA535" i="3"/>
  <c r="BA533" i="3"/>
  <c r="AZ533" i="3" s="1"/>
  <c r="BA531" i="3"/>
  <c r="BA529" i="3"/>
  <c r="BA527" i="3"/>
  <c r="BA525" i="3"/>
  <c r="BA523" i="3"/>
  <c r="AZ523" i="3" s="1"/>
  <c r="BA519" i="3"/>
  <c r="BA517" i="3"/>
  <c r="BA515" i="3"/>
  <c r="BA513" i="3"/>
  <c r="BA511" i="3"/>
  <c r="BA507" i="3"/>
  <c r="BA505" i="3"/>
  <c r="BA503" i="3"/>
  <c r="BA501" i="3"/>
  <c r="BA499" i="3"/>
  <c r="BA497" i="3"/>
  <c r="BA495" i="3"/>
  <c r="BA493" i="3"/>
  <c r="G583" i="3"/>
  <c r="G581" i="3"/>
  <c r="G579" i="3"/>
  <c r="G575" i="3"/>
  <c r="G573" i="3"/>
  <c r="G571" i="3"/>
  <c r="G567" i="3"/>
  <c r="G565" i="3"/>
  <c r="G563" i="3"/>
  <c r="BL558" i="3"/>
  <c r="AC557" i="3"/>
  <c r="G557" i="3"/>
  <c r="BQ557" i="3"/>
  <c r="BQ583" i="3"/>
  <c r="BL583" i="3"/>
  <c r="AZ583" i="3" s="1"/>
  <c r="BQ581" i="3"/>
  <c r="BQ579" i="3"/>
  <c r="BL579" i="3" s="1"/>
  <c r="BQ577" i="3"/>
  <c r="BL577" i="3"/>
  <c r="AZ577" i="3" s="1"/>
  <c r="BQ575" i="3"/>
  <c r="BQ573" i="3"/>
  <c r="BL573" i="3" s="1"/>
  <c r="BQ571" i="3"/>
  <c r="BL571" i="3" s="1"/>
  <c r="AZ571" i="3" s="1"/>
  <c r="BQ569" i="3"/>
  <c r="BL569" i="3"/>
  <c r="BQ567" i="3"/>
  <c r="BQ565" i="3"/>
  <c r="BL565" i="3" s="1"/>
  <c r="BQ563" i="3"/>
  <c r="BL563" i="3" s="1"/>
  <c r="BQ561" i="3"/>
  <c r="BQ559" i="3"/>
  <c r="BL559" i="3" s="1"/>
  <c r="G559" i="3"/>
  <c r="G555" i="3"/>
  <c r="G553" i="3"/>
  <c r="G549" i="3"/>
  <c r="G547" i="3"/>
  <c r="G545" i="3"/>
  <c r="G543" i="3"/>
  <c r="G541" i="3"/>
  <c r="G539" i="3"/>
  <c r="G537" i="3"/>
  <c r="BQ555" i="3"/>
  <c r="BQ553" i="3"/>
  <c r="BL553" i="3" s="1"/>
  <c r="BQ551" i="3"/>
  <c r="BL551" i="3" s="1"/>
  <c r="BQ549" i="3"/>
  <c r="BQ547" i="3"/>
  <c r="BL547" i="3"/>
  <c r="AZ547" i="3" s="1"/>
  <c r="BQ545" i="3"/>
  <c r="BQ543" i="3"/>
  <c r="BL543" i="3" s="1"/>
  <c r="BQ541" i="3"/>
  <c r="BL541" i="3" s="1"/>
  <c r="AZ541" i="3"/>
  <c r="BQ539" i="3"/>
  <c r="BL539" i="3"/>
  <c r="BQ537" i="3"/>
  <c r="BL537" i="3" s="1"/>
  <c r="AZ537" i="3" s="1"/>
  <c r="BQ535" i="3"/>
  <c r="BL535" i="3" s="1"/>
  <c r="AZ535" i="3" s="1"/>
  <c r="BQ533" i="3"/>
  <c r="BL533" i="3" s="1"/>
  <c r="BQ531" i="3"/>
  <c r="BL531" i="3"/>
  <c r="AZ531" i="3" s="1"/>
  <c r="BQ529" i="3"/>
  <c r="BL529" i="3" s="1"/>
  <c r="AZ529" i="3" s="1"/>
  <c r="BQ527" i="3"/>
  <c r="BL527" i="3" s="1"/>
  <c r="AZ527" i="3" s="1"/>
  <c r="BQ525" i="3"/>
  <c r="BL525" i="3" s="1"/>
  <c r="AZ525" i="3" s="1"/>
  <c r="BQ523" i="3"/>
  <c r="BL523" i="3"/>
  <c r="BA521" i="3"/>
  <c r="AZ521" i="3" s="1"/>
  <c r="AC521" i="3"/>
  <c r="G521" i="3" s="1"/>
  <c r="BQ521" i="3"/>
  <c r="BL521" i="3" s="1"/>
  <c r="BL520" i="3"/>
  <c r="G519" i="3"/>
  <c r="G517" i="3"/>
  <c r="G515" i="3"/>
  <c r="G513" i="3"/>
  <c r="G511" i="3"/>
  <c r="BQ519" i="3"/>
  <c r="BL519" i="3"/>
  <c r="AZ519" i="3" s="1"/>
  <c r="BQ517" i="3"/>
  <c r="BL517" i="3" s="1"/>
  <c r="AZ517" i="3" s="1"/>
  <c r="BQ515" i="3"/>
  <c r="BL515" i="3" s="1"/>
  <c r="BQ513" i="3"/>
  <c r="BL513" i="3" s="1"/>
  <c r="AZ513" i="3"/>
  <c r="BQ511" i="3"/>
  <c r="BL511" i="3"/>
  <c r="AZ511" i="3" s="1"/>
  <c r="BA509" i="3"/>
  <c r="AZ509" i="3" s="1"/>
  <c r="AC509" i="3"/>
  <c r="BQ509" i="3"/>
  <c r="BL509" i="3" s="1"/>
  <c r="BL508" i="3"/>
  <c r="G507" i="3"/>
  <c r="G505" i="3"/>
  <c r="G503" i="3"/>
  <c r="G501" i="3"/>
  <c r="G499" i="3"/>
  <c r="G497" i="3"/>
  <c r="G495" i="3"/>
  <c r="BQ507" i="3"/>
  <c r="BL507" i="3"/>
  <c r="AZ507" i="3" s="1"/>
  <c r="BQ505" i="3"/>
  <c r="BL505" i="3" s="1"/>
  <c r="AZ505" i="3"/>
  <c r="BQ503" i="3"/>
  <c r="BL503" i="3" s="1"/>
  <c r="BQ501" i="3"/>
  <c r="BL501" i="3"/>
  <c r="AZ501" i="3" s="1"/>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s="1"/>
  <c r="J25" i="21"/>
  <c r="AC25" i="21"/>
  <c r="E125" i="33"/>
  <c r="F125" i="33" s="1"/>
  <c r="G125" i="33" s="1"/>
  <c r="H43" i="33"/>
  <c r="AB43" i="33"/>
  <c r="H17" i="37"/>
  <c r="U17" i="37" s="1"/>
  <c r="U32" i="33"/>
  <c r="AA36" i="39"/>
  <c r="F39" i="33"/>
  <c r="AA39" i="33" s="1"/>
  <c r="F42" i="33"/>
  <c r="F14" i="36"/>
  <c r="AA14" i="36"/>
  <c r="F22" i="36"/>
  <c r="S22" i="36"/>
  <c r="F26" i="36"/>
  <c r="S26" i="36"/>
  <c r="H35" i="34"/>
  <c r="U35" i="34" s="1"/>
  <c r="F41" i="34"/>
  <c r="S41" i="34"/>
  <c r="H41" i="34"/>
  <c r="U41" i="34" s="1"/>
  <c r="J41" i="34"/>
  <c r="AC41" i="34"/>
  <c r="F10" i="35"/>
  <c r="S10" i="35" s="1"/>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G123" i="33"/>
  <c r="H123" i="33" s="1"/>
  <c r="I123" i="33" s="1"/>
  <c r="J123" i="33" s="1"/>
  <c r="K123" i="33" s="1"/>
  <c r="L123" i="33"/>
  <c r="M123" i="33" s="1"/>
  <c r="H42" i="33"/>
  <c r="AB42" i="33" s="1"/>
  <c r="J43" i="33"/>
  <c r="AC43" i="33"/>
  <c r="U43" i="33"/>
  <c r="S28" i="31"/>
  <c r="S27" i="31"/>
  <c r="S26" i="31"/>
  <c r="U35" i="35"/>
  <c r="AA12" i="35"/>
  <c r="W23" i="35"/>
  <c r="W14" i="37"/>
  <c r="AB28" i="37"/>
  <c r="U33" i="37"/>
  <c r="U39" i="37"/>
  <c r="W26" i="37"/>
  <c r="AC8" i="37"/>
  <c r="U26" i="37"/>
  <c r="AB13" i="34"/>
  <c r="W37" i="34"/>
  <c r="AB37" i="34"/>
  <c r="AC36" i="34"/>
  <c r="AA13" i="33"/>
  <c r="AC31" i="33"/>
  <c r="AC45" i="33"/>
  <c r="U11" i="33"/>
  <c r="U19" i="21"/>
  <c r="W44" i="21"/>
  <c r="U2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s="1"/>
  <c r="F9" i="37"/>
  <c r="S9" i="37"/>
  <c r="E71" i="37"/>
  <c r="F15" i="37"/>
  <c r="E94" i="37"/>
  <c r="F31" i="37"/>
  <c r="S31" i="37"/>
  <c r="F12" i="39"/>
  <c r="S12" i="39" s="1"/>
  <c r="J42" i="39"/>
  <c r="AC42" i="39"/>
  <c r="H21" i="40"/>
  <c r="AB21" i="40" s="1"/>
  <c r="F94" i="37"/>
  <c r="G94" i="37" s="1"/>
  <c r="H94" i="37" s="1"/>
  <c r="I94" i="37" s="1"/>
  <c r="J94" i="37" s="1"/>
  <c r="K94" i="37" s="1"/>
  <c r="L94" i="37" s="1"/>
  <c r="M94" i="37" s="1"/>
  <c r="H31" i="37"/>
  <c r="F71" i="37"/>
  <c r="G71" i="37" s="1"/>
  <c r="J15" i="37"/>
  <c r="W15" i="37" s="1"/>
  <c r="AT6" i="3"/>
  <c r="AA25" i="21"/>
  <c r="C12" i="43"/>
  <c r="H19" i="40"/>
  <c r="U19" i="40"/>
  <c r="F88" i="40"/>
  <c r="G88" i="40" s="1"/>
  <c r="F19" i="40"/>
  <c r="S19" i="40"/>
  <c r="S14" i="40"/>
  <c r="W23" i="39"/>
  <c r="AC43" i="39"/>
  <c r="W43" i="39"/>
  <c r="H37" i="39"/>
  <c r="AC37" i="39"/>
  <c r="W37" i="39"/>
  <c r="H25" i="39"/>
  <c r="J25" i="39"/>
  <c r="F25" i="39"/>
  <c r="AA25" i="39"/>
  <c r="F15" i="39"/>
  <c r="AA15" i="39" s="1"/>
  <c r="H15" i="39"/>
  <c r="U15" i="39"/>
  <c r="J15" i="39"/>
  <c r="W15" i="39" s="1"/>
  <c r="H41" i="39"/>
  <c r="W27" i="39"/>
  <c r="AB34" i="39"/>
  <c r="U40" i="39"/>
  <c r="S42" i="39"/>
  <c r="W14" i="39"/>
  <c r="AA41" i="39"/>
  <c r="W9" i="39"/>
  <c r="W8" i="39"/>
  <c r="J19" i="40"/>
  <c r="AC19" i="40" s="1"/>
  <c r="J50" i="40"/>
  <c r="B54" i="72"/>
  <c r="H103" i="9"/>
  <c r="B16" i="53"/>
  <c r="B33" i="72" s="1"/>
  <c r="C7" i="37"/>
  <c r="C7" i="34"/>
  <c r="C59" i="34" s="1"/>
  <c r="D59" i="34" s="1"/>
  <c r="E59" i="34" s="1"/>
  <c r="F59" i="34" s="1"/>
  <c r="G59" i="34" s="1"/>
  <c r="H59" i="34" s="1"/>
  <c r="I59" i="34" s="1"/>
  <c r="J59" i="34" s="1"/>
  <c r="C7" i="36"/>
  <c r="C46" i="36" s="1"/>
  <c r="D46" i="36" s="1"/>
  <c r="E46" i="36" s="1"/>
  <c r="F46" i="36" s="1"/>
  <c r="G46" i="36" s="1"/>
  <c r="H46" i="36" s="1"/>
  <c r="I46" i="36" s="1"/>
  <c r="W35" i="40"/>
  <c r="A118" i="9"/>
  <c r="A4" i="52"/>
  <c r="B41" i="72" s="1"/>
  <c r="J11" i="39"/>
  <c r="W11" i="39" s="1"/>
  <c r="F11" i="39"/>
  <c r="AA11" i="39" s="1"/>
  <c r="A12" i="52"/>
  <c r="B56" i="72" s="1"/>
  <c r="G4" i="4"/>
  <c r="I4" i="4"/>
  <c r="A2" i="9"/>
  <c r="F59" i="43"/>
  <c r="BL549" i="3"/>
  <c r="AZ494" i="3"/>
  <c r="AZ514" i="3"/>
  <c r="AZ522" i="3"/>
  <c r="AZ530" i="3"/>
  <c r="AZ546"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AZ144" i="3" s="1"/>
  <c r="G145" i="3"/>
  <c r="BA147" i="3"/>
  <c r="AZ147" i="3"/>
  <c r="BL148" i="3"/>
  <c r="G149" i="3"/>
  <c r="BA151" i="3"/>
  <c r="BL152" i="3"/>
  <c r="G153" i="3"/>
  <c r="BA155" i="3"/>
  <c r="AZ155" i="3" s="1"/>
  <c r="BL156" i="3"/>
  <c r="AZ156" i="3" s="1"/>
  <c r="G157" i="3"/>
  <c r="BA159" i="3"/>
  <c r="AZ159" i="3" s="1"/>
  <c r="BL160" i="3"/>
  <c r="G161" i="3"/>
  <c r="BA163" i="3"/>
  <c r="AZ163" i="3" s="1"/>
  <c r="BL164" i="3"/>
  <c r="AZ164" i="3"/>
  <c r="G165" i="3"/>
  <c r="BA167" i="3"/>
  <c r="BL168" i="3"/>
  <c r="AZ168" i="3" s="1"/>
  <c r="G169" i="3"/>
  <c r="BA171" i="3"/>
  <c r="BL172" i="3"/>
  <c r="AZ172" i="3" s="1"/>
  <c r="G173" i="3"/>
  <c r="BA175" i="3"/>
  <c r="AZ175" i="3"/>
  <c r="BL176" i="3"/>
  <c r="G177" i="3"/>
  <c r="BA179" i="3"/>
  <c r="AZ179" i="3"/>
  <c r="BL180" i="3"/>
  <c r="AZ180" i="3" s="1"/>
  <c r="G181" i="3"/>
  <c r="BA183" i="3"/>
  <c r="AZ183" i="3" s="1"/>
  <c r="BL184" i="3"/>
  <c r="G185" i="3"/>
  <c r="BA187" i="3"/>
  <c r="BL188" i="3"/>
  <c r="AZ188" i="3" s="1"/>
  <c r="G189" i="3"/>
  <c r="BA191" i="3"/>
  <c r="AZ191" i="3" s="1"/>
  <c r="BL192" i="3"/>
  <c r="G193" i="3"/>
  <c r="BA195" i="3"/>
  <c r="AZ195" i="3" s="1"/>
  <c r="BL196" i="3"/>
  <c r="G197" i="3"/>
  <c r="BA199" i="3"/>
  <c r="AZ199" i="3" s="1"/>
  <c r="BL200" i="3"/>
  <c r="AZ200" i="3" s="1"/>
  <c r="G201" i="3"/>
  <c r="BA203" i="3"/>
  <c r="AZ203" i="3" s="1"/>
  <c r="BL204" i="3"/>
  <c r="AZ204" i="3" s="1"/>
  <c r="AZ43" i="3"/>
  <c r="AZ47" i="3"/>
  <c r="AZ51" i="3"/>
  <c r="AZ55" i="3"/>
  <c r="AZ59" i="3"/>
  <c r="AZ63" i="3"/>
  <c r="AZ67" i="3"/>
  <c r="AZ71" i="3"/>
  <c r="AZ75" i="3"/>
  <c r="AZ152" i="3"/>
  <c r="AZ160" i="3"/>
  <c r="AZ184"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AZ356" i="3" s="1"/>
  <c r="BL356" i="3"/>
  <c r="G357" i="3"/>
  <c r="G360" i="3"/>
  <c r="BL361" i="3"/>
  <c r="BA363" i="3"/>
  <c r="AZ363" i="3" s="1"/>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6" i="3"/>
  <c r="AZ150" i="3"/>
  <c r="AZ166" i="3"/>
  <c r="AZ170" i="3"/>
  <c r="AZ174" i="3"/>
  <c r="AZ186" i="3"/>
  <c r="AZ190" i="3"/>
  <c r="AZ194" i="3"/>
  <c r="AZ500" i="3"/>
  <c r="BA16" i="3"/>
  <c r="AZ16" i="3" s="1"/>
  <c r="BL303" i="3"/>
  <c r="G304" i="3"/>
  <c r="BA306" i="3"/>
  <c r="AZ306" i="3" s="1"/>
  <c r="BL307" i="3"/>
  <c r="AZ307" i="3"/>
  <c r="G308" i="3"/>
  <c r="BA310" i="3"/>
  <c r="AZ310" i="3" s="1"/>
  <c r="BL311" i="3"/>
  <c r="AZ311" i="3" s="1"/>
  <c r="G312" i="3"/>
  <c r="BA314" i="3"/>
  <c r="AZ314" i="3"/>
  <c r="BL315" i="3"/>
  <c r="AZ315" i="3" s="1"/>
  <c r="G316" i="3"/>
  <c r="BA318" i="3"/>
  <c r="AZ318" i="3" s="1"/>
  <c r="BL319" i="3"/>
  <c r="G320" i="3"/>
  <c r="BA322" i="3"/>
  <c r="AZ322" i="3" s="1"/>
  <c r="BL323" i="3"/>
  <c r="AZ323" i="3" s="1"/>
  <c r="G324" i="3"/>
  <c r="BA326" i="3"/>
  <c r="AZ326" i="3" s="1"/>
  <c r="BL327" i="3"/>
  <c r="AZ327" i="3"/>
  <c r="G328" i="3"/>
  <c r="BA330" i="3"/>
  <c r="AZ330" i="3" s="1"/>
  <c r="BL331" i="3"/>
  <c r="G332" i="3"/>
  <c r="BA334" i="3"/>
  <c r="AZ334" i="3"/>
  <c r="BL335" i="3"/>
  <c r="G336" i="3"/>
  <c r="BA338" i="3"/>
  <c r="AZ338" i="3"/>
  <c r="BL339" i="3"/>
  <c r="AZ339" i="3" s="1"/>
  <c r="G340" i="3"/>
  <c r="BL343" i="3"/>
  <c r="G344" i="3"/>
  <c r="G348" i="3"/>
  <c r="G355" i="3"/>
  <c r="AZ209" i="3"/>
  <c r="AZ218" i="3"/>
  <c r="AZ303" i="3"/>
  <c r="AZ319" i="3"/>
  <c r="G342" i="3"/>
  <c r="BL345" i="3"/>
  <c r="AZ345" i="3" s="1"/>
  <c r="G346" i="3"/>
  <c r="AZ348" i="3"/>
  <c r="BL349" i="3"/>
  <c r="AZ349" i="3" s="1"/>
  <c r="BL352" i="3"/>
  <c r="G353" i="3"/>
  <c r="BA357" i="3"/>
  <c r="BL358" i="3"/>
  <c r="AZ358" i="3" s="1"/>
  <c r="G359" i="3"/>
  <c r="BA361" i="3"/>
  <c r="AZ361" i="3" s="1"/>
  <c r="BL362" i="3"/>
  <c r="G363" i="3"/>
  <c r="BA365" i="3"/>
  <c r="AZ365" i="3" s="1"/>
  <c r="BL366" i="3"/>
  <c r="AZ366" i="3"/>
  <c r="G367" i="3"/>
  <c r="BA369" i="3"/>
  <c r="AZ369" i="3" s="1"/>
  <c r="BL370" i="3"/>
  <c r="AZ370" i="3" s="1"/>
  <c r="G371" i="3"/>
  <c r="BA373" i="3"/>
  <c r="AZ373" i="3" s="1"/>
  <c r="BL374" i="3"/>
  <c r="AZ374" i="3" s="1"/>
  <c r="G375" i="3"/>
  <c r="BA377" i="3"/>
  <c r="AZ377" i="3"/>
  <c r="AZ229" i="3"/>
  <c r="AZ233" i="3"/>
  <c r="AZ241" i="3"/>
  <c r="AZ249" i="3"/>
  <c r="AZ253" i="3"/>
  <c r="AZ261" i="3"/>
  <c r="AZ265" i="3"/>
  <c r="AZ269" i="3"/>
  <c r="AZ273" i="3"/>
  <c r="BA379" i="3"/>
  <c r="BL380" i="3"/>
  <c r="G381" i="3"/>
  <c r="BA383" i="3"/>
  <c r="AZ383" i="3" s="1"/>
  <c r="BL384" i="3"/>
  <c r="AZ384" i="3" s="1"/>
  <c r="G385" i="3"/>
  <c r="BA387" i="3"/>
  <c r="AZ387" i="3" s="1"/>
  <c r="BL388" i="3"/>
  <c r="AZ388" i="3" s="1"/>
  <c r="G389" i="3"/>
  <c r="BA391" i="3"/>
  <c r="AZ391" i="3" s="1"/>
  <c r="BL392" i="3"/>
  <c r="G393" i="3"/>
  <c r="AZ263" i="3"/>
  <c r="AZ275" i="3"/>
  <c r="AZ279" i="3"/>
  <c r="AZ283" i="3"/>
  <c r="AZ287" i="3"/>
  <c r="AZ291" i="3"/>
  <c r="AZ295" i="3"/>
  <c r="AZ299" i="3"/>
  <c r="BJ5" i="3"/>
  <c r="BF5" i="3"/>
  <c r="AZ309" i="3"/>
  <c r="AZ317" i="3"/>
  <c r="AZ333" i="3"/>
  <c r="AZ341" i="3"/>
  <c r="AZ549" i="3"/>
  <c r="AZ506" i="3"/>
  <c r="AZ496" i="3"/>
  <c r="G548" i="3"/>
  <c r="G538" i="3"/>
  <c r="G520" i="3"/>
  <c r="G502" i="3"/>
  <c r="BS5" i="3"/>
  <c r="BP5" i="3"/>
  <c r="BI5" i="3"/>
  <c r="BE5" i="3"/>
  <c r="G17" i="3"/>
  <c r="BA17" i="3"/>
  <c r="AZ352" i="3"/>
  <c r="AZ368" i="3"/>
  <c r="BA15" i="3"/>
  <c r="AZ15" i="3" s="1"/>
  <c r="AZ396" i="3"/>
  <c r="AZ499" i="3"/>
  <c r="G509" i="3"/>
  <c r="BL493" i="3"/>
  <c r="AZ493" i="3" s="1"/>
  <c r="AZ390" i="3"/>
  <c r="U36" i="40"/>
  <c r="F36" i="43"/>
  <c r="F81" i="43"/>
  <c r="H83" i="43" s="1"/>
  <c r="H113" i="43"/>
  <c r="F48" i="43"/>
  <c r="H52" i="43" s="1"/>
  <c r="F70" i="43"/>
  <c r="H73" i="43" s="1"/>
  <c r="M11" i="43"/>
  <c r="D17" i="43"/>
  <c r="F39" i="43"/>
  <c r="I17" i="43"/>
  <c r="F35" i="43"/>
  <c r="J17" i="43"/>
  <c r="F6" i="1"/>
  <c r="G6" i="1" s="1"/>
  <c r="S14" i="35"/>
  <c r="U43" i="21"/>
  <c r="U35" i="21"/>
  <c r="AC35" i="21"/>
  <c r="U10" i="21"/>
  <c r="G8" i="1"/>
  <c r="G9" i="1"/>
  <c r="G10" i="1"/>
  <c r="W37" i="37"/>
  <c r="J37" i="33"/>
  <c r="W37" i="33"/>
  <c r="H106" i="33"/>
  <c r="I106" i="33" s="1"/>
  <c r="J106" i="33" s="1"/>
  <c r="K106" i="33" s="1"/>
  <c r="L106" i="33"/>
  <c r="M106" i="33" s="1"/>
  <c r="J34" i="33"/>
  <c r="W34" i="33" s="1"/>
  <c r="F33" i="34"/>
  <c r="S33" i="34" s="1"/>
  <c r="W12" i="36"/>
  <c r="AC12" i="36"/>
  <c r="H20" i="36"/>
  <c r="J20" i="36"/>
  <c r="W20" i="36" s="1"/>
  <c r="W24" i="36"/>
  <c r="J27" i="36"/>
  <c r="W27" i="36" s="1"/>
  <c r="AB25" i="37"/>
  <c r="AC33" i="40"/>
  <c r="F111" i="40"/>
  <c r="G111" i="40" s="1"/>
  <c r="H111" i="40" s="1"/>
  <c r="I111" i="40"/>
  <c r="J111" i="40" s="1"/>
  <c r="K111" i="40" s="1"/>
  <c r="L111" i="40" s="1"/>
  <c r="M111" i="40" s="1"/>
  <c r="H35" i="40"/>
  <c r="AB35" i="40" s="1"/>
  <c r="AC29" i="35"/>
  <c r="W29" i="35"/>
  <c r="H35" i="37"/>
  <c r="U35" i="37" s="1"/>
  <c r="AC14" i="35"/>
  <c r="H20" i="35"/>
  <c r="F20" i="35"/>
  <c r="AA20" i="35" s="1"/>
  <c r="AB23" i="35"/>
  <c r="H32" i="37"/>
  <c r="AB32" i="37"/>
  <c r="H27" i="40"/>
  <c r="U27" i="40" s="1"/>
  <c r="J27" i="40"/>
  <c r="AC27" i="40" s="1"/>
  <c r="F27" i="40"/>
  <c r="S27" i="40" s="1"/>
  <c r="J30" i="40"/>
  <c r="F30" i="40"/>
  <c r="AA30" i="40" s="1"/>
  <c r="AC21" i="40"/>
  <c r="E98" i="40"/>
  <c r="F98" i="40"/>
  <c r="G98" i="40" s="1"/>
  <c r="H98" i="40" s="1"/>
  <c r="I98" i="40" s="1"/>
  <c r="J98" i="40"/>
  <c r="K98" i="40" s="1"/>
  <c r="L98" i="40" s="1"/>
  <c r="M98" i="40" s="1"/>
  <c r="F10" i="33"/>
  <c r="S10" i="33" s="1"/>
  <c r="F34" i="33"/>
  <c r="S34" i="33" s="1"/>
  <c r="H34" i="33"/>
  <c r="F35" i="33"/>
  <c r="S35" i="33" s="1"/>
  <c r="F39" i="34"/>
  <c r="S39" i="34" s="1"/>
  <c r="J39" i="34"/>
  <c r="W39" i="34" s="1"/>
  <c r="F40" i="34"/>
  <c r="F43" i="34"/>
  <c r="AA43" i="34" s="1"/>
  <c r="H44" i="34"/>
  <c r="AB44" i="34" s="1"/>
  <c r="AC38" i="39"/>
  <c r="F39" i="39"/>
  <c r="S39" i="39"/>
  <c r="J39" i="39"/>
  <c r="AC39" i="39" s="1"/>
  <c r="E97" i="39"/>
  <c r="F97" i="39"/>
  <c r="G97" i="39" s="1"/>
  <c r="AZ353" i="3"/>
  <c r="AZ354" i="3"/>
  <c r="C40" i="11"/>
  <c r="AZ215" i="3"/>
  <c r="AZ223" i="3"/>
  <c r="AZ243" i="3"/>
  <c r="AZ251" i="3"/>
  <c r="AZ256" i="3"/>
  <c r="AZ268" i="3"/>
  <c r="AZ271" i="3"/>
  <c r="AZ280" i="3"/>
  <c r="AZ296" i="3"/>
  <c r="AZ114" i="3"/>
  <c r="AZ130" i="3"/>
  <c r="AZ21" i="3"/>
  <c r="AZ31" i="3"/>
  <c r="AZ33" i="3"/>
  <c r="AZ37" i="3"/>
  <c r="AZ45" i="3"/>
  <c r="AZ53" i="3"/>
  <c r="AZ61" i="3"/>
  <c r="AZ69" i="3"/>
  <c r="AZ72" i="3"/>
  <c r="AZ82" i="3"/>
  <c r="AZ86" i="3"/>
  <c r="AZ94" i="3"/>
  <c r="I20" i="43"/>
  <c r="C20" i="43" s="1"/>
  <c r="F23" i="39"/>
  <c r="AA23" i="39" s="1"/>
  <c r="H27" i="36"/>
  <c r="F27" i="36"/>
  <c r="AA27" i="36" s="1"/>
  <c r="H33" i="34"/>
  <c r="F32" i="37"/>
  <c r="AA32" i="37" s="1"/>
  <c r="G96" i="37"/>
  <c r="H96" i="37" s="1"/>
  <c r="I96" i="37" s="1"/>
  <c r="J96" i="37" s="1"/>
  <c r="K96" i="37" s="1"/>
  <c r="L96" i="37" s="1"/>
  <c r="M96" i="37" s="1"/>
  <c r="F20" i="36"/>
  <c r="AA20" i="36"/>
  <c r="J33" i="34"/>
  <c r="AC33" i="34" s="1"/>
  <c r="H23" i="39"/>
  <c r="U23" i="39"/>
  <c r="D48" i="9"/>
  <c r="M52" i="9" s="1"/>
  <c r="H86" i="43"/>
  <c r="H87" i="43"/>
  <c r="AE9" i="1"/>
  <c r="D93" i="9"/>
  <c r="AC12" i="39"/>
  <c r="W12" i="39"/>
  <c r="AC39" i="40"/>
  <c r="W39" i="40"/>
  <c r="AZ401" i="3"/>
  <c r="AZ412" i="3"/>
  <c r="AZ417" i="3"/>
  <c r="AZ428" i="3"/>
  <c r="W12" i="33"/>
  <c r="AC12" i="33"/>
  <c r="AA32" i="36"/>
  <c r="S32" i="36"/>
  <c r="AZ551" i="3"/>
  <c r="AZ550" i="3"/>
  <c r="AZ408" i="3"/>
  <c r="AZ437" i="3"/>
  <c r="AZ441" i="3"/>
  <c r="AZ457" i="3"/>
  <c r="AZ490" i="3"/>
  <c r="AA39" i="34"/>
  <c r="BL14" i="3"/>
  <c r="U30" i="33"/>
  <c r="AC13" i="34"/>
  <c r="AA47" i="34"/>
  <c r="W28" i="37"/>
  <c r="S19" i="39"/>
  <c r="F12" i="33"/>
  <c r="H12" i="39"/>
  <c r="AB12" i="39" s="1"/>
  <c r="F39" i="40"/>
  <c r="AA39" i="40" s="1"/>
  <c r="BA14" i="3"/>
  <c r="AZ14" i="3" s="1"/>
  <c r="AZ213" i="3"/>
  <c r="AZ234" i="3"/>
  <c r="AZ238" i="3"/>
  <c r="AZ281" i="3"/>
  <c r="AZ286" i="3"/>
  <c r="AZ149" i="3"/>
  <c r="AZ157" i="3"/>
  <c r="AZ165" i="3"/>
  <c r="AZ173" i="3"/>
  <c r="AZ35" i="3"/>
  <c r="AZ41" i="3"/>
  <c r="S12" i="1"/>
  <c r="AR12" i="1" s="1"/>
  <c r="R12" i="1"/>
  <c r="B12" i="1"/>
  <c r="E12" i="1" s="1"/>
  <c r="S10" i="1"/>
  <c r="AQ10" i="1" s="1"/>
  <c r="R10" i="1"/>
  <c r="B10" i="1"/>
  <c r="E10" i="1"/>
  <c r="AZ80" i="3"/>
  <c r="AZ84" i="3"/>
  <c r="AZ107" i="3"/>
  <c r="AZ111" i="3"/>
  <c r="K12" i="1"/>
  <c r="M12" i="1" s="1"/>
  <c r="S13" i="1"/>
  <c r="R13" i="1"/>
  <c r="S11" i="1"/>
  <c r="AQ11" i="1" s="1"/>
  <c r="R11" i="1"/>
  <c r="J51" i="67"/>
  <c r="C42" i="1"/>
  <c r="H100" i="43"/>
  <c r="C30" i="66"/>
  <c r="E26" i="66" s="1"/>
  <c r="AC34" i="33"/>
  <c r="B41" i="1"/>
  <c r="F53" i="9" s="1"/>
  <c r="J100" i="43"/>
  <c r="AB37" i="40"/>
  <c r="S35" i="40"/>
  <c r="AC36" i="40"/>
  <c r="W38" i="40"/>
  <c r="AA32" i="40"/>
  <c r="S17" i="40"/>
  <c r="S23" i="40"/>
  <c r="AC17" i="40"/>
  <c r="AC15" i="40"/>
  <c r="S30" i="40"/>
  <c r="AA19" i="40"/>
  <c r="S28" i="40"/>
  <c r="U21" i="40"/>
  <c r="AB19" i="40"/>
  <c r="W42" i="39"/>
  <c r="W39" i="39"/>
  <c r="S43" i="39"/>
  <c r="S37" i="39"/>
  <c r="F32" i="39"/>
  <c r="AA32" i="39" s="1"/>
  <c r="F107" i="39"/>
  <c r="G107" i="39" s="1"/>
  <c r="AB27" i="39"/>
  <c r="S25" i="39"/>
  <c r="J21" i="39"/>
  <c r="F21" i="39"/>
  <c r="G95" i="39"/>
  <c r="H21" i="39"/>
  <c r="W19" i="39"/>
  <c r="U19" i="39"/>
  <c r="S17" i="39"/>
  <c r="AC15" i="39"/>
  <c r="S15" i="39"/>
  <c r="AB15" i="39"/>
  <c r="AA12" i="39"/>
  <c r="S9" i="39"/>
  <c r="AC13" i="39"/>
  <c r="U12" i="39"/>
  <c r="S23" i="36"/>
  <c r="U13" i="36"/>
  <c r="AC27" i="36"/>
  <c r="U26" i="36"/>
  <c r="S27" i="36"/>
  <c r="AA26" i="36"/>
  <c r="S29" i="36"/>
  <c r="AC26" i="36"/>
  <c r="AA22" i="36"/>
  <c r="W14" i="36"/>
  <c r="AB14" i="36"/>
  <c r="U22" i="36"/>
  <c r="S16" i="36"/>
  <c r="S24" i="36"/>
  <c r="U24" i="36"/>
  <c r="U16" i="36"/>
  <c r="S14" i="36"/>
  <c r="U10" i="36"/>
  <c r="AA25" i="35"/>
  <c r="S23" i="35"/>
  <c r="AB13" i="35"/>
  <c r="U29" i="35"/>
  <c r="U28" i="35"/>
  <c r="AB27" i="35"/>
  <c r="U36" i="35"/>
  <c r="U32" i="35"/>
  <c r="AA33" i="35"/>
  <c r="AC30" i="35"/>
  <c r="S32" i="35"/>
  <c r="AA36" i="35"/>
  <c r="W32" i="35"/>
  <c r="S28" i="35"/>
  <c r="AB16" i="35"/>
  <c r="S20" i="35"/>
  <c r="AC20" i="35"/>
  <c r="S22" i="35"/>
  <c r="U14" i="35"/>
  <c r="AC10" i="35"/>
  <c r="AA10" i="35"/>
  <c r="AB10" i="35"/>
  <c r="AA11" i="35"/>
  <c r="S8" i="35"/>
  <c r="AC9" i="35"/>
  <c r="W9" i="35"/>
  <c r="W13" i="35"/>
  <c r="F9" i="35"/>
  <c r="S9" i="35" s="1"/>
  <c r="H9" i="35"/>
  <c r="F26" i="35"/>
  <c r="AA26" i="35"/>
  <c r="J26" i="35"/>
  <c r="H26" i="35"/>
  <c r="AB40" i="37"/>
  <c r="S25" i="37"/>
  <c r="W27" i="37"/>
  <c r="S26" i="37"/>
  <c r="AC9" i="37"/>
  <c r="AC29" i="37"/>
  <c r="U29" i="37"/>
  <c r="S32" i="37"/>
  <c r="W30" i="37"/>
  <c r="S36" i="37"/>
  <c r="U32" i="37"/>
  <c r="W38" i="37"/>
  <c r="AC35" i="37"/>
  <c r="W39" i="37"/>
  <c r="S30" i="37"/>
  <c r="S37" i="37"/>
  <c r="J17" i="37"/>
  <c r="G73" i="37"/>
  <c r="F17" i="37"/>
  <c r="AA17" i="37" s="1"/>
  <c r="AB17" i="37"/>
  <c r="F75" i="37"/>
  <c r="F19" i="37"/>
  <c r="F79" i="37"/>
  <c r="F23" i="37"/>
  <c r="S23" i="37"/>
  <c r="U23" i="37"/>
  <c r="U15" i="37"/>
  <c r="U9" i="37"/>
  <c r="AA13" i="37"/>
  <c r="AA9" i="37"/>
  <c r="H10" i="37"/>
  <c r="AB10" i="37" s="1"/>
  <c r="H60" i="37"/>
  <c r="F63" i="37"/>
  <c r="G63" i="37" s="1"/>
  <c r="H63" i="37" s="1"/>
  <c r="I63" i="37" s="1"/>
  <c r="J63" i="37" s="1"/>
  <c r="K63" i="37" s="1"/>
  <c r="L63" i="37" s="1"/>
  <c r="M63" i="37" s="1"/>
  <c r="F11" i="37"/>
  <c r="S11" i="37"/>
  <c r="W25" i="34"/>
  <c r="AB8" i="34"/>
  <c r="AA33" i="34"/>
  <c r="U43" i="34"/>
  <c r="W41" i="34"/>
  <c r="AC42" i="34"/>
  <c r="AB35" i="34"/>
  <c r="U39" i="34"/>
  <c r="S43" i="34"/>
  <c r="AB41" i="34"/>
  <c r="AA45" i="34"/>
  <c r="W34" i="34"/>
  <c r="AA25" i="34"/>
  <c r="S17" i="34"/>
  <c r="AA29" i="34"/>
  <c r="S23" i="34"/>
  <c r="U15" i="34"/>
  <c r="S10" i="34"/>
  <c r="S13" i="34"/>
  <c r="H67" i="34"/>
  <c r="I67" i="34" s="1"/>
  <c r="H10" i="34"/>
  <c r="F11" i="34"/>
  <c r="S11" i="34"/>
  <c r="F70" i="34"/>
  <c r="G70" i="34" s="1"/>
  <c r="W42" i="33"/>
  <c r="AA35" i="33"/>
  <c r="S27" i="33"/>
  <c r="S32" i="33"/>
  <c r="AA29" i="33"/>
  <c r="AB29" i="33"/>
  <c r="W38" i="33"/>
  <c r="H41" i="33"/>
  <c r="AB41" i="33" s="1"/>
  <c r="F121" i="33"/>
  <c r="G121" i="33" s="1"/>
  <c r="H121" i="33"/>
  <c r="I121" i="33" s="1"/>
  <c r="J121" i="33"/>
  <c r="K121" i="33" s="1"/>
  <c r="L121" i="33" s="1"/>
  <c r="M121" i="33" s="1"/>
  <c r="U42" i="33"/>
  <c r="F36" i="33"/>
  <c r="S36" i="33" s="1"/>
  <c r="G108" i="33"/>
  <c r="H108" i="33" s="1"/>
  <c r="I108" i="33" s="1"/>
  <c r="J108" i="33"/>
  <c r="K108" i="33" s="1"/>
  <c r="L108" i="33" s="1"/>
  <c r="M108" i="33" s="1"/>
  <c r="J35" i="33"/>
  <c r="S37" i="33"/>
  <c r="AA37" i="33"/>
  <c r="S39" i="33"/>
  <c r="F101" i="33"/>
  <c r="G101" i="33"/>
  <c r="H101" i="33" s="1"/>
  <c r="I101" i="33" s="1"/>
  <c r="J101" i="33" s="1"/>
  <c r="K101" i="33" s="1"/>
  <c r="L101" i="33" s="1"/>
  <c r="M101" i="33" s="1"/>
  <c r="J32" i="33"/>
  <c r="S46" i="33"/>
  <c r="W43" i="33"/>
  <c r="S43" i="33"/>
  <c r="F91" i="33"/>
  <c r="H27" i="33"/>
  <c r="H25" i="33"/>
  <c r="F25" i="33"/>
  <c r="S25" i="33" s="1"/>
  <c r="J23" i="33"/>
  <c r="F85" i="33"/>
  <c r="H23" i="33"/>
  <c r="F81" i="33"/>
  <c r="G81" i="33" s="1"/>
  <c r="F19" i="33"/>
  <c r="S19" i="33" s="1"/>
  <c r="W19" i="33"/>
  <c r="J17" i="33"/>
  <c r="F79" i="33"/>
  <c r="G79" i="33" s="1"/>
  <c r="S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c r="G13" i="3"/>
  <c r="BL17" i="3"/>
  <c r="J56" i="9"/>
  <c r="J57" i="9" s="1"/>
  <c r="J59" i="9" s="1"/>
  <c r="J61" i="9" s="1"/>
  <c r="A24" i="51"/>
  <c r="B18" i="72"/>
  <c r="U29" i="34"/>
  <c r="E32" i="6"/>
  <c r="L19" i="6" s="1"/>
  <c r="E19" i="69"/>
  <c r="E19" i="68"/>
  <c r="E19" i="11"/>
  <c r="E1" i="73"/>
  <c r="G22" i="69"/>
  <c r="G22" i="68"/>
  <c r="G26" i="12"/>
  <c r="G22" i="11"/>
  <c r="C100" i="43"/>
  <c r="E11" i="43"/>
  <c r="E10" i="43"/>
  <c r="E9" i="43"/>
  <c r="E8" i="43"/>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D68" i="39" s="1"/>
  <c r="D70" i="39" s="1"/>
  <c r="C7" i="35"/>
  <c r="C48" i="35" s="1"/>
  <c r="D48" i="35" s="1"/>
  <c r="C7" i="33"/>
  <c r="C58" i="33" s="1"/>
  <c r="C7" i="21"/>
  <c r="C58" i="21" s="1"/>
  <c r="C7" i="40"/>
  <c r="C63" i="40" s="1"/>
  <c r="M47" i="9"/>
  <c r="G19" i="43"/>
  <c r="O19" i="43" s="1"/>
  <c r="C19" i="43" s="1"/>
  <c r="T35" i="4"/>
  <c r="A19" i="51"/>
  <c r="B14" i="72" s="1"/>
  <c r="C52" i="37"/>
  <c r="D52" i="37" s="1"/>
  <c r="A4" i="51"/>
  <c r="B6" i="72" s="1"/>
  <c r="H66" i="43"/>
  <c r="H65" i="43"/>
  <c r="H63" i="43"/>
  <c r="H55" i="43"/>
  <c r="H56" i="43"/>
  <c r="H72" i="43"/>
  <c r="L20" i="6"/>
  <c r="K11" i="1"/>
  <c r="M11" i="1" s="1"/>
  <c r="O11" i="1" s="1"/>
  <c r="P11" i="1" s="1"/>
  <c r="B9" i="1"/>
  <c r="E9" i="1" s="1"/>
  <c r="W23" i="40"/>
  <c r="U32" i="40"/>
  <c r="AB31" i="40"/>
  <c r="S37" i="40"/>
  <c r="AB28" i="40"/>
  <c r="W28" i="40"/>
  <c r="W34" i="40"/>
  <c r="W19" i="40"/>
  <c r="W27" i="40"/>
  <c r="W37" i="40"/>
  <c r="AC14" i="40"/>
  <c r="S33" i="40"/>
  <c r="AA15" i="40"/>
  <c r="U11" i="40"/>
  <c r="S31" i="40"/>
  <c r="U15" i="40"/>
  <c r="AB17" i="40"/>
  <c r="U8" i="40"/>
  <c r="S8" i="40"/>
  <c r="AA39" i="39"/>
  <c r="AC41" i="39"/>
  <c r="U42" i="39"/>
  <c r="AB23" i="39"/>
  <c r="U41" i="39"/>
  <c r="AB41" i="39"/>
  <c r="W25" i="39"/>
  <c r="AC25" i="39"/>
  <c r="U13" i="39"/>
  <c r="AB13" i="39"/>
  <c r="AA13" i="39"/>
  <c r="S13" i="39"/>
  <c r="U43" i="39"/>
  <c r="AB43" i="39"/>
  <c r="AA27" i="39"/>
  <c r="S27" i="39"/>
  <c r="W17" i="39"/>
  <c r="AC17" i="39"/>
  <c r="S23" i="39"/>
  <c r="AA45" i="39"/>
  <c r="AB39" i="39"/>
  <c r="W34" i="39"/>
  <c r="U38" i="39"/>
  <c r="S8" i="39"/>
  <c r="S20" i="36"/>
  <c r="S28" i="36"/>
  <c r="U32" i="36"/>
  <c r="W29" i="36"/>
  <c r="AC20" i="36"/>
  <c r="U25" i="36"/>
  <c r="AB28" i="36"/>
  <c r="AA13" i="36"/>
  <c r="W22" i="36"/>
  <c r="AC25" i="35"/>
  <c r="U25" i="35"/>
  <c r="W33" i="35"/>
  <c r="AA30" i="35"/>
  <c r="U24" i="35"/>
  <c r="S35" i="35"/>
  <c r="W35" i="35"/>
  <c r="AA16" i="35"/>
  <c r="AA35" i="37"/>
  <c r="W36" i="37"/>
  <c r="S27" i="37"/>
  <c r="S28" i="37"/>
  <c r="W32" i="37"/>
  <c r="U36" i="37"/>
  <c r="S40" i="37"/>
  <c r="AB37" i="37"/>
  <c r="S33" i="37"/>
  <c r="AC34" i="37"/>
  <c r="AB35" i="37"/>
  <c r="AA11" i="37"/>
  <c r="AA31" i="37"/>
  <c r="U19" i="37"/>
  <c r="AA29" i="37"/>
  <c r="AA8" i="37"/>
  <c r="U8" i="37"/>
  <c r="AB40" i="34"/>
  <c r="U19" i="34"/>
  <c r="W19" i="34"/>
  <c r="AC45" i="34"/>
  <c r="AA31" i="34"/>
  <c r="AA30" i="34"/>
  <c r="AB45" i="34"/>
  <c r="AB47" i="34"/>
  <c r="U25" i="34"/>
  <c r="AB36" i="34"/>
  <c r="AC14" i="34"/>
  <c r="AC32" i="34"/>
  <c r="AC29" i="34"/>
  <c r="S32" i="34"/>
  <c r="S37" i="34"/>
  <c r="U38" i="34"/>
  <c r="AC40" i="34"/>
  <c r="W40" i="34"/>
  <c r="AA19" i="34"/>
  <c r="S19" i="34"/>
  <c r="AA36" i="34"/>
  <c r="S36" i="34"/>
  <c r="AA8" i="34"/>
  <c r="S8" i="34"/>
  <c r="U32" i="34"/>
  <c r="AB32" i="34"/>
  <c r="U14" i="34"/>
  <c r="AB14" i="34"/>
  <c r="AC43" i="34"/>
  <c r="W43" i="34"/>
  <c r="AA11" i="34"/>
  <c r="W23" i="34"/>
  <c r="AC23" i="34"/>
  <c r="AC35" i="34"/>
  <c r="W35" i="34"/>
  <c r="U12" i="34"/>
  <c r="AB12" i="34"/>
  <c r="AB28" i="33"/>
  <c r="AC37" i="33"/>
  <c r="W46" i="33"/>
  <c r="U38" i="33"/>
  <c r="S33" i="33"/>
  <c r="U44" i="33"/>
  <c r="AB44" i="33"/>
  <c r="S30" i="33"/>
  <c r="AA30" i="33"/>
  <c r="AC14" i="33"/>
  <c r="W14" i="33"/>
  <c r="AC30" i="33"/>
  <c r="W30" i="33"/>
  <c r="W13" i="33"/>
  <c r="AC13" i="33"/>
  <c r="U15" i="33"/>
  <c r="S11" i="33"/>
  <c r="U37" i="33"/>
  <c r="AC28" i="33"/>
  <c r="S28" i="33"/>
  <c r="W9" i="33"/>
  <c r="W8" i="33"/>
  <c r="S44" i="21"/>
  <c r="AB42" i="21"/>
  <c r="U28" i="21"/>
  <c r="AA11" i="21"/>
  <c r="J101" i="21"/>
  <c r="K101" i="21" s="1"/>
  <c r="L101" i="21" s="1"/>
  <c r="M101" i="21" s="1"/>
  <c r="F33" i="21"/>
  <c r="J33" i="21"/>
  <c r="H33" i="21"/>
  <c r="AB33" i="21"/>
  <c r="F37" i="21"/>
  <c r="S37" i="21" s="1"/>
  <c r="AA37" i="21"/>
  <c r="AA26" i="21"/>
  <c r="AB14" i="21"/>
  <c r="AB46" i="21"/>
  <c r="U40" i="21"/>
  <c r="U31" i="21"/>
  <c r="AC15" i="21"/>
  <c r="U13" i="21"/>
  <c r="AB13" i="21"/>
  <c r="W8" i="21"/>
  <c r="S35" i="21"/>
  <c r="AB37" i="21"/>
  <c r="J37" i="21"/>
  <c r="W37" i="21"/>
  <c r="H15" i="21"/>
  <c r="U15" i="21" s="1"/>
  <c r="J17" i="21"/>
  <c r="AC17" i="21"/>
  <c r="AC19" i="21"/>
  <c r="W39" i="21"/>
  <c r="AC14" i="21"/>
  <c r="W30" i="21"/>
  <c r="S46" i="21"/>
  <c r="F29" i="21"/>
  <c r="F13" i="21"/>
  <c r="AA13" i="21" s="1"/>
  <c r="AC38" i="21"/>
  <c r="H32" i="21"/>
  <c r="H9" i="21"/>
  <c r="J9" i="21"/>
  <c r="J32" i="21"/>
  <c r="F32" i="21"/>
  <c r="AA31" i="21"/>
  <c r="U17" i="21"/>
  <c r="W29" i="21"/>
  <c r="S19" i="21"/>
  <c r="S9" i="21"/>
  <c r="K141" i="21"/>
  <c r="K144" i="21"/>
  <c r="K143" i="21"/>
  <c r="U27" i="21"/>
  <c r="AB25" i="21"/>
  <c r="AB44" i="21"/>
  <c r="AA30" i="21"/>
  <c r="W42" i="21"/>
  <c r="F10" i="21"/>
  <c r="K145" i="21"/>
  <c r="W17" i="21"/>
  <c r="W25" i="21"/>
  <c r="W31" i="21"/>
  <c r="S27" i="21"/>
  <c r="S17" i="21"/>
  <c r="AA15" i="21"/>
  <c r="AC27" i="21"/>
  <c r="AC26" i="21"/>
  <c r="AB29" i="21"/>
  <c r="S28" i="21"/>
  <c r="AC34" i="21"/>
  <c r="W10" i="21"/>
  <c r="AB36" i="21"/>
  <c r="C19" i="39"/>
  <c r="C15" i="40"/>
  <c r="C17" i="40"/>
  <c r="C21" i="40"/>
  <c r="U30" i="40"/>
  <c r="B54" i="43"/>
  <c r="B65" i="43"/>
  <c r="B49" i="43"/>
  <c r="B52" i="43"/>
  <c r="B56" i="43"/>
  <c r="B60" i="43"/>
  <c r="B63" i="43"/>
  <c r="B67" i="43"/>
  <c r="D23" i="15"/>
  <c r="D22" i="15"/>
  <c r="E4" i="4"/>
  <c r="B5" i="62" s="1"/>
  <c r="B73" i="72" s="1"/>
  <c r="C4" i="4"/>
  <c r="E7" i="70"/>
  <c r="S12" i="33"/>
  <c r="AA12" i="33"/>
  <c r="J32" i="39"/>
  <c r="H107" i="39"/>
  <c r="I107" i="39" s="1"/>
  <c r="J107" i="39"/>
  <c r="K107" i="39" s="1"/>
  <c r="L107" i="39" s="1"/>
  <c r="M107" i="39" s="1"/>
  <c r="H32" i="39"/>
  <c r="S32" i="39"/>
  <c r="AB21" i="39"/>
  <c r="U21" i="39"/>
  <c r="AA21" i="39"/>
  <c r="S21" i="39"/>
  <c r="AC21" i="39"/>
  <c r="W21" i="39"/>
  <c r="S26" i="35"/>
  <c r="U9" i="35"/>
  <c r="AB9" i="35"/>
  <c r="AA9" i="35"/>
  <c r="AB26" i="35"/>
  <c r="U26" i="35"/>
  <c r="S17" i="37"/>
  <c r="J19" i="37"/>
  <c r="G75" i="37"/>
  <c r="S19" i="37"/>
  <c r="AA19" i="37"/>
  <c r="AA23" i="37"/>
  <c r="J23" i="37"/>
  <c r="G79" i="37"/>
  <c r="J10" i="37"/>
  <c r="I60" i="37"/>
  <c r="H11" i="37"/>
  <c r="AB11" i="37" s="1"/>
  <c r="U10" i="37"/>
  <c r="H11" i="34"/>
  <c r="AB11" i="34" s="1"/>
  <c r="AB10" i="34"/>
  <c r="U10" i="34"/>
  <c r="J10" i="34"/>
  <c r="U41" i="33"/>
  <c r="W35" i="33"/>
  <c r="AC35" i="33"/>
  <c r="I111" i="33"/>
  <c r="J111" i="33" s="1"/>
  <c r="K111" i="33" s="1"/>
  <c r="L111" i="33" s="1"/>
  <c r="M111" i="33" s="1"/>
  <c r="J36" i="33"/>
  <c r="H36" i="33"/>
  <c r="U36" i="33" s="1"/>
  <c r="AA36" i="33"/>
  <c r="AC32" i="33"/>
  <c r="W32" i="33"/>
  <c r="U27" i="33"/>
  <c r="AB27" i="33"/>
  <c r="G91" i="33"/>
  <c r="H91" i="33"/>
  <c r="I91" i="33" s="1"/>
  <c r="J91" i="33" s="1"/>
  <c r="K91" i="33" s="1"/>
  <c r="L91" i="33" s="1"/>
  <c r="M91" i="33" s="1"/>
  <c r="J27" i="33"/>
  <c r="W27" i="33" s="1"/>
  <c r="U25" i="33"/>
  <c r="AB25" i="33"/>
  <c r="AA25" i="33"/>
  <c r="J87" i="33"/>
  <c r="K87" i="33" s="1"/>
  <c r="L87" i="33" s="1"/>
  <c r="M87" i="33" s="1"/>
  <c r="J25" i="33"/>
  <c r="AB23" i="33"/>
  <c r="U23" i="33"/>
  <c r="F23" i="33"/>
  <c r="G85" i="33"/>
  <c r="AC23" i="33"/>
  <c r="W23" i="33"/>
  <c r="AA19" i="33"/>
  <c r="H19" i="33"/>
  <c r="H17" i="33"/>
  <c r="U17" i="33" s="1"/>
  <c r="F17" i="33"/>
  <c r="AA17" i="33" s="1"/>
  <c r="W17" i="33"/>
  <c r="AC17" i="33"/>
  <c r="U10" i="33"/>
  <c r="AB10" i="33"/>
  <c r="AC10" i="33"/>
  <c r="W10" i="33"/>
  <c r="AC37" i="21"/>
  <c r="U33" i="21"/>
  <c r="AA23" i="21"/>
  <c r="J23" i="21"/>
  <c r="F85" i="21"/>
  <c r="G85" i="21"/>
  <c r="H23" i="21"/>
  <c r="S13" i="21"/>
  <c r="S33" i="21"/>
  <c r="AA33" i="21"/>
  <c r="W32" i="21"/>
  <c r="AC32" i="21"/>
  <c r="AB9" i="21"/>
  <c r="U9" i="21"/>
  <c r="W9" i="21"/>
  <c r="AC9" i="21"/>
  <c r="AA10" i="21"/>
  <c r="S10" i="21"/>
  <c r="E6" i="70"/>
  <c r="A18" i="62"/>
  <c r="B64" i="72" s="1"/>
  <c r="AC32" i="39"/>
  <c r="W32" i="39"/>
  <c r="W23" i="37"/>
  <c r="AC23" i="37"/>
  <c r="U11" i="37"/>
  <c r="J11" i="37"/>
  <c r="W10" i="37"/>
  <c r="AC10" i="37"/>
  <c r="U11" i="34"/>
  <c r="AC10" i="34"/>
  <c r="W10" i="34"/>
  <c r="H70" i="34"/>
  <c r="I70" i="34" s="1"/>
  <c r="J70" i="34" s="1"/>
  <c r="K70" i="34" s="1"/>
  <c r="L70" i="34"/>
  <c r="M70" i="34" s="1"/>
  <c r="J11" i="34"/>
  <c r="AC36" i="33"/>
  <c r="W36" i="33"/>
  <c r="AB36" i="33"/>
  <c r="AA23" i="33"/>
  <c r="S23" i="33"/>
  <c r="S17" i="33"/>
  <c r="AB17" i="33"/>
  <c r="U23" i="21"/>
  <c r="AB23" i="21"/>
  <c r="AC11" i="37"/>
  <c r="W11" i="37"/>
  <c r="W11" i="34"/>
  <c r="AC11" i="34"/>
  <c r="AE7" i="1"/>
  <c r="AE8" i="1"/>
  <c r="AE6" i="1"/>
  <c r="AG6" i="1"/>
  <c r="H109" i="9"/>
  <c r="M49" i="9"/>
  <c r="L68" i="9" s="1"/>
  <c r="M68" i="9" s="1"/>
  <c r="H110" i="9"/>
  <c r="D18" i="53" s="1"/>
  <c r="B35" i="72" s="1"/>
  <c r="D124" i="9"/>
  <c r="D125" i="9" s="1"/>
  <c r="D11" i="52" s="1"/>
  <c r="D16" i="53"/>
  <c r="H112" i="9"/>
  <c r="D21" i="53"/>
  <c r="B39" i="72" s="1"/>
  <c r="H111" i="9"/>
  <c r="D126" i="9" s="1"/>
  <c r="D12" i="52" s="1"/>
  <c r="D127" i="9"/>
  <c r="D13" i="52" s="1"/>
  <c r="AD3" i="71"/>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D17" i="71"/>
  <c r="U17" i="71"/>
  <c r="S17" i="71"/>
  <c r="T17" i="71"/>
  <c r="AB15" i="71"/>
  <c r="X13" i="71"/>
  <c r="X12" i="71"/>
  <c r="AA13" i="71"/>
  <c r="AA12" i="71"/>
  <c r="X16" i="71"/>
  <c r="Y12" i="71"/>
  <c r="Z12" i="71" s="1"/>
  <c r="AB13" i="71"/>
  <c r="AB12" i="71"/>
  <c r="Y13" i="71"/>
  <c r="Z13" i="71" s="1"/>
  <c r="X3" i="71"/>
  <c r="E14" i="71"/>
  <c r="E13" i="71"/>
  <c r="G20" i="43"/>
  <c r="G17" i="43"/>
  <c r="C16" i="43" s="1"/>
  <c r="D5" i="43" s="1"/>
  <c r="E41" i="43"/>
  <c r="C41" i="43" s="1"/>
  <c r="D2" i="34"/>
  <c r="B11" i="76"/>
  <c r="F7" i="73"/>
  <c r="AO12" i="1"/>
  <c r="E12" i="76"/>
  <c r="B9" i="76"/>
  <c r="D2" i="33"/>
  <c r="E7" i="76"/>
  <c r="AO9" i="1"/>
  <c r="B7" i="76"/>
  <c r="F6" i="73"/>
  <c r="B8" i="76"/>
  <c r="AO10" i="1"/>
  <c r="E9" i="76"/>
  <c r="D2" i="37"/>
  <c r="D2" i="21"/>
  <c r="F5" i="73"/>
  <c r="F3" i="73"/>
  <c r="AO11" i="1"/>
  <c r="AO13" i="1"/>
  <c r="AO7" i="1"/>
  <c r="AO6" i="1"/>
  <c r="E13" i="76"/>
  <c r="E2" i="69"/>
  <c r="F20" i="31"/>
  <c r="AO8" i="1"/>
  <c r="E2" i="68"/>
  <c r="E11" i="76"/>
  <c r="F4" i="73"/>
  <c r="B12" i="76"/>
  <c r="E8" i="76"/>
  <c r="B13" i="76"/>
  <c r="E10" i="76"/>
  <c r="D2" i="36"/>
  <c r="D2" i="35"/>
  <c r="B10" i="76"/>
  <c r="BR5" i="3" l="1"/>
  <c r="G28" i="6" s="1"/>
  <c r="E5" i="6"/>
  <c r="D9" i="68" s="1"/>
  <c r="C9" i="68" s="1"/>
  <c r="B29" i="1" s="1"/>
  <c r="C8" i="68" s="1"/>
  <c r="E8" i="6"/>
  <c r="F27" i="6" s="1"/>
  <c r="H5" i="3"/>
  <c r="BA13" i="3"/>
  <c r="G14" i="3"/>
  <c r="AP7" i="1"/>
  <c r="AZ17" i="3"/>
  <c r="C4" i="12"/>
  <c r="L6" i="12" s="1"/>
  <c r="AB11" i="39"/>
  <c r="C5" i="11"/>
  <c r="AC11" i="39"/>
  <c r="C92" i="9"/>
  <c r="F32" i="67"/>
  <c r="F60" i="67" s="1"/>
  <c r="F52" i="9"/>
  <c r="D68" i="9"/>
  <c r="F28" i="15"/>
  <c r="C28" i="15" s="1"/>
  <c r="M18" i="15"/>
  <c r="F30" i="69"/>
  <c r="F48" i="69" s="1"/>
  <c r="F28" i="67"/>
  <c r="C28" i="67" s="1"/>
  <c r="C30" i="69"/>
  <c r="F54" i="9"/>
  <c r="F32" i="15"/>
  <c r="F60" i="15" s="1"/>
  <c r="M18" i="67"/>
  <c r="F30" i="11"/>
  <c r="F48" i="9"/>
  <c r="O52" i="9" s="1"/>
  <c r="C21" i="69"/>
  <c r="D22" i="67"/>
  <c r="J1" i="73"/>
  <c r="Z7" i="43"/>
  <c r="E22" i="43"/>
  <c r="K6" i="1"/>
  <c r="T10" i="1"/>
  <c r="K8" i="1"/>
  <c r="L27" i="6"/>
  <c r="G1" i="69"/>
  <c r="AR10" i="1"/>
  <c r="G1" i="15"/>
  <c r="B6" i="1"/>
  <c r="E6" i="1" s="1"/>
  <c r="K1" i="12"/>
  <c r="G1" i="68"/>
  <c r="G1" i="67"/>
  <c r="I101" i="43"/>
  <c r="I103" i="43" s="1"/>
  <c r="E51" i="40"/>
  <c r="BL13" i="3"/>
  <c r="B113" i="43"/>
  <c r="B117" i="43" s="1"/>
  <c r="C117" i="43" s="1"/>
  <c r="AE11" i="43"/>
  <c r="AE13" i="43" s="1"/>
  <c r="N104" i="46"/>
  <c r="K103" i="43"/>
  <c r="K104" i="43"/>
  <c r="K106" i="43"/>
  <c r="K109" i="43"/>
  <c r="K105" i="43"/>
  <c r="K102" i="43"/>
  <c r="K107" i="43"/>
  <c r="D9" i="69"/>
  <c r="C9" i="69" s="1"/>
  <c r="E56" i="39"/>
  <c r="Y11" i="43"/>
  <c r="Y13" i="43" s="1"/>
  <c r="AG11" i="43"/>
  <c r="AG13" i="43" s="1"/>
  <c r="Z11" i="43"/>
  <c r="Z13" i="43" s="1"/>
  <c r="AF11" i="43"/>
  <c r="AF13" i="43" s="1"/>
  <c r="AJ11" i="43"/>
  <c r="AJ13" i="43" s="1"/>
  <c r="M101" i="43"/>
  <c r="M103" i="43" s="1"/>
  <c r="L101" i="43"/>
  <c r="J101" i="43"/>
  <c r="J107" i="43" s="1"/>
  <c r="N101" i="43"/>
  <c r="F22" i="43"/>
  <c r="J22" i="43"/>
  <c r="E2" i="70"/>
  <c r="AA11" i="43"/>
  <c r="AA13" i="43" s="1"/>
  <c r="AI11" i="43"/>
  <c r="AI13" i="43" s="1"/>
  <c r="AB11" i="43"/>
  <c r="AB13" i="43" s="1"/>
  <c r="G22" i="43"/>
  <c r="D101" i="43"/>
  <c r="D102" i="43" s="1"/>
  <c r="H22" i="43"/>
  <c r="D9" i="11"/>
  <c r="C9" i="11" s="1"/>
  <c r="C101" i="43"/>
  <c r="F101" i="43"/>
  <c r="F104" i="43" s="1"/>
  <c r="AC11" i="43"/>
  <c r="AC13" i="43" s="1"/>
  <c r="AD11" i="43"/>
  <c r="AH11" i="43"/>
  <c r="AH13" i="43" s="1"/>
  <c r="E101" i="43"/>
  <c r="H101" i="43"/>
  <c r="G101" i="43"/>
  <c r="G106" i="43" s="1"/>
  <c r="D19" i="12"/>
  <c r="C19" i="12" s="1"/>
  <c r="P13" i="1"/>
  <c r="O7" i="1"/>
  <c r="P7" i="1" s="1"/>
  <c r="AR11" i="1"/>
  <c r="T11" i="1"/>
  <c r="H14" i="74"/>
  <c r="B7" i="74" s="1"/>
  <c r="L67" i="9"/>
  <c r="M67" i="9" s="1"/>
  <c r="AB32" i="21"/>
  <c r="U32" i="21"/>
  <c r="G29" i="6"/>
  <c r="L66" i="9"/>
  <c r="M66" i="9" s="1"/>
  <c r="AA32" i="21"/>
  <c r="S32" i="21"/>
  <c r="AB39" i="33"/>
  <c r="U39" i="33"/>
  <c r="S12" i="34"/>
  <c r="AA12" i="34"/>
  <c r="G30" i="6"/>
  <c r="G31" i="6" s="1"/>
  <c r="BA557" i="3"/>
  <c r="AZ557" i="3" s="1"/>
  <c r="BD5" i="3"/>
  <c r="E68" i="39"/>
  <c r="C70" i="39"/>
  <c r="D19" i="53"/>
  <c r="D10" i="52"/>
  <c r="L63" i="9"/>
  <c r="M63" i="9" s="1"/>
  <c r="M69" i="9" s="1"/>
  <c r="N69" i="9" s="1"/>
  <c r="U32" i="39"/>
  <c r="AB32" i="39"/>
  <c r="S39" i="40"/>
  <c r="AC33" i="21"/>
  <c r="W33" i="21"/>
  <c r="AC26" i="35"/>
  <c r="W26" i="35"/>
  <c r="D8" i="53"/>
  <c r="D120" i="9"/>
  <c r="AB25" i="39"/>
  <c r="U25" i="39"/>
  <c r="U31" i="37"/>
  <c r="AB31" i="37"/>
  <c r="W28" i="21"/>
  <c r="AC28" i="21"/>
  <c r="AC41" i="33"/>
  <c r="W27" i="35"/>
  <c r="AC27" i="35"/>
  <c r="AB34" i="36"/>
  <c r="U34" i="36"/>
  <c r="AB31" i="36"/>
  <c r="U31" i="36"/>
  <c r="AB14" i="40"/>
  <c r="U14" i="40"/>
  <c r="BA556" i="3"/>
  <c r="AZ556" i="3" s="1"/>
  <c r="BC5" i="3"/>
  <c r="C5" i="43"/>
  <c r="T12" i="43" s="1"/>
  <c r="V12" i="43" s="1"/>
  <c r="E12" i="71"/>
  <c r="E11" i="71" s="1"/>
  <c r="E10" i="71" s="1"/>
  <c r="E9" i="71" s="1"/>
  <c r="V13" i="71"/>
  <c r="I14" i="74"/>
  <c r="B8" i="74" s="1"/>
  <c r="L65" i="9"/>
  <c r="M65" i="9" s="1"/>
  <c r="W19" i="37"/>
  <c r="AC19" i="37"/>
  <c r="W17" i="37"/>
  <c r="AC17" i="37"/>
  <c r="AR13" i="1"/>
  <c r="AQ13" i="1"/>
  <c r="T13" i="1"/>
  <c r="AQ12" i="1"/>
  <c r="T12" i="1"/>
  <c r="U27" i="36"/>
  <c r="AB27" i="36"/>
  <c r="S22" i="31"/>
  <c r="R22" i="31" s="1"/>
  <c r="AC44" i="33"/>
  <c r="W44" i="33"/>
  <c r="AC15" i="33"/>
  <c r="W15" i="33"/>
  <c r="AB33" i="35"/>
  <c r="U33" i="35"/>
  <c r="S34" i="36"/>
  <c r="AA34" i="36"/>
  <c r="AB17" i="39"/>
  <c r="U17" i="39"/>
  <c r="J45" i="21"/>
  <c r="F45" i="21"/>
  <c r="H45" i="21"/>
  <c r="AB9" i="34"/>
  <c r="U9" i="34"/>
  <c r="AB38" i="40"/>
  <c r="U38" i="40"/>
  <c r="W31" i="35"/>
  <c r="AC31" i="35"/>
  <c r="BL557" i="3"/>
  <c r="BM5" i="3"/>
  <c r="F29" i="6" s="1"/>
  <c r="E29" i="6" s="1"/>
  <c r="K15" i="1" s="1"/>
  <c r="B34" i="72"/>
  <c r="D17" i="53"/>
  <c r="B36" i="72" s="1"/>
  <c r="L64" i="9"/>
  <c r="M64" i="9" s="1"/>
  <c r="AC27" i="33"/>
  <c r="AC23" i="21"/>
  <c r="W23" i="21"/>
  <c r="AB19" i="33"/>
  <c r="U19" i="33"/>
  <c r="W25" i="33"/>
  <c r="AC25" i="33"/>
  <c r="S29" i="21"/>
  <c r="AA29" i="21"/>
  <c r="AC46" i="21"/>
  <c r="AB15" i="21"/>
  <c r="C7" i="43"/>
  <c r="AC15" i="37"/>
  <c r="O12" i="1"/>
  <c r="P12" i="1" s="1"/>
  <c r="P9" i="1"/>
  <c r="U20" i="36"/>
  <c r="AB20" i="36"/>
  <c r="AZ379" i="3"/>
  <c r="AZ357" i="3"/>
  <c r="AZ381" i="3"/>
  <c r="AZ380" i="3"/>
  <c r="H62" i="43"/>
  <c r="H64" i="43"/>
  <c r="S11" i="39"/>
  <c r="AZ564" i="3"/>
  <c r="AC13" i="21"/>
  <c r="W13" i="21"/>
  <c r="S28" i="34"/>
  <c r="AA36" i="40"/>
  <c r="S36" i="40"/>
  <c r="F12" i="21"/>
  <c r="J12" i="21"/>
  <c r="H12" i="21"/>
  <c r="J27" i="34"/>
  <c r="F27" i="34"/>
  <c r="H27" i="34"/>
  <c r="F25" i="36"/>
  <c r="J25" i="36"/>
  <c r="AB29" i="36"/>
  <c r="U29" i="36"/>
  <c r="J12" i="37"/>
  <c r="F12" i="37"/>
  <c r="H12" i="37"/>
  <c r="U27" i="37"/>
  <c r="AB27" i="37"/>
  <c r="AB34" i="40"/>
  <c r="U34" i="40"/>
  <c r="T14" i="43"/>
  <c r="V14" i="43" s="1"/>
  <c r="AZ13" i="3"/>
  <c r="U33" i="34"/>
  <c r="AB33" i="34"/>
  <c r="AZ343" i="3"/>
  <c r="AA15" i="37"/>
  <c r="S15" i="37"/>
  <c r="AZ497" i="3"/>
  <c r="AZ532" i="3"/>
  <c r="AC10" i="36"/>
  <c r="W10" i="36"/>
  <c r="S12" i="40"/>
  <c r="AA12" i="40"/>
  <c r="W32" i="36"/>
  <c r="AC32" i="36"/>
  <c r="AA9" i="33"/>
  <c r="S9" i="33"/>
  <c r="AB33" i="33"/>
  <c r="U33" i="33"/>
  <c r="AA38" i="33"/>
  <c r="S38" i="33"/>
  <c r="W12" i="35"/>
  <c r="AC12" i="35"/>
  <c r="AA10" i="36"/>
  <c r="S10" i="36"/>
  <c r="AC9" i="36"/>
  <c r="W9" i="36"/>
  <c r="H44" i="39"/>
  <c r="F44" i="39"/>
  <c r="AB42" i="34"/>
  <c r="U42" i="34"/>
  <c r="U44" i="34"/>
  <c r="H50" i="43"/>
  <c r="S40" i="34"/>
  <c r="AA40" i="34"/>
  <c r="U34" i="33"/>
  <c r="AB34" i="33"/>
  <c r="AC30" i="40"/>
  <c r="W30" i="40"/>
  <c r="U20" i="35"/>
  <c r="AB20" i="35"/>
  <c r="AZ372" i="3"/>
  <c r="AZ187" i="3"/>
  <c r="AB37" i="39"/>
  <c r="U37" i="39"/>
  <c r="AA42" i="33"/>
  <c r="S42" i="33"/>
  <c r="BL495" i="3"/>
  <c r="AZ495" i="3" s="1"/>
  <c r="BQ5" i="3"/>
  <c r="F28" i="6" s="1"/>
  <c r="AZ559" i="3"/>
  <c r="AZ552" i="3"/>
  <c r="U33" i="40"/>
  <c r="AB33" i="40"/>
  <c r="AC47" i="34"/>
  <c r="W47" i="34"/>
  <c r="AC31" i="34"/>
  <c r="W31" i="34"/>
  <c r="AA14" i="33"/>
  <c r="S14" i="33"/>
  <c r="U11" i="35"/>
  <c r="AB11" i="35"/>
  <c r="W44" i="34"/>
  <c r="AC44" i="34"/>
  <c r="W17" i="34"/>
  <c r="AC17" i="34"/>
  <c r="AA31" i="39"/>
  <c r="S31" i="39"/>
  <c r="AA11" i="40"/>
  <c r="S11" i="40"/>
  <c r="AB22" i="35"/>
  <c r="U22" i="35"/>
  <c r="AC44" i="39"/>
  <c r="W44" i="39"/>
  <c r="B85" i="43"/>
  <c r="C23" i="40"/>
  <c r="J33" i="36"/>
  <c r="H33" i="36"/>
  <c r="F33" i="36"/>
  <c r="F31" i="12"/>
  <c r="F30" i="68"/>
  <c r="W33" i="34"/>
  <c r="AC39" i="34"/>
  <c r="AA27" i="40"/>
  <c r="AB27" i="40"/>
  <c r="U35" i="40"/>
  <c r="AA34" i="33"/>
  <c r="H82" i="43"/>
  <c r="H75" i="43"/>
  <c r="AC5" i="3"/>
  <c r="AZ573" i="3"/>
  <c r="AZ504" i="3"/>
  <c r="AB46" i="33"/>
  <c r="S14" i="34"/>
  <c r="S15" i="34"/>
  <c r="S29" i="35"/>
  <c r="AA29" i="35"/>
  <c r="AA12" i="36"/>
  <c r="AA41" i="33"/>
  <c r="S41" i="33"/>
  <c r="W34" i="36"/>
  <c r="AC34" i="36"/>
  <c r="W11" i="40"/>
  <c r="AC11" i="40"/>
  <c r="U11" i="21"/>
  <c r="AB11" i="21"/>
  <c r="AB36" i="39"/>
  <c r="U36" i="39"/>
  <c r="B74" i="43"/>
  <c r="AB40" i="33"/>
  <c r="AC8" i="34"/>
  <c r="J28" i="34"/>
  <c r="H28" i="34"/>
  <c r="AC36" i="35"/>
  <c r="J24" i="35"/>
  <c r="F24" i="35"/>
  <c r="J23" i="36"/>
  <c r="H23" i="36"/>
  <c r="H13" i="37"/>
  <c r="J13" i="37"/>
  <c r="J31" i="39"/>
  <c r="H31" i="39"/>
  <c r="H45" i="39"/>
  <c r="J45" i="39"/>
  <c r="AA40" i="33"/>
  <c r="S40" i="33"/>
  <c r="BA563" i="3"/>
  <c r="AZ563" i="3" s="1"/>
  <c r="BL562" i="3"/>
  <c r="BA562" i="3"/>
  <c r="AZ562" i="3" s="1"/>
  <c r="BL561" i="3"/>
  <c r="AZ561" i="3" s="1"/>
  <c r="BL560" i="3"/>
  <c r="AZ560" i="3" s="1"/>
  <c r="K5" i="4"/>
  <c r="B47" i="48" s="1"/>
  <c r="AC13" i="40"/>
  <c r="AZ503" i="3"/>
  <c r="AZ565" i="3"/>
  <c r="AZ498" i="3"/>
  <c r="AZ558" i="3"/>
  <c r="BL585" i="3"/>
  <c r="AZ585" i="3" s="1"/>
  <c r="B71" i="43"/>
  <c r="AB35" i="33"/>
  <c r="U35" i="33"/>
  <c r="AB34" i="34"/>
  <c r="U34" i="34"/>
  <c r="W8" i="35"/>
  <c r="H31" i="33"/>
  <c r="F31" i="33"/>
  <c r="J30" i="34"/>
  <c r="H30" i="34"/>
  <c r="F46" i="34"/>
  <c r="J46" i="34"/>
  <c r="AC11" i="35"/>
  <c r="W11" i="35"/>
  <c r="F14" i="39"/>
  <c r="H14" i="39"/>
  <c r="J12" i="40"/>
  <c r="H12" i="40"/>
  <c r="J40" i="40"/>
  <c r="H40" i="40"/>
  <c r="H35" i="39"/>
  <c r="J35" i="39"/>
  <c r="BA579" i="3"/>
  <c r="AZ579" i="3" s="1"/>
  <c r="BA578" i="3"/>
  <c r="AZ578" i="3" s="1"/>
  <c r="G570" i="3"/>
  <c r="BL567" i="3"/>
  <c r="AZ567" i="3" s="1"/>
  <c r="BA566" i="3"/>
  <c r="AZ566" i="3" s="1"/>
  <c r="BL545" i="3"/>
  <c r="AZ545" i="3" s="1"/>
  <c r="AZ543" i="3"/>
  <c r="AZ515" i="3"/>
  <c r="AZ508" i="3"/>
  <c r="AA35" i="39"/>
  <c r="S35" i="39"/>
  <c r="BL587" i="3"/>
  <c r="AZ587" i="3" s="1"/>
  <c r="BA586" i="3"/>
  <c r="AZ586" i="3" s="1"/>
  <c r="J26" i="33"/>
  <c r="F26" i="33"/>
  <c r="H26" i="33"/>
  <c r="H9" i="36"/>
  <c r="F9" i="36"/>
  <c r="AA10" i="37"/>
  <c r="S10" i="37"/>
  <c r="H38" i="37"/>
  <c r="F38" i="37"/>
  <c r="U8" i="39"/>
  <c r="AB8" i="39"/>
  <c r="U39" i="40"/>
  <c r="AB39" i="40"/>
  <c r="H13" i="40"/>
  <c r="F13" i="40"/>
  <c r="BA582" i="3"/>
  <c r="AZ582" i="3" s="1"/>
  <c r="BL581" i="3"/>
  <c r="AZ581" i="3" s="1"/>
  <c r="BL578" i="3"/>
  <c r="BL576" i="3"/>
  <c r="AZ576" i="3" s="1"/>
  <c r="BL575" i="3"/>
  <c r="AZ575" i="3" s="1"/>
  <c r="BA574" i="3"/>
  <c r="AZ574" i="3" s="1"/>
  <c r="G572" i="3"/>
  <c r="BL555" i="3"/>
  <c r="AZ555" i="3" s="1"/>
  <c r="BA553" i="3"/>
  <c r="AZ553" i="3" s="1"/>
  <c r="AZ430" i="3"/>
  <c r="AZ405" i="3"/>
  <c r="AZ409" i="3"/>
  <c r="AZ449" i="3"/>
  <c r="AZ481" i="3"/>
  <c r="AZ489" i="3"/>
  <c r="W29" i="33"/>
  <c r="AA44" i="33"/>
  <c r="J34" i="35"/>
  <c r="F34" i="35"/>
  <c r="J25" i="37"/>
  <c r="G552" i="3"/>
  <c r="AZ402" i="3"/>
  <c r="AZ406" i="3"/>
  <c r="AZ440" i="3"/>
  <c r="AZ445" i="3"/>
  <c r="AZ474" i="3"/>
  <c r="AZ486" i="3"/>
  <c r="AZ492" i="3"/>
  <c r="AZ450" i="3"/>
  <c r="AZ487" i="3"/>
  <c r="AZ210" i="3"/>
  <c r="AZ230" i="3"/>
  <c r="AZ252" i="3"/>
  <c r="AZ274" i="3"/>
  <c r="AZ446" i="3"/>
  <c r="AZ455" i="3"/>
  <c r="AZ476" i="3"/>
  <c r="AZ211" i="3"/>
  <c r="AZ244" i="3"/>
  <c r="AZ247" i="3"/>
  <c r="AZ278" i="3"/>
  <c r="AZ126" i="3"/>
  <c r="AZ185" i="3"/>
  <c r="AZ205" i="3"/>
  <c r="BL430" i="3"/>
  <c r="G435" i="3"/>
  <c r="BL440" i="3"/>
  <c r="BA444" i="3"/>
  <c r="AZ444" i="3" s="1"/>
  <c r="BL447" i="3"/>
  <c r="AZ447" i="3" s="1"/>
  <c r="BA451" i="3"/>
  <c r="AZ451" i="3" s="1"/>
  <c r="G457" i="3"/>
  <c r="BA462" i="3"/>
  <c r="AZ462" i="3" s="1"/>
  <c r="BL465" i="3"/>
  <c r="AZ465" i="3" s="1"/>
  <c r="BL469" i="3"/>
  <c r="G474" i="3"/>
  <c r="BL484" i="3"/>
  <c r="AZ484" i="3" s="1"/>
  <c r="BA491" i="3"/>
  <c r="AZ491" i="3" s="1"/>
  <c r="BL308" i="3"/>
  <c r="AZ308" i="3" s="1"/>
  <c r="G339" i="3"/>
  <c r="G358" i="3"/>
  <c r="BL367" i="3"/>
  <c r="AZ367" i="3" s="1"/>
  <c r="BL381" i="3"/>
  <c r="BA385" i="3"/>
  <c r="AZ385" i="3" s="1"/>
  <c r="BA386" i="3"/>
  <c r="AZ386" i="3" s="1"/>
  <c r="BA392" i="3"/>
  <c r="AZ392" i="3" s="1"/>
  <c r="AZ397" i="3"/>
  <c r="BA214" i="3"/>
  <c r="AZ214" i="3" s="1"/>
  <c r="G218" i="3"/>
  <c r="BL219" i="3"/>
  <c r="AZ219" i="3" s="1"/>
  <c r="BL224" i="3"/>
  <c r="AZ224" i="3" s="1"/>
  <c r="BL230" i="3"/>
  <c r="BA235" i="3"/>
  <c r="AZ235" i="3" s="1"/>
  <c r="AZ239" i="3"/>
  <c r="BL242" i="3"/>
  <c r="AZ242" i="3" s="1"/>
  <c r="BA245" i="3"/>
  <c r="AZ245" i="3" s="1"/>
  <c r="BA248" i="3"/>
  <c r="AZ248" i="3" s="1"/>
  <c r="BL252" i="3"/>
  <c r="BA257" i="3"/>
  <c r="AZ257" i="3" s="1"/>
  <c r="AZ262" i="3"/>
  <c r="BA270" i="3"/>
  <c r="AZ270" i="3" s="1"/>
  <c r="AZ293" i="3"/>
  <c r="AZ122" i="3"/>
  <c r="BL433" i="3"/>
  <c r="AZ433" i="3" s="1"/>
  <c r="BL443" i="3"/>
  <c r="AZ443" i="3" s="1"/>
  <c r="G453" i="3"/>
  <c r="BA456" i="3"/>
  <c r="AZ456" i="3" s="1"/>
  <c r="G460" i="3"/>
  <c r="G464" i="3"/>
  <c r="BA469" i="3"/>
  <c r="AZ469" i="3" s="1"/>
  <c r="BA473" i="3"/>
  <c r="AZ473" i="3" s="1"/>
  <c r="G478" i="3"/>
  <c r="G490" i="3"/>
  <c r="G307" i="3"/>
  <c r="BL324" i="3"/>
  <c r="AZ324" i="3" s="1"/>
  <c r="BA331" i="3"/>
  <c r="AZ331" i="3" s="1"/>
  <c r="BA335" i="3"/>
  <c r="AZ335" i="3" s="1"/>
  <c r="BA350" i="3"/>
  <c r="AZ350" i="3" s="1"/>
  <c r="BL395" i="3"/>
  <c r="AZ395" i="3" s="1"/>
  <c r="G396" i="3"/>
  <c r="BA208" i="3"/>
  <c r="AZ208" i="3" s="1"/>
  <c r="BL210" i="3"/>
  <c r="BL211" i="3"/>
  <c r="G212" i="3"/>
  <c r="BA216" i="3"/>
  <c r="AZ216" i="3" s="1"/>
  <c r="BA217" i="3"/>
  <c r="AZ217" i="3" s="1"/>
  <c r="G221" i="3"/>
  <c r="BA222" i="3"/>
  <c r="AZ222" i="3" s="1"/>
  <c r="G226" i="3"/>
  <c r="BA227" i="3"/>
  <c r="AZ227" i="3" s="1"/>
  <c r="BA228" i="3"/>
  <c r="AZ228" i="3" s="1"/>
  <c r="G232" i="3"/>
  <c r="BL232" i="3"/>
  <c r="AZ232" i="3" s="1"/>
  <c r="BL237" i="3"/>
  <c r="AZ237" i="3" s="1"/>
  <c r="G238" i="3"/>
  <c r="BA240" i="3"/>
  <c r="AZ240" i="3" s="1"/>
  <c r="BA250" i="3"/>
  <c r="AZ250" i="3" s="1"/>
  <c r="BL254" i="3"/>
  <c r="AZ254" i="3" s="1"/>
  <c r="G255" i="3"/>
  <c r="BL259" i="3"/>
  <c r="AZ259" i="3" s="1"/>
  <c r="G260" i="3"/>
  <c r="G266" i="3"/>
  <c r="BL266" i="3"/>
  <c r="AZ266" i="3" s="1"/>
  <c r="BL267" i="3"/>
  <c r="AZ267" i="3" s="1"/>
  <c r="G268" i="3"/>
  <c r="BA272" i="3"/>
  <c r="AZ272" i="3" s="1"/>
  <c r="BL274" i="3"/>
  <c r="BL277" i="3"/>
  <c r="AZ277" i="3" s="1"/>
  <c r="BL278" i="3"/>
  <c r="G279" i="3"/>
  <c r="G284" i="3"/>
  <c r="BA285" i="3"/>
  <c r="AZ285" i="3" s="1"/>
  <c r="BL285" i="3"/>
  <c r="AZ289" i="3"/>
  <c r="BL301" i="3"/>
  <c r="AZ301" i="3" s="1"/>
  <c r="G127" i="3"/>
  <c r="AZ137" i="3"/>
  <c r="AZ177" i="3"/>
  <c r="AZ193" i="3"/>
  <c r="G287" i="3"/>
  <c r="AZ290" i="3"/>
  <c r="BA292" i="3"/>
  <c r="AZ292" i="3" s="1"/>
  <c r="G295" i="3"/>
  <c r="BL297" i="3"/>
  <c r="AZ297" i="3" s="1"/>
  <c r="BA121" i="3"/>
  <c r="AZ121" i="3" s="1"/>
  <c r="AZ134" i="3"/>
  <c r="G289" i="3"/>
  <c r="BL294" i="3"/>
  <c r="AZ294" i="3" s="1"/>
  <c r="BA117" i="3"/>
  <c r="AZ117" i="3" s="1"/>
  <c r="BL126" i="3"/>
  <c r="BA133" i="3"/>
  <c r="AZ133" i="3" s="1"/>
  <c r="BL138" i="3"/>
  <c r="AZ138" i="3" s="1"/>
  <c r="BL141" i="3"/>
  <c r="AZ141" i="3" s="1"/>
  <c r="BA148" i="3"/>
  <c r="AZ148" i="3" s="1"/>
  <c r="BA153" i="3"/>
  <c r="AZ153" i="3" s="1"/>
  <c r="BA154" i="3"/>
  <c r="AZ154" i="3" s="1"/>
  <c r="BL158" i="3"/>
  <c r="AZ158" i="3" s="1"/>
  <c r="BL161" i="3"/>
  <c r="AZ161" i="3" s="1"/>
  <c r="BL167" i="3"/>
  <c r="AZ167" i="3" s="1"/>
  <c r="BL178" i="3"/>
  <c r="AZ178" i="3" s="1"/>
  <c r="BL187" i="3"/>
  <c r="BA192" i="3"/>
  <c r="AZ192" i="3" s="1"/>
  <c r="BA197" i="3"/>
  <c r="AZ197" i="3" s="1"/>
  <c r="BA198" i="3"/>
  <c r="AZ198" i="3" s="1"/>
  <c r="BL205" i="3"/>
  <c r="BA207" i="3"/>
  <c r="AZ207" i="3" s="1"/>
  <c r="BL19" i="3"/>
  <c r="AZ19" i="3" s="1"/>
  <c r="BL23" i="3"/>
  <c r="AZ23" i="3" s="1"/>
  <c r="BA25" i="3"/>
  <c r="AZ25" i="3" s="1"/>
  <c r="BA26" i="3"/>
  <c r="AZ26" i="3" s="1"/>
  <c r="BL28" i="3"/>
  <c r="AZ28" i="3" s="1"/>
  <c r="BA30" i="3"/>
  <c r="AZ30" i="3" s="1"/>
  <c r="BL38" i="3"/>
  <c r="BA39" i="3"/>
  <c r="AZ39" i="3" s="1"/>
  <c r="AZ40" i="3"/>
  <c r="BL48" i="3"/>
  <c r="BL64" i="3"/>
  <c r="BA73" i="3"/>
  <c r="AZ73" i="3" s="1"/>
  <c r="BL77" i="3"/>
  <c r="AZ77" i="3" s="1"/>
  <c r="AZ81" i="3"/>
  <c r="AZ87" i="3"/>
  <c r="D59" i="71"/>
  <c r="O58" i="71"/>
  <c r="O59" i="71"/>
  <c r="C36" i="71"/>
  <c r="D35" i="71"/>
  <c r="D43" i="71"/>
  <c r="C44" i="71"/>
  <c r="D47" i="71"/>
  <c r="C48" i="71"/>
  <c r="Y16" i="71"/>
  <c r="Z16" i="71" s="1"/>
  <c r="Y15" i="71"/>
  <c r="Z15" i="71" s="1"/>
  <c r="BA288" i="3"/>
  <c r="AZ288" i="3" s="1"/>
  <c r="G300" i="3"/>
  <c r="BA116" i="3"/>
  <c r="AZ116" i="3" s="1"/>
  <c r="BL129" i="3"/>
  <c r="AZ129" i="3" s="1"/>
  <c r="BA132" i="3"/>
  <c r="AZ132" i="3" s="1"/>
  <c r="BA136" i="3"/>
  <c r="AZ136" i="3" s="1"/>
  <c r="BL142" i="3"/>
  <c r="AZ142" i="3" s="1"/>
  <c r="BL145" i="3"/>
  <c r="AZ145" i="3" s="1"/>
  <c r="BL151" i="3"/>
  <c r="AZ151" i="3" s="1"/>
  <c r="BL162" i="3"/>
  <c r="AZ162" i="3" s="1"/>
  <c r="BL171" i="3"/>
  <c r="AZ171" i="3" s="1"/>
  <c r="BA176" i="3"/>
  <c r="AZ176" i="3" s="1"/>
  <c r="BA181" i="3"/>
  <c r="AZ181" i="3" s="1"/>
  <c r="BA182" i="3"/>
  <c r="AZ182" i="3" s="1"/>
  <c r="BL189" i="3"/>
  <c r="AZ189" i="3" s="1"/>
  <c r="BA196" i="3"/>
  <c r="AZ196" i="3" s="1"/>
  <c r="BA201" i="3"/>
  <c r="AZ201" i="3" s="1"/>
  <c r="BA202" i="3"/>
  <c r="AZ202" i="3" s="1"/>
  <c r="BL206" i="3"/>
  <c r="AZ206" i="3" s="1"/>
  <c r="BL20" i="3"/>
  <c r="AZ20" i="3" s="1"/>
  <c r="BA22" i="3"/>
  <c r="AZ22" i="3" s="1"/>
  <c r="BL24" i="3"/>
  <c r="AZ24" i="3" s="1"/>
  <c r="BL29" i="3"/>
  <c r="AZ29" i="3" s="1"/>
  <c r="BA54" i="3"/>
  <c r="AZ54" i="3" s="1"/>
  <c r="BA70" i="3"/>
  <c r="AZ70" i="3" s="1"/>
  <c r="AC21" i="34"/>
  <c r="W21" i="34"/>
  <c r="AB23" i="71"/>
  <c r="AB19" i="71"/>
  <c r="AB16" i="71"/>
  <c r="AB20" i="71"/>
  <c r="Y26" i="71"/>
  <c r="Z26" i="71" s="1"/>
  <c r="Y25" i="71"/>
  <c r="Z25" i="71" s="1"/>
  <c r="C27" i="71"/>
  <c r="Y22" i="71"/>
  <c r="Z22" i="71" s="1"/>
  <c r="BA89" i="3"/>
  <c r="AZ89" i="3" s="1"/>
  <c r="AZ92" i="3"/>
  <c r="AZ99" i="3"/>
  <c r="S73" i="71"/>
  <c r="B72" i="71"/>
  <c r="B71" i="71" s="1"/>
  <c r="BL32" i="3"/>
  <c r="AZ32" i="3" s="1"/>
  <c r="BA38" i="3"/>
  <c r="BL42" i="3"/>
  <c r="AZ42" i="3" s="1"/>
  <c r="BA48" i="3"/>
  <c r="G54" i="3"/>
  <c r="BL58" i="3"/>
  <c r="AZ58" i="3" s="1"/>
  <c r="BA64" i="3"/>
  <c r="AZ64" i="3" s="1"/>
  <c r="G70" i="3"/>
  <c r="BA88" i="3"/>
  <c r="AZ88" i="3" s="1"/>
  <c r="BA91" i="3"/>
  <c r="AZ91" i="3" s="1"/>
  <c r="BL96" i="3"/>
  <c r="AZ96" i="3" s="1"/>
  <c r="BA100" i="3"/>
  <c r="AZ100" i="3" s="1"/>
  <c r="BL102" i="3"/>
  <c r="AZ102" i="3" s="1"/>
  <c r="BA105" i="3"/>
  <c r="AZ105" i="3" s="1"/>
  <c r="BL108" i="3"/>
  <c r="AZ108" i="3" s="1"/>
  <c r="G111" i="3"/>
  <c r="B13" i="1"/>
  <c r="E13" i="1" s="1"/>
  <c r="W21" i="21"/>
  <c r="AC21" i="21"/>
  <c r="AB21" i="21"/>
  <c r="U21" i="21"/>
  <c r="U21" i="33"/>
  <c r="AB21" i="33"/>
  <c r="AA21" i="37"/>
  <c r="S21" i="37"/>
  <c r="B75" i="43"/>
  <c r="C29" i="39"/>
  <c r="B55" i="43"/>
  <c r="AA25" i="40"/>
  <c r="S25" i="40"/>
  <c r="D80" i="71"/>
  <c r="C79" i="71"/>
  <c r="D79" i="71" s="1"/>
  <c r="X23" i="71"/>
  <c r="X18" i="71"/>
  <c r="B24" i="71"/>
  <c r="B25" i="71" s="1"/>
  <c r="S25" i="71" s="1"/>
  <c r="X19" i="71"/>
  <c r="X20" i="71"/>
  <c r="X25" i="71"/>
  <c r="X24" i="71"/>
  <c r="AB26" i="71"/>
  <c r="F28" i="71"/>
  <c r="F29" i="71" s="1"/>
  <c r="V29" i="71" s="1"/>
  <c r="AB24" i="71"/>
  <c r="AB27" i="71"/>
  <c r="X32" i="71"/>
  <c r="X28" i="71"/>
  <c r="P61" i="67"/>
  <c r="P74" i="67"/>
  <c r="X15" i="71"/>
  <c r="AA14" i="71"/>
  <c r="AB14" i="71"/>
  <c r="Y11" i="71"/>
  <c r="Z11" i="71" s="1"/>
  <c r="AB10" i="71"/>
  <c r="Y7" i="71"/>
  <c r="Z7" i="71" s="1"/>
  <c r="BL85" i="3"/>
  <c r="AZ85" i="3" s="1"/>
  <c r="BL90" i="3"/>
  <c r="AZ90" i="3" s="1"/>
  <c r="B7" i="1"/>
  <c r="E7" i="1" s="1"/>
  <c r="F3" i="35"/>
  <c r="AB29" i="39"/>
  <c r="U29" i="39"/>
  <c r="B20" i="71"/>
  <c r="B19" i="71" s="1"/>
  <c r="S21" i="71"/>
  <c r="D32" i="71"/>
  <c r="C33" i="71"/>
  <c r="E31" i="71"/>
  <c r="E32" i="71" s="1"/>
  <c r="E33" i="71" s="1"/>
  <c r="U33" i="71" s="1"/>
  <c r="AA30" i="71"/>
  <c r="F59" i="71"/>
  <c r="Q60" i="71"/>
  <c r="AB18" i="71"/>
  <c r="F20" i="71"/>
  <c r="F19" i="71" s="1"/>
  <c r="Y18" i="71"/>
  <c r="Z18" i="71" s="1"/>
  <c r="Y19" i="71"/>
  <c r="Z19" i="71" s="1"/>
  <c r="G36" i="3"/>
  <c r="G46" i="3"/>
  <c r="BL50" i="3"/>
  <c r="AZ50" i="3" s="1"/>
  <c r="BA56" i="3"/>
  <c r="AZ56" i="3" s="1"/>
  <c r="G62" i="3"/>
  <c r="BL66" i="3"/>
  <c r="AZ66" i="3" s="1"/>
  <c r="BA74" i="3"/>
  <c r="AZ74" i="3" s="1"/>
  <c r="BA79" i="3"/>
  <c r="AZ79" i="3" s="1"/>
  <c r="BL83" i="3"/>
  <c r="AZ83" i="3" s="1"/>
  <c r="BL93" i="3"/>
  <c r="AZ93" i="3" s="1"/>
  <c r="BL99" i="3"/>
  <c r="G101" i="3"/>
  <c r="BA103" i="3"/>
  <c r="AZ103" i="3" s="1"/>
  <c r="G106" i="3"/>
  <c r="BA110" i="3"/>
  <c r="AZ110" i="3" s="1"/>
  <c r="BL112" i="3"/>
  <c r="AZ112" i="3" s="1"/>
  <c r="E59" i="43"/>
  <c r="B57" i="43" s="1"/>
  <c r="I15" i="66"/>
  <c r="D1" i="66" s="1"/>
  <c r="E10" i="66" s="1"/>
  <c r="AC18" i="36"/>
  <c r="W18" i="36"/>
  <c r="T57" i="71"/>
  <c r="D57" i="71"/>
  <c r="AA28" i="71"/>
  <c r="AA25" i="71"/>
  <c r="AA20" i="71"/>
  <c r="X26" i="71"/>
  <c r="B27" i="71"/>
  <c r="B28" i="71" s="1"/>
  <c r="B29" i="71" s="1"/>
  <c r="S29" i="71" s="1"/>
  <c r="B48" i="71"/>
  <c r="B49" i="71" s="1"/>
  <c r="S49" i="71" s="1"/>
  <c r="C21" i="71"/>
  <c r="Y20" i="71"/>
  <c r="Z20" i="71" s="1"/>
  <c r="Y21" i="71"/>
  <c r="Z21" i="71" s="1"/>
  <c r="AA22" i="71"/>
  <c r="E23" i="71"/>
  <c r="E24" i="71" s="1"/>
  <c r="E25" i="71" s="1"/>
  <c r="U25" i="71" s="1"/>
  <c r="Y24" i="71"/>
  <c r="Z24" i="71" s="1"/>
  <c r="Y23" i="71"/>
  <c r="Z23" i="71" s="1"/>
  <c r="AA26" i="71"/>
  <c r="X29" i="71"/>
  <c r="X27" i="71"/>
  <c r="Y31" i="71"/>
  <c r="Z31" i="71" s="1"/>
  <c r="Y29" i="71"/>
  <c r="Z29" i="71" s="1"/>
  <c r="E36" i="71"/>
  <c r="E37" i="71" s="1"/>
  <c r="U37" i="71" s="1"/>
  <c r="E56" i="71"/>
  <c r="E57" i="71" s="1"/>
  <c r="U57" i="71" s="1"/>
  <c r="D77" i="71"/>
  <c r="C76" i="71"/>
  <c r="AD12" i="43"/>
  <c r="AD10" i="43"/>
  <c r="AA15" i="71"/>
  <c r="AA3" i="71"/>
  <c r="AA18" i="71"/>
  <c r="AB17" i="71"/>
  <c r="P27" i="6"/>
  <c r="O60" i="71"/>
  <c r="D60" i="71"/>
  <c r="AB21" i="71"/>
  <c r="AA21" i="71"/>
  <c r="Y30" i="71"/>
  <c r="Z30" i="71" s="1"/>
  <c r="AB22" i="71"/>
  <c r="AA23" i="71"/>
  <c r="F17" i="71"/>
  <c r="F16" i="71" s="1"/>
  <c r="F15" i="71" s="1"/>
  <c r="F14" i="71" s="1"/>
  <c r="F13" i="71" s="1"/>
  <c r="F12" i="71" s="1"/>
  <c r="F11" i="71" s="1"/>
  <c r="F10" i="71" s="1"/>
  <c r="C16" i="71"/>
  <c r="AB30" i="71"/>
  <c r="AB31" i="71"/>
  <c r="B15" i="71"/>
  <c r="B14" i="71" s="1"/>
  <c r="B13" i="71" s="1"/>
  <c r="X14" i="71"/>
  <c r="AA11" i="71"/>
  <c r="AB5" i="71"/>
  <c r="AB11" i="71"/>
  <c r="AA10" i="71"/>
  <c r="X21" i="71"/>
  <c r="AA27" i="71"/>
  <c r="B31" i="71"/>
  <c r="B32" i="71" s="1"/>
  <c r="B33" i="71" s="1"/>
  <c r="S33" i="71" s="1"/>
  <c r="X30" i="71"/>
  <c r="Y17" i="71"/>
  <c r="Z17" i="71" s="1"/>
  <c r="X17" i="71"/>
  <c r="AA16" i="71"/>
  <c r="Y14" i="71"/>
  <c r="Z14" i="71" s="1"/>
  <c r="AA8" i="71"/>
  <c r="AA6" i="71"/>
  <c r="X7" i="71"/>
  <c r="AA17" i="71"/>
  <c r="AB8" i="71"/>
  <c r="Y10" i="71"/>
  <c r="Z10" i="71" s="1"/>
  <c r="AB6" i="71"/>
  <c r="AA7" i="71"/>
  <c r="Y5" i="71"/>
  <c r="Z5" i="71" s="1"/>
  <c r="X8" i="71"/>
  <c r="AB7" i="71"/>
  <c r="X5" i="71"/>
  <c r="Y6" i="71"/>
  <c r="Z6" i="71" s="1"/>
  <c r="AA5" i="71"/>
  <c r="X6"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T11" i="43"/>
  <c r="V11" i="43" s="1"/>
  <c r="Y9" i="71"/>
  <c r="Z9" i="71" s="1"/>
  <c r="Y8" i="71"/>
  <c r="AA9" i="71"/>
  <c r="AB3" i="71"/>
  <c r="C35" i="43"/>
  <c r="E35" i="43" s="1"/>
  <c r="C36" i="43"/>
  <c r="E36" i="43" s="1"/>
  <c r="C39" i="43"/>
  <c r="C37" i="43"/>
  <c r="E37" i="43" s="1"/>
  <c r="X9" i="71"/>
  <c r="AB9" i="71"/>
  <c r="T15" i="43"/>
  <c r="V15" i="43" s="1"/>
  <c r="Z8" i="71"/>
  <c r="Y3" i="71"/>
  <c r="Z3" i="71" s="1"/>
  <c r="F9" i="71"/>
  <c r="F8" i="71" s="1"/>
  <c r="F7" i="71" s="1"/>
  <c r="F6" i="71" s="1"/>
  <c r="F5" i="71" s="1"/>
  <c r="AF3" i="71"/>
  <c r="P22" i="43" s="1"/>
  <c r="C34" i="43"/>
  <c r="C33" i="43"/>
  <c r="T16" i="43"/>
  <c r="V16" i="43" s="1"/>
  <c r="T8" i="43"/>
  <c r="V8" i="43" s="1"/>
  <c r="C38" i="43"/>
  <c r="G36" i="43"/>
  <c r="I36" i="43" s="1"/>
  <c r="B10" i="70"/>
  <c r="B6" i="70"/>
  <c r="I1" i="73"/>
  <c r="B39" i="1" s="1"/>
  <c r="B12" i="70"/>
  <c r="B7" i="70"/>
  <c r="B11" i="70"/>
  <c r="B8" i="70"/>
  <c r="B9" i="70"/>
  <c r="B13" i="70"/>
  <c r="D7" i="73"/>
  <c r="F9" i="15"/>
  <c r="F43" i="15"/>
  <c r="F36" i="15"/>
  <c r="F42" i="15"/>
  <c r="L48" i="15"/>
  <c r="F42" i="67"/>
  <c r="M28" i="67"/>
  <c r="F13" i="67"/>
  <c r="F43" i="67"/>
  <c r="M9" i="67"/>
  <c r="M24" i="67"/>
  <c r="J15" i="67"/>
  <c r="D4" i="73"/>
  <c r="D5" i="73"/>
  <c r="D6" i="73"/>
  <c r="M22" i="15"/>
  <c r="M29" i="15"/>
  <c r="F40" i="15"/>
  <c r="F7" i="15"/>
  <c r="L47" i="15"/>
  <c r="M26" i="15"/>
  <c r="M8" i="15"/>
  <c r="J15" i="15"/>
  <c r="F16" i="15"/>
  <c r="M24" i="15"/>
  <c r="F8" i="15"/>
  <c r="F6" i="15"/>
  <c r="M6" i="15"/>
  <c r="M27" i="15"/>
  <c r="F9" i="67"/>
  <c r="M29" i="67"/>
  <c r="L48" i="67"/>
  <c r="F36" i="67"/>
  <c r="F38" i="67"/>
  <c r="F40" i="67"/>
  <c r="M23" i="67"/>
  <c r="C76" i="67"/>
  <c r="F26" i="67"/>
  <c r="M8" i="67"/>
  <c r="F8" i="67"/>
  <c r="M6" i="67"/>
  <c r="F16" i="67"/>
  <c r="M22" i="67"/>
  <c r="D3" i="73"/>
  <c r="F13" i="15"/>
  <c r="M23" i="15"/>
  <c r="F41" i="15"/>
  <c r="F38" i="15"/>
  <c r="M9" i="15"/>
  <c r="F37" i="15"/>
  <c r="C76" i="15"/>
  <c r="F26" i="15"/>
  <c r="M28" i="15"/>
  <c r="M27" i="67"/>
  <c r="M26" i="67"/>
  <c r="L47" i="67"/>
  <c r="F37" i="67"/>
  <c r="F7" i="67"/>
  <c r="F41" i="67"/>
  <c r="F6" i="67"/>
  <c r="D117" i="43" l="1"/>
  <c r="E117" i="43" s="1"/>
  <c r="F117" i="43" s="1"/>
  <c r="G117" i="43" s="1"/>
  <c r="H117" i="43" s="1"/>
  <c r="I117" i="43"/>
  <c r="J117" i="43" s="1"/>
  <c r="K117" i="43" s="1"/>
  <c r="L117" i="43" s="1"/>
  <c r="M117" i="43" s="1"/>
  <c r="F107" i="43"/>
  <c r="D115" i="43"/>
  <c r="E115" i="43" s="1"/>
  <c r="F115" i="43" s="1"/>
  <c r="G115" i="43" s="1"/>
  <c r="H115" i="43" s="1"/>
  <c r="G107" i="43"/>
  <c r="I116" i="43"/>
  <c r="J116" i="43" s="1"/>
  <c r="K116" i="43" s="1"/>
  <c r="L116" i="43" s="1"/>
  <c r="M116" i="43" s="1"/>
  <c r="C31" i="12"/>
  <c r="I105" i="43"/>
  <c r="I102" i="43"/>
  <c r="I104" i="43"/>
  <c r="F106" i="43"/>
  <c r="D107" i="43"/>
  <c r="D116" i="43"/>
  <c r="E116" i="43" s="1"/>
  <c r="F116" i="43" s="1"/>
  <c r="G116" i="43" s="1"/>
  <c r="H116" i="43" s="1"/>
  <c r="M6" i="1"/>
  <c r="O6" i="1" s="1"/>
  <c r="AP6" i="1"/>
  <c r="M8" i="1"/>
  <c r="O8" i="1" s="1"/>
  <c r="P8" i="1" s="1"/>
  <c r="AP8" i="1"/>
  <c r="D22" i="43"/>
  <c r="C48" i="69"/>
  <c r="C30" i="11"/>
  <c r="C48" i="11"/>
  <c r="K1" i="73"/>
  <c r="E20" i="43"/>
  <c r="M28" i="43" s="1"/>
  <c r="J7" i="36"/>
  <c r="D109" i="43"/>
  <c r="F103" i="43"/>
  <c r="F102" i="43"/>
  <c r="D103" i="43"/>
  <c r="D106" i="43"/>
  <c r="F105" i="43"/>
  <c r="F109" i="43"/>
  <c r="B118" i="43"/>
  <c r="C118" i="43" s="1"/>
  <c r="I107" i="43"/>
  <c r="G118" i="43"/>
  <c r="H118" i="43" s="1"/>
  <c r="Q16" i="1"/>
  <c r="F28" i="12" s="1"/>
  <c r="H16" i="1"/>
  <c r="G16" i="1"/>
  <c r="H10" i="40" s="1"/>
  <c r="AB10" i="40" s="1"/>
  <c r="F69" i="67"/>
  <c r="C27" i="67"/>
  <c r="F71" i="67"/>
  <c r="Q71" i="67"/>
  <c r="M7" i="67"/>
  <c r="J6" i="67" s="1"/>
  <c r="J18" i="67" s="1"/>
  <c r="F50" i="67"/>
  <c r="F68" i="67"/>
  <c r="F65" i="67"/>
  <c r="F66" i="67"/>
  <c r="F64" i="67"/>
  <c r="L59" i="67"/>
  <c r="Q61" i="67" s="1"/>
  <c r="L58" i="67"/>
  <c r="Q60" i="67" s="1"/>
  <c r="N59" i="67"/>
  <c r="J57" i="67"/>
  <c r="J55" i="67" s="1"/>
  <c r="J58" i="67" s="1"/>
  <c r="Q50" i="67" s="1"/>
  <c r="L56" i="67"/>
  <c r="I54" i="67"/>
  <c r="F70" i="67"/>
  <c r="J57" i="15"/>
  <c r="J55" i="15" s="1"/>
  <c r="J58" i="15" s="1"/>
  <c r="Q50" i="15" s="1"/>
  <c r="I54" i="15"/>
  <c r="C6" i="15"/>
  <c r="C32" i="15" s="1"/>
  <c r="F31" i="15"/>
  <c r="C27" i="15"/>
  <c r="F51" i="15"/>
  <c r="Q71" i="15"/>
  <c r="F64" i="15"/>
  <c r="F65" i="15"/>
  <c r="F71" i="15"/>
  <c r="L58" i="15"/>
  <c r="Q60" i="15" s="1"/>
  <c r="L59" i="15"/>
  <c r="Q74" i="15" s="1"/>
  <c r="N59" i="15"/>
  <c r="F66" i="15"/>
  <c r="M7" i="15"/>
  <c r="J6" i="15" s="1"/>
  <c r="J18" i="15" s="1"/>
  <c r="F50" i="15"/>
  <c r="F68" i="15"/>
  <c r="F69" i="15"/>
  <c r="M102" i="43"/>
  <c r="M104" i="43"/>
  <c r="B115" i="43"/>
  <c r="I115" i="43"/>
  <c r="J115" i="43" s="1"/>
  <c r="K115" i="43" s="1"/>
  <c r="L115" i="43" s="1"/>
  <c r="M115" i="43" s="1"/>
  <c r="B116" i="43"/>
  <c r="C116" i="43" s="1"/>
  <c r="D118" i="43"/>
  <c r="E118" i="43" s="1"/>
  <c r="F118" i="43" s="1"/>
  <c r="I118" i="43"/>
  <c r="J118" i="43" s="1"/>
  <c r="K118" i="43" s="1"/>
  <c r="L118" i="43" s="1"/>
  <c r="M118" i="43" s="1"/>
  <c r="I109" i="43"/>
  <c r="I106" i="43"/>
  <c r="E106" i="43"/>
  <c r="E107" i="43"/>
  <c r="M107" i="43"/>
  <c r="M109" i="43"/>
  <c r="E109" i="43"/>
  <c r="E104" i="43"/>
  <c r="N102" i="43"/>
  <c r="N106" i="43"/>
  <c r="N109" i="43"/>
  <c r="N107" i="43"/>
  <c r="N105" i="43"/>
  <c r="N103" i="43"/>
  <c r="M106" i="43"/>
  <c r="E102" i="43"/>
  <c r="E105" i="43"/>
  <c r="D104" i="43"/>
  <c r="D105" i="43"/>
  <c r="J104" i="43"/>
  <c r="J106" i="43"/>
  <c r="J103" i="43"/>
  <c r="J105" i="43"/>
  <c r="J102" i="43"/>
  <c r="J109" i="43"/>
  <c r="AD13" i="43"/>
  <c r="G105" i="43"/>
  <c r="G102" i="43"/>
  <c r="G103" i="43"/>
  <c r="G109" i="43"/>
  <c r="G104" i="43"/>
  <c r="N104" i="43"/>
  <c r="M105" i="43"/>
  <c r="E103" i="43"/>
  <c r="H102" i="43"/>
  <c r="H104" i="43"/>
  <c r="H109" i="43"/>
  <c r="H107" i="43"/>
  <c r="H105" i="43"/>
  <c r="H103" i="43"/>
  <c r="H106" i="43"/>
  <c r="C104" i="43"/>
  <c r="C105" i="43"/>
  <c r="C106" i="43"/>
  <c r="C103" i="43"/>
  <c r="C109" i="43"/>
  <c r="C107" i="43"/>
  <c r="C102" i="43"/>
  <c r="L102" i="43"/>
  <c r="L104" i="43"/>
  <c r="L106" i="43"/>
  <c r="L103" i="43"/>
  <c r="L109" i="43"/>
  <c r="L107" i="43"/>
  <c r="L105" i="43"/>
  <c r="F27" i="69"/>
  <c r="F27" i="68"/>
  <c r="F31" i="67"/>
  <c r="C6" i="67"/>
  <c r="C32" i="67" s="1"/>
  <c r="F51" i="67"/>
  <c r="D76" i="71"/>
  <c r="C75" i="71"/>
  <c r="D75" i="71" s="1"/>
  <c r="AC31" i="39"/>
  <c r="W31" i="39"/>
  <c r="AC23" i="36"/>
  <c r="W23" i="36"/>
  <c r="AB28" i="34"/>
  <c r="U28" i="34"/>
  <c r="F48" i="68"/>
  <c r="C48" i="68"/>
  <c r="C30" i="68"/>
  <c r="W33" i="36"/>
  <c r="AC33" i="36"/>
  <c r="AB44" i="39"/>
  <c r="U44" i="39"/>
  <c r="AB27" i="34"/>
  <c r="U27" i="34"/>
  <c r="AC12" i="21"/>
  <c r="W12" i="21"/>
  <c r="AA45" i="21"/>
  <c r="S45" i="21"/>
  <c r="BL5" i="3"/>
  <c r="D121" i="9"/>
  <c r="D7" i="52" s="1"/>
  <c r="D6" i="52"/>
  <c r="BA5" i="3"/>
  <c r="E27" i="6" s="1"/>
  <c r="D20" i="53"/>
  <c r="B40" i="72" s="1"/>
  <c r="B38" i="72"/>
  <c r="T13" i="43"/>
  <c r="V13" i="43" s="1"/>
  <c r="T10" i="43"/>
  <c r="V10" i="43" s="1"/>
  <c r="J7" i="37"/>
  <c r="H7" i="34"/>
  <c r="AB7" i="34" s="1"/>
  <c r="T49" i="34" s="1"/>
  <c r="G49" i="34" s="1"/>
  <c r="B12" i="71"/>
  <c r="B11" i="71" s="1"/>
  <c r="B10" i="71" s="1"/>
  <c r="B9" i="71" s="1"/>
  <c r="S13" i="71"/>
  <c r="Q59" i="71"/>
  <c r="Q58" i="71"/>
  <c r="AZ48" i="3"/>
  <c r="D48" i="71"/>
  <c r="C49" i="71"/>
  <c r="AB38" i="37"/>
  <c r="U38" i="37"/>
  <c r="AB9" i="36"/>
  <c r="U9" i="36"/>
  <c r="AB35" i="39"/>
  <c r="U35" i="39"/>
  <c r="AC12" i="40"/>
  <c r="W12" i="40"/>
  <c r="W30" i="34"/>
  <c r="AC30" i="34"/>
  <c r="AC45" i="39"/>
  <c r="W45" i="39"/>
  <c r="W13" i="37"/>
  <c r="AC13" i="37"/>
  <c r="S24" i="35"/>
  <c r="AA24" i="35"/>
  <c r="AC28" i="34"/>
  <c r="W28" i="34"/>
  <c r="E28" i="6"/>
  <c r="F30" i="6"/>
  <c r="F31" i="6" s="1"/>
  <c r="U12" i="37"/>
  <c r="AB12" i="37"/>
  <c r="AA27" i="34"/>
  <c r="S27" i="34"/>
  <c r="S12" i="21"/>
  <c r="AA12" i="21"/>
  <c r="W45" i="21"/>
  <c r="AC45" i="21"/>
  <c r="E12" i="6"/>
  <c r="E13" i="6"/>
  <c r="E10" i="6"/>
  <c r="E14" i="6"/>
  <c r="E15" i="6"/>
  <c r="D16" i="71"/>
  <c r="C15" i="71"/>
  <c r="T33" i="71"/>
  <c r="D33" i="71"/>
  <c r="AC34" i="35"/>
  <c r="W34" i="35"/>
  <c r="S38" i="37"/>
  <c r="AA38" i="37"/>
  <c r="AC26" i="33"/>
  <c r="W26" i="33"/>
  <c r="AB12" i="40"/>
  <c r="U12" i="40"/>
  <c r="J7" i="34"/>
  <c r="W7" i="34" s="1"/>
  <c r="C37" i="71"/>
  <c r="D36" i="71"/>
  <c r="W25" i="37"/>
  <c r="AC25" i="37"/>
  <c r="AA13" i="40"/>
  <c r="S13" i="40"/>
  <c r="U26" i="33"/>
  <c r="AB26" i="33"/>
  <c r="AB40" i="40"/>
  <c r="U40" i="40"/>
  <c r="AB14" i="39"/>
  <c r="U14" i="39"/>
  <c r="W46" i="34"/>
  <c r="AC46" i="34"/>
  <c r="AA31" i="33"/>
  <c r="S31" i="33"/>
  <c r="U45" i="39"/>
  <c r="AB45" i="39"/>
  <c r="AB13" i="37"/>
  <c r="U13" i="37"/>
  <c r="AC24" i="35"/>
  <c r="W24" i="35"/>
  <c r="AA33" i="36"/>
  <c r="S33" i="36"/>
  <c r="S12" i="37"/>
  <c r="AA12" i="37"/>
  <c r="W25" i="36"/>
  <c r="AC25" i="36"/>
  <c r="W27" i="34"/>
  <c r="AC27" i="34"/>
  <c r="F68" i="39"/>
  <c r="E70" i="39"/>
  <c r="E11" i="6"/>
  <c r="D27" i="71"/>
  <c r="C28" i="71"/>
  <c r="S9" i="36"/>
  <c r="AA9" i="36"/>
  <c r="W35" i="39"/>
  <c r="AC35" i="39"/>
  <c r="U30" i="34"/>
  <c r="AB30" i="34"/>
  <c r="B20" i="31"/>
  <c r="B21" i="31" s="1"/>
  <c r="G35" i="43"/>
  <c r="I35" i="43" s="1"/>
  <c r="T9" i="43"/>
  <c r="V9" i="43" s="1"/>
  <c r="K120" i="9"/>
  <c r="F7" i="36"/>
  <c r="H7" i="36"/>
  <c r="F7" i="34"/>
  <c r="S7" i="34" s="1"/>
  <c r="C20" i="71"/>
  <c r="D21" i="71"/>
  <c r="U21" i="71" s="1"/>
  <c r="T21" i="71"/>
  <c r="AZ38" i="3"/>
  <c r="D44" i="71"/>
  <c r="C45" i="71"/>
  <c r="AA34" i="35"/>
  <c r="S34" i="35"/>
  <c r="AB13" i="40"/>
  <c r="U13" i="40"/>
  <c r="AA26" i="33"/>
  <c r="S26" i="33"/>
  <c r="W40" i="40"/>
  <c r="AC40" i="40"/>
  <c r="S14" i="39"/>
  <c r="AA14" i="39"/>
  <c r="AA46" i="34"/>
  <c r="S46" i="34"/>
  <c r="U31" i="33"/>
  <c r="AB31" i="33"/>
  <c r="U31" i="39"/>
  <c r="AB31" i="39"/>
  <c r="AB23" i="36"/>
  <c r="U23" i="36"/>
  <c r="AB33" i="36"/>
  <c r="U33" i="36"/>
  <c r="AA44" i="39"/>
  <c r="S44" i="39"/>
  <c r="AZ5" i="3"/>
  <c r="W12" i="37"/>
  <c r="AC12" i="37"/>
  <c r="AA25" i="36"/>
  <c r="S25" i="36"/>
  <c r="U12" i="21"/>
  <c r="AB12" i="21"/>
  <c r="U45" i="21"/>
  <c r="AB45" i="21"/>
  <c r="G5" i="3"/>
  <c r="B3" i="3" s="1"/>
  <c r="E287" i="3" s="1"/>
  <c r="E8" i="71"/>
  <c r="E7" i="71" s="1"/>
  <c r="E6" i="71" s="1"/>
  <c r="E5" i="71" s="1"/>
  <c r="V9" i="71"/>
  <c r="H7" i="37"/>
  <c r="AB7" i="37" s="1"/>
  <c r="T42" i="37" s="1"/>
  <c r="G42" i="37" s="1"/>
  <c r="U10" i="40"/>
  <c r="H7" i="33"/>
  <c r="J7" i="33"/>
  <c r="D65" i="40"/>
  <c r="E63" i="40"/>
  <c r="F48" i="35"/>
  <c r="S7" i="36"/>
  <c r="AA7" i="36"/>
  <c r="R36" i="36" s="1"/>
  <c r="AC7" i="37"/>
  <c r="V42" i="37" s="1"/>
  <c r="I42" i="37" s="1"/>
  <c r="W7" i="37"/>
  <c r="U7" i="37"/>
  <c r="AB7" i="36"/>
  <c r="T36" i="36" s="1"/>
  <c r="G36" i="36" s="1"/>
  <c r="U7" i="36"/>
  <c r="U7" i="34"/>
  <c r="F7" i="33"/>
  <c r="E58" i="21"/>
  <c r="AC7" i="36"/>
  <c r="V36" i="36" s="1"/>
  <c r="I36" i="36" s="1"/>
  <c r="W7" i="36"/>
  <c r="F7" i="37"/>
  <c r="G37" i="43"/>
  <c r="I37" i="43" s="1"/>
  <c r="P24" i="43"/>
  <c r="B66" i="40" s="1"/>
  <c r="P21" i="43"/>
  <c r="E39" i="43"/>
  <c r="G39" i="43"/>
  <c r="I39" i="43" s="1"/>
  <c r="P25" i="43"/>
  <c r="P23" i="43"/>
  <c r="B71" i="39" s="1"/>
  <c r="E38" i="43"/>
  <c r="G38" i="43"/>
  <c r="I38" i="43" s="1"/>
  <c r="G34" i="43"/>
  <c r="I34" i="43" s="1"/>
  <c r="E34" i="43"/>
  <c r="G33" i="43"/>
  <c r="I33" i="43" s="1"/>
  <c r="E33" i="43"/>
  <c r="M11" i="67"/>
  <c r="J10" i="67" s="1"/>
  <c r="F11" i="15"/>
  <c r="M11" i="15"/>
  <c r="F11" i="67"/>
  <c r="B2" i="70"/>
  <c r="B3" i="70" s="1"/>
  <c r="C16" i="15"/>
  <c r="C14" i="67"/>
  <c r="C17" i="67"/>
  <c r="C17" i="15"/>
  <c r="G1" i="73"/>
  <c r="C16" i="67"/>
  <c r="C14" i="15"/>
  <c r="C15" i="67" l="1"/>
  <c r="C18" i="67"/>
  <c r="F27" i="11"/>
  <c r="P6" i="1"/>
  <c r="C13" i="12" s="1"/>
  <c r="C36" i="69"/>
  <c r="S4" i="43"/>
  <c r="T4" i="43" s="1"/>
  <c r="V4" i="43" s="1"/>
  <c r="S7" i="43"/>
  <c r="T7" i="43" s="1"/>
  <c r="V7" i="43" s="1"/>
  <c r="S5" i="43"/>
  <c r="T5" i="43" s="1"/>
  <c r="V5" i="43" s="1"/>
  <c r="C23" i="43"/>
  <c r="C21" i="43" s="1"/>
  <c r="C29" i="43" s="1"/>
  <c r="S3" i="43"/>
  <c r="T3" i="43" s="1"/>
  <c r="V3" i="43" s="1"/>
  <c r="S2" i="43"/>
  <c r="T2" i="43" s="1"/>
  <c r="V2" i="43" s="1"/>
  <c r="C26" i="43" s="1"/>
  <c r="S6" i="43"/>
  <c r="T6" i="43" s="1"/>
  <c r="V6" i="43" s="1"/>
  <c r="P28" i="43"/>
  <c r="M17" i="67"/>
  <c r="N28" i="43"/>
  <c r="F59" i="67"/>
  <c r="O28" i="43"/>
  <c r="B40" i="1"/>
  <c r="F25" i="12" s="1"/>
  <c r="AC7" i="34"/>
  <c r="V49" i="34" s="1"/>
  <c r="I49" i="34" s="1"/>
  <c r="AA7" i="34"/>
  <c r="R49" i="34" s="1"/>
  <c r="F10" i="39"/>
  <c r="S10" i="39" s="1"/>
  <c r="C49" i="67"/>
  <c r="Q73" i="15"/>
  <c r="Q74" i="67"/>
  <c r="J10" i="39"/>
  <c r="H10" i="39"/>
  <c r="F10" i="40"/>
  <c r="J10" i="40"/>
  <c r="AC10" i="40" s="1"/>
  <c r="Q61" i="15"/>
  <c r="J5" i="67"/>
  <c r="J26" i="67" s="1"/>
  <c r="J29" i="67" s="1"/>
  <c r="Q73" i="67"/>
  <c r="J10" i="15"/>
  <c r="J5" i="15" s="1"/>
  <c r="J24" i="15" s="1"/>
  <c r="M17" i="15"/>
  <c r="C15" i="15"/>
  <c r="C18" i="15"/>
  <c r="C49" i="15"/>
  <c r="F59" i="15"/>
  <c r="C115" i="43"/>
  <c r="D113" i="43" s="1"/>
  <c r="C47" i="11"/>
  <c r="D45" i="11" s="1"/>
  <c r="C47" i="68"/>
  <c r="D45" i="68" s="1"/>
  <c r="F45" i="68"/>
  <c r="F45" i="69"/>
  <c r="C29" i="69"/>
  <c r="D27" i="69" s="1"/>
  <c r="C47" i="69"/>
  <c r="D45" i="69" s="1"/>
  <c r="AY6" i="3"/>
  <c r="E3" i="6"/>
  <c r="E464" i="3"/>
  <c r="E268" i="3"/>
  <c r="E396" i="3"/>
  <c r="E54" i="3"/>
  <c r="G68" i="39"/>
  <c r="F70" i="39"/>
  <c r="E266" i="3"/>
  <c r="T37" i="71"/>
  <c r="D37" i="71"/>
  <c r="E358" i="3"/>
  <c r="E60" i="40"/>
  <c r="E65" i="39"/>
  <c r="E62" i="39"/>
  <c r="E57" i="40"/>
  <c r="K20" i="6"/>
  <c r="K24" i="6"/>
  <c r="M24" i="6" s="1"/>
  <c r="I24" i="6" s="1"/>
  <c r="S24" i="6" s="1"/>
  <c r="K14" i="1"/>
  <c r="K21" i="6"/>
  <c r="K22" i="6"/>
  <c r="K25" i="6"/>
  <c r="M25" i="6" s="1"/>
  <c r="I25" i="6" s="1"/>
  <c r="S25" i="6" s="1"/>
  <c r="K23" i="6"/>
  <c r="M23" i="6" s="1"/>
  <c r="I23" i="6" s="1"/>
  <c r="S23" i="6" s="1"/>
  <c r="E30" i="6"/>
  <c r="E31" i="6" s="1"/>
  <c r="K26" i="6"/>
  <c r="M26" i="6" s="1"/>
  <c r="I26" i="6" s="1"/>
  <c r="S26" i="6" s="1"/>
  <c r="K19" i="6"/>
  <c r="S6" i="1" s="1"/>
  <c r="E552" i="3"/>
  <c r="E221" i="3"/>
  <c r="E69" i="3"/>
  <c r="E114" i="3"/>
  <c r="E278" i="3"/>
  <c r="E415" i="3"/>
  <c r="E395" i="3"/>
  <c r="E172" i="3"/>
  <c r="E445" i="3"/>
  <c r="E550" i="3"/>
  <c r="E535" i="3"/>
  <c r="E237" i="3"/>
  <c r="E217" i="3"/>
  <c r="E530" i="3"/>
  <c r="E565" i="3"/>
  <c r="E305"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20" i="3"/>
  <c r="E45" i="3"/>
  <c r="E277" i="3"/>
  <c r="E224" i="3"/>
  <c r="E177" i="3"/>
  <c r="E193" i="3"/>
  <c r="E133" i="3"/>
  <c r="E286" i="3"/>
  <c r="E312" i="3"/>
  <c r="E575" i="3"/>
  <c r="AD6" i="3"/>
  <c r="E499" i="3"/>
  <c r="E542" i="3"/>
  <c r="R6" i="3"/>
  <c r="E502" i="3"/>
  <c r="E421" i="3"/>
  <c r="E442" i="3"/>
  <c r="E466" i="3"/>
  <c r="E487" i="3"/>
  <c r="E541" i="3"/>
  <c r="E398" i="3"/>
  <c r="E430" i="3"/>
  <c r="E416" i="3"/>
  <c r="E449" i="3"/>
  <c r="E459" i="3"/>
  <c r="E374" i="3"/>
  <c r="I3" i="6"/>
  <c r="E566" i="3"/>
  <c r="AP6" i="3"/>
  <c r="E500" i="3"/>
  <c r="E554" i="3"/>
  <c r="E582" i="3"/>
  <c r="E517" i="3"/>
  <c r="E413" i="3"/>
  <c r="E491" i="3"/>
  <c r="E520" i="3"/>
  <c r="E417" i="3"/>
  <c r="E436" i="3"/>
  <c r="E479" i="3"/>
  <c r="E39" i="3"/>
  <c r="E56" i="3"/>
  <c r="E90" i="3"/>
  <c r="E37" i="3"/>
  <c r="E57" i="3"/>
  <c r="E95" i="3"/>
  <c r="E131" i="3"/>
  <c r="E152" i="3"/>
  <c r="E187" i="3"/>
  <c r="E132" i="3"/>
  <c r="E155" i="3"/>
  <c r="E192" i="3"/>
  <c r="E240" i="3"/>
  <c r="E258" i="3"/>
  <c r="E297" i="3"/>
  <c r="E241" i="3"/>
  <c r="E259" i="3"/>
  <c r="E292" i="3"/>
  <c r="E348" i="3"/>
  <c r="E378" i="3"/>
  <c r="E349" i="3"/>
  <c r="E375" i="3"/>
  <c r="E389" i="3"/>
  <c r="E504" i="3"/>
  <c r="E544" i="3"/>
  <c r="E58" i="3"/>
  <c r="E76" i="3"/>
  <c r="E110" i="3"/>
  <c r="E59" i="3"/>
  <c r="E540" i="3"/>
  <c r="E462" i="3"/>
  <c r="E521" i="3"/>
  <c r="E446" i="3"/>
  <c r="E47" i="3"/>
  <c r="E98" i="3"/>
  <c r="E65" i="3"/>
  <c r="E138" i="3"/>
  <c r="E195" i="3"/>
  <c r="E163" i="3"/>
  <c r="E248" i="3"/>
  <c r="E209" i="3"/>
  <c r="E386" i="3"/>
  <c r="E354" i="3"/>
  <c r="E584" i="3"/>
  <c r="E66" i="3"/>
  <c r="E24" i="3"/>
  <c r="E48" i="3"/>
  <c r="E87" i="3"/>
  <c r="E250" i="3"/>
  <c r="E341" i="3"/>
  <c r="Y6" i="3"/>
  <c r="E51" i="3"/>
  <c r="E19" i="3"/>
  <c r="E154" i="3"/>
  <c r="E179" i="3"/>
  <c r="E222" i="3"/>
  <c r="E323" i="3"/>
  <c r="E373" i="3"/>
  <c r="E82" i="3"/>
  <c r="E124" i="3"/>
  <c r="E270" i="3"/>
  <c r="E390" i="3"/>
  <c r="E533" i="3"/>
  <c r="S6" i="3"/>
  <c r="AR6" i="3"/>
  <c r="E523" i="3"/>
  <c r="E561" i="3"/>
  <c r="E506" i="3"/>
  <c r="E418" i="3"/>
  <c r="E439" i="3"/>
  <c r="E338" i="3"/>
  <c r="E380" i="3"/>
  <c r="E231" i="3"/>
  <c r="E298" i="3"/>
  <c r="E216" i="3"/>
  <c r="E185" i="3"/>
  <c r="E135" i="3"/>
  <c r="E161" i="3"/>
  <c r="E117" i="3"/>
  <c r="E252" i="3"/>
  <c r="E204" i="3"/>
  <c r="E145" i="3"/>
  <c r="E107" i="3"/>
  <c r="E330" i="3"/>
  <c r="E519" i="3"/>
  <c r="Q6" i="3"/>
  <c r="E573" i="3"/>
  <c r="E529" i="3"/>
  <c r="E458" i="3"/>
  <c r="E481" i="3"/>
  <c r="E406" i="3"/>
  <c r="E424" i="3"/>
  <c r="E465" i="3"/>
  <c r="E344" i="3"/>
  <c r="E562" i="3"/>
  <c r="W6" i="3"/>
  <c r="AE6" i="3"/>
  <c r="E577" i="3"/>
  <c r="E537" i="3"/>
  <c r="E450" i="3"/>
  <c r="E471" i="3"/>
  <c r="E433" i="3"/>
  <c r="E475" i="3"/>
  <c r="E72" i="3"/>
  <c r="E73" i="3"/>
  <c r="E146" i="3"/>
  <c r="E203" i="3"/>
  <c r="E171" i="3"/>
  <c r="E256" i="3"/>
  <c r="E214" i="3"/>
  <c r="E274" i="3"/>
  <c r="E315" i="3"/>
  <c r="E357" i="3"/>
  <c r="E318" i="3"/>
  <c r="E14" i="3"/>
  <c r="E31" i="3"/>
  <c r="E93" i="3"/>
  <c r="E75" i="3"/>
  <c r="E473" i="3"/>
  <c r="E15" i="3"/>
  <c r="E79" i="3"/>
  <c r="E100" i="3"/>
  <c r="E137" i="3"/>
  <c r="E234" i="3"/>
  <c r="E299" i="3"/>
  <c r="E325" i="3"/>
  <c r="AQ6" i="3"/>
  <c r="E52" i="3"/>
  <c r="E112" i="3"/>
  <c r="E123" i="3"/>
  <c r="E364" i="3"/>
  <c r="E20" i="3"/>
  <c r="E265" i="3"/>
  <c r="E524" i="3"/>
  <c r="E125" i="3"/>
  <c r="E319" i="3"/>
  <c r="E528" i="3"/>
  <c r="E553" i="3"/>
  <c r="E153" i="3"/>
  <c r="E361" i="3"/>
  <c r="N6" i="3"/>
  <c r="E328" i="3"/>
  <c r="E347" i="3"/>
  <c r="E583" i="3"/>
  <c r="AA6" i="3"/>
  <c r="X6" i="3"/>
  <c r="E399" i="3"/>
  <c r="E336" i="3"/>
  <c r="E280" i="3"/>
  <c r="E246" i="3"/>
  <c r="E293" i="3"/>
  <c r="E169" i="3"/>
  <c r="E61" i="3"/>
  <c r="E290" i="3"/>
  <c r="E207" i="3"/>
  <c r="E271" i="3"/>
  <c r="E164" i="3"/>
  <c r="E313" i="3"/>
  <c r="K6" i="3"/>
  <c r="E532" i="3"/>
  <c r="E560" i="3"/>
  <c r="E437" i="3"/>
  <c r="E472" i="3"/>
  <c r="E527" i="3"/>
  <c r="E438" i="3"/>
  <c r="E288" i="3"/>
  <c r="E587" i="3"/>
  <c r="E571" i="3"/>
  <c r="E429" i="3"/>
  <c r="E468" i="3"/>
  <c r="E496" i="3"/>
  <c r="E454" i="3"/>
  <c r="E55" i="3"/>
  <c r="E168" i="3"/>
  <c r="E150" i="3"/>
  <c r="E208" i="3"/>
  <c r="E257" i="3"/>
  <c r="E351" i="3"/>
  <c r="E394" i="3"/>
  <c r="E362" i="3"/>
  <c r="E580" i="3"/>
  <c r="E74" i="3"/>
  <c r="E32" i="3"/>
  <c r="E409" i="3"/>
  <c r="E455" i="3"/>
  <c r="E38" i="3"/>
  <c r="E170" i="3"/>
  <c r="E194" i="3"/>
  <c r="E219" i="3"/>
  <c r="E392" i="3"/>
  <c r="E147" i="3"/>
  <c r="E340" i="3"/>
  <c r="E50" i="3"/>
  <c r="E176" i="3"/>
  <c r="E365" i="3"/>
  <c r="E175" i="3"/>
  <c r="E304" i="3"/>
  <c r="E526" i="3"/>
  <c r="E343" i="3"/>
  <c r="E213" i="3"/>
  <c r="E322" i="3"/>
  <c r="E508" i="3"/>
  <c r="E302" i="3"/>
  <c r="E239" i="3"/>
  <c r="E509" i="3"/>
  <c r="E516" i="3"/>
  <c r="E579" i="3"/>
  <c r="E569" i="3"/>
  <c r="E431" i="3"/>
  <c r="E247" i="3"/>
  <c r="E229" i="3"/>
  <c r="E201" i="3"/>
  <c r="E151" i="3"/>
  <c r="E397" i="3"/>
  <c r="E314" i="3"/>
  <c r="E568" i="3"/>
  <c r="E511" i="3"/>
  <c r="I6" i="3"/>
  <c r="E536" i="3"/>
  <c r="AK6" i="3"/>
  <c r="E549" i="3"/>
  <c r="E434" i="3"/>
  <c r="E306" i="3"/>
  <c r="E368" i="3"/>
  <c r="E296" i="3"/>
  <c r="E244" i="3"/>
  <c r="E262" i="3"/>
  <c r="E196" i="3"/>
  <c r="E136" i="3"/>
  <c r="E156" i="3"/>
  <c r="E236" i="3"/>
  <c r="E148" i="3"/>
  <c r="E269" i="3"/>
  <c r="E122" i="3"/>
  <c r="E89" i="3"/>
  <c r="E140" i="3"/>
  <c r="E85" i="3"/>
  <c r="E223" i="3"/>
  <c r="E197" i="3"/>
  <c r="E116" i="3"/>
  <c r="E173" i="3"/>
  <c r="E105" i="3"/>
  <c r="E327" i="3"/>
  <c r="E379" i="3"/>
  <c r="E576" i="3"/>
  <c r="E585" i="3"/>
  <c r="Z6" i="3"/>
  <c r="U6" i="3"/>
  <c r="AG6" i="3"/>
  <c r="E515" i="3"/>
  <c r="AO6" i="3"/>
  <c r="E411" i="3"/>
  <c r="E448" i="3"/>
  <c r="E485" i="3"/>
  <c r="E548" i="3"/>
  <c r="P6" i="3"/>
  <c r="E414" i="3"/>
  <c r="E400" i="3"/>
  <c r="E432" i="3"/>
  <c r="E443" i="3"/>
  <c r="E477" i="3"/>
  <c r="E345" i="3"/>
  <c r="E367" i="3"/>
  <c r="E505" i="3"/>
  <c r="E557" i="3"/>
  <c r="E547" i="3"/>
  <c r="E581" i="3"/>
  <c r="AS6" i="3"/>
  <c r="E531" i="3"/>
  <c r="E403" i="3"/>
  <c r="E444" i="3"/>
  <c r="E476" i="3"/>
  <c r="E489" i="3"/>
  <c r="E546" i="3"/>
  <c r="E404" i="3"/>
  <c r="E447" i="3"/>
  <c r="E28" i="3"/>
  <c r="E71" i="3"/>
  <c r="E88" i="3"/>
  <c r="E27" i="3"/>
  <c r="E92" i="3"/>
  <c r="E121" i="3"/>
  <c r="E162" i="3"/>
  <c r="E182" i="3"/>
  <c r="E126" i="3"/>
  <c r="E166" i="3"/>
  <c r="E186" i="3"/>
  <c r="E211" i="3"/>
  <c r="E272" i="3"/>
  <c r="E210" i="3"/>
  <c r="E273" i="3"/>
  <c r="E291" i="3"/>
  <c r="E316" i="3"/>
  <c r="E331" i="3"/>
  <c r="E377" i="3"/>
  <c r="E334" i="3"/>
  <c r="E384" i="3"/>
  <c r="AM6" i="3"/>
  <c r="E30" i="3"/>
  <c r="E44" i="3"/>
  <c r="E109" i="3"/>
  <c r="E29" i="3"/>
  <c r="E480" i="3"/>
  <c r="E441" i="3"/>
  <c r="E484" i="3"/>
  <c r="E425" i="3"/>
  <c r="E467" i="3"/>
  <c r="E64" i="3"/>
  <c r="E103" i="3"/>
  <c r="E160" i="3"/>
  <c r="E142" i="3"/>
  <c r="E200" i="3"/>
  <c r="E267" i="3"/>
  <c r="E249" i="3"/>
  <c r="E371" i="3"/>
  <c r="E492" i="3"/>
  <c r="E23" i="3"/>
  <c r="E84" i="3"/>
  <c r="E67" i="3"/>
  <c r="E33" i="3"/>
  <c r="E144" i="3"/>
  <c r="E184" i="3"/>
  <c r="E233" i="3"/>
  <c r="E355" i="3"/>
  <c r="E381" i="3"/>
  <c r="E68" i="3"/>
  <c r="E63" i="3"/>
  <c r="E81" i="3"/>
  <c r="E118" i="3"/>
  <c r="E264" i="3"/>
  <c r="E283" i="3"/>
  <c r="E309" i="3"/>
  <c r="E513" i="3"/>
  <c r="E21" i="3"/>
  <c r="E261" i="3"/>
  <c r="E282" i="3"/>
  <c r="E329" i="3"/>
  <c r="E510" i="3"/>
  <c r="E205" i="3"/>
  <c r="E514" i="3"/>
  <c r="M6" i="3"/>
  <c r="E387" i="3"/>
  <c r="E215" i="3"/>
  <c r="E134" i="3"/>
  <c r="E180" i="3"/>
  <c r="E253" i="3"/>
  <c r="E493" i="3"/>
  <c r="E543" i="3"/>
  <c r="E486" i="3"/>
  <c r="E422" i="3"/>
  <c r="AH6" i="3"/>
  <c r="E498" i="3"/>
  <c r="E483" i="3"/>
  <c r="E463" i="3"/>
  <c r="E25" i="3"/>
  <c r="E178" i="3"/>
  <c r="E202" i="3"/>
  <c r="E346" i="3"/>
  <c r="E372" i="3"/>
  <c r="E60" i="3"/>
  <c r="E428" i="3"/>
  <c r="E96" i="3"/>
  <c r="E174" i="3"/>
  <c r="E324" i="3"/>
  <c r="E35" i="3"/>
  <c r="E206" i="3"/>
  <c r="AF6" i="3"/>
  <c r="E158" i="3"/>
  <c r="E22" i="3"/>
  <c r="E461" i="3"/>
  <c r="E149" i="3"/>
  <c r="E534" i="3"/>
  <c r="E469" i="3"/>
  <c r="E408" i="3"/>
  <c r="E497" i="3"/>
  <c r="E470" i="3"/>
  <c r="E41" i="3"/>
  <c r="E225" i="3"/>
  <c r="E391" i="3"/>
  <c r="E94" i="3"/>
  <c r="E78" i="3"/>
  <c r="E383" i="3"/>
  <c r="E183" i="3"/>
  <c r="E366" i="3"/>
  <c r="E426" i="3"/>
  <c r="E539" i="3"/>
  <c r="E165" i="3"/>
  <c r="E559" i="3"/>
  <c r="V6" i="3"/>
  <c r="E320" i="3"/>
  <c r="E230" i="3"/>
  <c r="E254" i="3"/>
  <c r="E167" i="3"/>
  <c r="E369" i="3"/>
  <c r="E405" i="3"/>
  <c r="E360" i="3"/>
  <c r="E494" i="3"/>
  <c r="E26" i="3"/>
  <c r="E198" i="3"/>
  <c r="E243" i="3"/>
  <c r="AL6" i="3"/>
  <c r="E482" i="3"/>
  <c r="E220" i="3"/>
  <c r="E86" i="3"/>
  <c r="E102" i="3"/>
  <c r="E83" i="3"/>
  <c r="E53" i="3"/>
  <c r="E227" i="3"/>
  <c r="E407" i="3"/>
  <c r="T6" i="3"/>
  <c r="E456" i="3"/>
  <c r="E451" i="3"/>
  <c r="E452" i="3"/>
  <c r="E104" i="3"/>
  <c r="E281" i="3"/>
  <c r="E488" i="3"/>
  <c r="E522" i="3"/>
  <c r="E370" i="3"/>
  <c r="E501" i="3"/>
  <c r="E503" i="3"/>
  <c r="E545" i="3"/>
  <c r="E352" i="3"/>
  <c r="E128" i="3"/>
  <c r="E311" i="3"/>
  <c r="AB6" i="3"/>
  <c r="E335" i="3"/>
  <c r="E189" i="3"/>
  <c r="E91" i="3"/>
  <c r="E77" i="3"/>
  <c r="E199" i="3"/>
  <c r="E393" i="3"/>
  <c r="E564" i="3"/>
  <c r="E427" i="3"/>
  <c r="E507" i="3"/>
  <c r="E440" i="3"/>
  <c r="E376" i="3"/>
  <c r="J6" i="3"/>
  <c r="E419" i="3"/>
  <c r="E401" i="3"/>
  <c r="E40" i="3"/>
  <c r="E108" i="3"/>
  <c r="E119" i="3"/>
  <c r="E242" i="3"/>
  <c r="E276" i="3"/>
  <c r="E333" i="3"/>
  <c r="L6" i="3"/>
  <c r="E43" i="3"/>
  <c r="E412" i="3"/>
  <c r="E129" i="3"/>
  <c r="E275" i="3"/>
  <c r="E342" i="3"/>
  <c r="E34" i="3"/>
  <c r="E251" i="3"/>
  <c r="E80" i="3"/>
  <c r="E308" i="3"/>
  <c r="E130" i="3"/>
  <c r="E141" i="3"/>
  <c r="E512" i="3"/>
  <c r="E13" i="3"/>
  <c r="E139" i="3"/>
  <c r="E356" i="3"/>
  <c r="E190" i="3"/>
  <c r="E49" i="3"/>
  <c r="E326" i="3"/>
  <c r="E567" i="3"/>
  <c r="E551" i="3"/>
  <c r="E294" i="3"/>
  <c r="E525" i="3"/>
  <c r="E556" i="3"/>
  <c r="E420" i="3"/>
  <c r="E115" i="3"/>
  <c r="E332" i="3"/>
  <c r="E42" i="3"/>
  <c r="E18" i="3"/>
  <c r="E235" i="3"/>
  <c r="E113" i="3"/>
  <c r="E17" i="3"/>
  <c r="E558" i="3"/>
  <c r="E16" i="3"/>
  <c r="E538" i="3"/>
  <c r="E321" i="3"/>
  <c r="E157" i="3"/>
  <c r="E363" i="3"/>
  <c r="E310" i="3"/>
  <c r="E317" i="3"/>
  <c r="E563" i="3"/>
  <c r="E572" i="3"/>
  <c r="E490" i="3"/>
  <c r="E127" i="3"/>
  <c r="E36" i="3"/>
  <c r="C19" i="71"/>
  <c r="D19" i="71" s="1"/>
  <c r="D20" i="71"/>
  <c r="E289" i="3"/>
  <c r="E435" i="3"/>
  <c r="E279" i="3"/>
  <c r="E46" i="3"/>
  <c r="E460" i="3"/>
  <c r="E59" i="40"/>
  <c r="E64" i="39"/>
  <c r="E457" i="3"/>
  <c r="E238" i="3"/>
  <c r="T49" i="71"/>
  <c r="D49" i="71"/>
  <c r="E70" i="3"/>
  <c r="E101" i="3"/>
  <c r="E226" i="3"/>
  <c r="D45" i="71"/>
  <c r="T45" i="71"/>
  <c r="E62" i="3"/>
  <c r="E218" i="3"/>
  <c r="C29" i="71"/>
  <c r="D28" i="71"/>
  <c r="E61" i="39"/>
  <c r="E56" i="40"/>
  <c r="E453" i="3"/>
  <c r="E295" i="3"/>
  <c r="E106" i="3"/>
  <c r="E212" i="3"/>
  <c r="C14" i="71"/>
  <c r="D15" i="71"/>
  <c r="E16" i="6"/>
  <c r="E474" i="3"/>
  <c r="E255" i="3"/>
  <c r="E111" i="3"/>
  <c r="B8" i="71"/>
  <c r="B7" i="71" s="1"/>
  <c r="B6" i="71" s="1"/>
  <c r="B5" i="71" s="1"/>
  <c r="S9" i="71"/>
  <c r="E260" i="3"/>
  <c r="E478" i="3"/>
  <c r="E307" i="3"/>
  <c r="E232" i="3"/>
  <c r="E58" i="40"/>
  <c r="E63" i="39"/>
  <c r="E570" i="3"/>
  <c r="E339" i="3"/>
  <c r="E284" i="3"/>
  <c r="E300"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C53" i="67"/>
  <c r="C10" i="67"/>
  <c r="C5" i="67" s="1"/>
  <c r="C53" i="15"/>
  <c r="C10" i="15"/>
  <c r="C5" i="15" s="1"/>
  <c r="M22" i="6" l="1"/>
  <c r="I22" i="6" s="1"/>
  <c r="S22" i="6" s="1"/>
  <c r="S9" i="1"/>
  <c r="C30" i="43"/>
  <c r="E30" i="43" s="1"/>
  <c r="C27" i="43" s="1"/>
  <c r="E29" i="43"/>
  <c r="AC6" i="3"/>
  <c r="C48" i="67"/>
  <c r="C60" i="67" s="1"/>
  <c r="W10" i="40"/>
  <c r="F22" i="11"/>
  <c r="F24" i="67"/>
  <c r="C24" i="67" s="1"/>
  <c r="F24" i="15"/>
  <c r="C24" i="15" s="1"/>
  <c r="F22" i="69"/>
  <c r="F41" i="69" s="1"/>
  <c r="F22" i="68"/>
  <c r="F41" i="68" s="1"/>
  <c r="AA10" i="39"/>
  <c r="J26" i="15"/>
  <c r="J29" i="15" s="1"/>
  <c r="S10" i="40"/>
  <c r="AA10" i="40"/>
  <c r="AR6" i="1"/>
  <c r="AQ6" i="1"/>
  <c r="T6" i="1"/>
  <c r="AB10" i="39"/>
  <c r="U10" i="39"/>
  <c r="M21" i="6"/>
  <c r="I21" i="6" s="1"/>
  <c r="S21" i="6" s="1"/>
  <c r="S8" i="1"/>
  <c r="M20" i="6"/>
  <c r="I20" i="6" s="1"/>
  <c r="S20" i="6" s="1"/>
  <c r="S7" i="1"/>
  <c r="AC10" i="39"/>
  <c r="W10" i="39"/>
  <c r="J24" i="67"/>
  <c r="C19" i="15"/>
  <c r="C20" i="15" s="1"/>
  <c r="C26" i="15" s="1"/>
  <c r="C48" i="15"/>
  <c r="C60" i="15" s="1"/>
  <c r="H6" i="3"/>
  <c r="E66" i="39"/>
  <c r="M14" i="1"/>
  <c r="C34" i="69"/>
  <c r="K16" i="1"/>
  <c r="H68" i="39"/>
  <c r="G70" i="39"/>
  <c r="M19" i="6"/>
  <c r="K27" i="6"/>
  <c r="C17" i="4"/>
  <c r="B4" i="52" s="1"/>
  <c r="B43" i="72" s="1"/>
  <c r="L18" i="9"/>
  <c r="D3" i="34"/>
  <c r="E6" i="6"/>
  <c r="D14" i="12"/>
  <c r="D3" i="21"/>
  <c r="D19" i="11"/>
  <c r="C19" i="11" s="1"/>
  <c r="D3" i="37"/>
  <c r="D3" i="33"/>
  <c r="M18" i="9"/>
  <c r="B118" i="9" s="1"/>
  <c r="B14" i="74" s="1"/>
  <c r="B1" i="74" s="1"/>
  <c r="D37" i="11"/>
  <c r="D14" i="71"/>
  <c r="C13" i="71"/>
  <c r="T29" i="71"/>
  <c r="D29"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6" i="3"/>
  <c r="AY289" i="3"/>
  <c r="AY183" i="3"/>
  <c r="AY261" i="3"/>
  <c r="AY284" i="3"/>
  <c r="AY252" i="3"/>
  <c r="AY363" i="3"/>
  <c r="AY319" i="3"/>
  <c r="AY489" i="3"/>
  <c r="AY412" i="3"/>
  <c r="AY497" i="3"/>
  <c r="AY43" i="3"/>
  <c r="AY229" i="3"/>
  <c r="AY212" i="3"/>
  <c r="AY379" i="3"/>
  <c r="AY343" i="3"/>
  <c r="AY478" i="3"/>
  <c r="AY436" i="3"/>
  <c r="AY417" i="3"/>
  <c r="AY557" i="3"/>
  <c r="AY540" i="3"/>
  <c r="AY539" i="3"/>
  <c r="AY105" i="3"/>
  <c r="AY100" i="3"/>
  <c r="AY69" i="3"/>
  <c r="AY52" i="3"/>
  <c r="AY20" i="3"/>
  <c r="AY198" i="3"/>
  <c r="AY193" i="3"/>
  <c r="AY173" i="3"/>
  <c r="AY141" i="3"/>
  <c r="AY134" i="3"/>
  <c r="AY291" i="3"/>
  <c r="AY255" i="3"/>
  <c r="AY270" i="3"/>
  <c r="AY238" i="3"/>
  <c r="AY227" i="3"/>
  <c r="AY373" i="3"/>
  <c r="AY368" i="3"/>
  <c r="AY507" i="3"/>
  <c r="BB6" i="3"/>
  <c r="AY88" i="3"/>
  <c r="AY29" i="3"/>
  <c r="AY181" i="3"/>
  <c r="AY161" i="3"/>
  <c r="AY121" i="3"/>
  <c r="AY258" i="3"/>
  <c r="AY215" i="3"/>
  <c r="AY370" i="3"/>
  <c r="AY341" i="3"/>
  <c r="AY309" i="3"/>
  <c r="AY483" i="3"/>
  <c r="AY480" i="3"/>
  <c r="AY449" i="3"/>
  <c r="AY438" i="3"/>
  <c r="AY406" i="3"/>
  <c r="AY503" i="3"/>
  <c r="AY580" i="3"/>
  <c r="AY572" i="3"/>
  <c r="AY536" i="3"/>
  <c r="AY520" i="3"/>
  <c r="AY552" i="3"/>
  <c r="AY532" i="3"/>
  <c r="AY496" i="3"/>
  <c r="AY523" i="3"/>
  <c r="AY81" i="3"/>
  <c r="AY64" i="3"/>
  <c r="AY174" i="3"/>
  <c r="AY153" i="3"/>
  <c r="AY113" i="3"/>
  <c r="AY267" i="3"/>
  <c r="AY250" i="3"/>
  <c r="AY361" i="3"/>
  <c r="AY337" i="3"/>
  <c r="AY305" i="3"/>
  <c r="AY320" i="3"/>
  <c r="AY479" i="3"/>
  <c r="AY476" i="3"/>
  <c r="AY434" i="3"/>
  <c r="AY402" i="3"/>
  <c r="AY415" i="3"/>
  <c r="AY505" i="3"/>
  <c r="AY538" i="3"/>
  <c r="AY515" i="3"/>
  <c r="AY551" i="3"/>
  <c r="AY545" i="3"/>
  <c r="BP6" i="3"/>
  <c r="AY493" i="3"/>
  <c r="AY62" i="3"/>
  <c r="AY19" i="3"/>
  <c r="AY172" i="3"/>
  <c r="AY151" i="3"/>
  <c r="AY301" i="3"/>
  <c r="AY248" i="3"/>
  <c r="AY394" i="3"/>
  <c r="AY359" i="3"/>
  <c r="AY315" i="3"/>
  <c r="AY485" i="3"/>
  <c r="AY408" i="3"/>
  <c r="AY500" i="3"/>
  <c r="AY547" i="3"/>
  <c r="AY568" i="3"/>
  <c r="AY107" i="3"/>
  <c r="AY54" i="3"/>
  <c r="AY200" i="3"/>
  <c r="AY164" i="3"/>
  <c r="AY143" i="3"/>
  <c r="AY293" i="3"/>
  <c r="AY240" i="3"/>
  <c r="AY386" i="3"/>
  <c r="AY351" i="3"/>
  <c r="AY307" i="3"/>
  <c r="AY477" i="3"/>
  <c r="AY400" i="3"/>
  <c r="AY521" i="3"/>
  <c r="AY566" i="3"/>
  <c r="BT6" i="3"/>
  <c r="AY103" i="3"/>
  <c r="AY67" i="3"/>
  <c r="AY50" i="3"/>
  <c r="AY160" i="3"/>
  <c r="AY139" i="3"/>
  <c r="AY74" i="3"/>
  <c r="AY123" i="3"/>
  <c r="AY204" i="3"/>
  <c r="AY209" i="3"/>
  <c r="AY455" i="3"/>
  <c r="AY116" i="3"/>
  <c r="AY326" i="3"/>
  <c r="AY573" i="3"/>
  <c r="AY84" i="3"/>
  <c r="AY162" i="3"/>
  <c r="AY286" i="3"/>
  <c r="AY384" i="3"/>
  <c r="AY72" i="3"/>
  <c r="AY275" i="3"/>
  <c r="AY324" i="3"/>
  <c r="AY419" i="3"/>
  <c r="AY543" i="3"/>
  <c r="AY21" i="3"/>
  <c r="AY396" i="3"/>
  <c r="AY445" i="3"/>
  <c r="AY522" i="3"/>
  <c r="AY79" i="3"/>
  <c r="AY265" i="3"/>
  <c r="AY451" i="3"/>
  <c r="AY71" i="3"/>
  <c r="AY257" i="3"/>
  <c r="AY44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171" i="3"/>
  <c r="AY163" i="3"/>
  <c r="AY237" i="3"/>
  <c r="AY334" i="3"/>
  <c r="AY526" i="3"/>
  <c r="AY390" i="3"/>
  <c r="AY447" i="3"/>
  <c r="AY574" i="3"/>
  <c r="AY85" i="3"/>
  <c r="AY25" i="3"/>
  <c r="AY157" i="3"/>
  <c r="AY271" i="3"/>
  <c r="AY211" i="3"/>
  <c r="BI6" i="3"/>
  <c r="AY186" i="3"/>
  <c r="AY243" i="3"/>
  <c r="AY325" i="3"/>
  <c r="AY464" i="3"/>
  <c r="AY403" i="3"/>
  <c r="AY527" i="3"/>
  <c r="AY556" i="3"/>
  <c r="AY32" i="3"/>
  <c r="AY298" i="3"/>
  <c r="AY352" i="3"/>
  <c r="AY492" i="3"/>
  <c r="AY431" i="3"/>
  <c r="AY575" i="3"/>
  <c r="AY563" i="3"/>
  <c r="AY203" i="3"/>
  <c r="AY233" i="3"/>
  <c r="AY330" i="3"/>
  <c r="AY13" i="3"/>
  <c r="AY39" i="3"/>
  <c r="AY136" i="3"/>
  <c r="AY375" i="3"/>
  <c r="AY432" i="3"/>
  <c r="AY567" i="3"/>
  <c r="AY486" i="3"/>
  <c r="AY404" i="3"/>
  <c r="AY182" i="3"/>
  <c r="AY239" i="3"/>
  <c r="AY93" i="3"/>
  <c r="AY150" i="3"/>
  <c r="AY340" i="3"/>
  <c r="AY525" i="3"/>
  <c r="AY577" i="3"/>
  <c r="AY205" i="3"/>
  <c r="AY321" i="3"/>
  <c r="AY461" i="3"/>
  <c r="AY537" i="3"/>
  <c r="AY110" i="3"/>
  <c r="AY216" i="3"/>
  <c r="AY482" i="3"/>
  <c r="AY22" i="3"/>
  <c r="AY339" i="3"/>
  <c r="AY191" i="3"/>
  <c r="AY31" i="3"/>
  <c r="AY147" i="3"/>
  <c r="AY244" i="3"/>
  <c r="AY481" i="3"/>
  <c r="AY89" i="3"/>
  <c r="AY146" i="3"/>
  <c r="BS6" i="3"/>
  <c r="AY356" i="3"/>
  <c r="BN6" i="3"/>
  <c r="AY122" i="3"/>
  <c r="AY418" i="3"/>
  <c r="AY30" i="3"/>
  <c r="AY421" i="3"/>
  <c r="AY208" i="3"/>
  <c r="AY82" i="3"/>
  <c r="AY132" i="3"/>
  <c r="AY292" i="3"/>
  <c r="AY220" i="3"/>
  <c r="AY199" i="3"/>
  <c r="AY355" i="3"/>
  <c r="BO6" i="3"/>
  <c r="AY53" i="3"/>
  <c r="AY126" i="3"/>
  <c r="AY389" i="3"/>
  <c r="AY226" i="3"/>
  <c r="AY454" i="3"/>
  <c r="AY518" i="3"/>
  <c r="AY235" i="3"/>
  <c r="AY399" i="3"/>
  <c r="AY140" i="3"/>
  <c r="AY528" i="3"/>
  <c r="AY288" i="3"/>
  <c r="AY413" i="3"/>
  <c r="AY350" i="3"/>
  <c r="AY562" i="3"/>
  <c r="AY302" i="3"/>
  <c r="AY40" i="3"/>
  <c r="AY467" i="3"/>
  <c r="AY508" i="3"/>
  <c r="AY385" i="3"/>
  <c r="AY564" i="3"/>
  <c r="AY296" i="3"/>
  <c r="AY175" i="3"/>
  <c r="AY583"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Y336" i="3"/>
  <c r="AY450" i="3"/>
  <c r="AY17" i="3"/>
  <c r="AY530" i="3"/>
  <c r="AY47" i="3"/>
  <c r="AY120" i="3"/>
  <c r="AY383" i="3"/>
  <c r="AY440" i="3"/>
  <c r="AY576" i="3"/>
  <c r="AY195" i="3"/>
  <c r="AY272" i="3"/>
  <c r="AY322" i="3"/>
  <c r="AY15" i="3"/>
  <c r="AY347" i="3"/>
  <c r="AY425" i="3"/>
  <c r="AY36" i="3"/>
  <c r="AY222" i="3"/>
  <c r="AY279" i="3"/>
  <c r="AY435" i="3"/>
  <c r="AY49" i="3"/>
  <c r="AY304" i="3"/>
  <c r="AY548" i="3"/>
  <c r="AY102" i="3"/>
  <c r="AY474"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B2" i="43"/>
  <c r="C38" i="67"/>
  <c r="C38" i="15"/>
  <c r="E6" i="76"/>
  <c r="B6" i="76"/>
  <c r="S16" i="1" l="1"/>
  <c r="AR9" i="1"/>
  <c r="T9" i="1"/>
  <c r="AQ9" i="1"/>
  <c r="E6" i="3"/>
  <c r="C66" i="67"/>
  <c r="C26" i="69"/>
  <c r="D22" i="69" s="1"/>
  <c r="E2" i="76"/>
  <c r="C23" i="67"/>
  <c r="C29" i="67" s="1"/>
  <c r="C44" i="69"/>
  <c r="D41" i="69" s="1"/>
  <c r="AQ7" i="1"/>
  <c r="AR7" i="1"/>
  <c r="T7" i="1"/>
  <c r="T8" i="1"/>
  <c r="AQ8" i="1"/>
  <c r="AR8" i="1"/>
  <c r="C23" i="15"/>
  <c r="C29" i="15" s="1"/>
  <c r="J14" i="15" s="1"/>
  <c r="C66" i="15"/>
  <c r="B2" i="34"/>
  <c r="B3" i="34" s="1"/>
  <c r="C20" i="11"/>
  <c r="C12" i="71"/>
  <c r="T13" i="71"/>
  <c r="D13" i="71"/>
  <c r="U13" i="71" s="1"/>
  <c r="C8" i="74"/>
  <c r="C7" i="74"/>
  <c r="I19" i="6"/>
  <c r="M27" i="6"/>
  <c r="C35" i="69"/>
  <c r="C38" i="69"/>
  <c r="D17" i="12"/>
  <c r="C17" i="12" s="1"/>
  <c r="O14" i="1"/>
  <c r="O16" i="1" s="1"/>
  <c r="M16" i="1"/>
  <c r="D19" i="6"/>
  <c r="C18" i="4"/>
  <c r="D23" i="6"/>
  <c r="D12" i="6"/>
  <c r="D13" i="6"/>
  <c r="E61" i="40"/>
  <c r="H23" i="6"/>
  <c r="D26" i="6"/>
  <c r="D21" i="6"/>
  <c r="D11" i="6"/>
  <c r="D29" i="6"/>
  <c r="H21" i="6"/>
  <c r="M19" i="9"/>
  <c r="C118" i="9" s="1"/>
  <c r="C14" i="74" s="1"/>
  <c r="B2" i="74" s="1"/>
  <c r="H26" i="6"/>
  <c r="D25" i="6"/>
  <c r="D8" i="6"/>
  <c r="D9" i="6"/>
  <c r="H22" i="6"/>
  <c r="D15" i="6"/>
  <c r="D24" i="6"/>
  <c r="D5" i="6"/>
  <c r="D10" i="6"/>
  <c r="H25" i="6"/>
  <c r="H20" i="6"/>
  <c r="D22" i="6"/>
  <c r="D14" i="6"/>
  <c r="D6" i="6"/>
  <c r="L19" i="9"/>
  <c r="H24" i="6"/>
  <c r="D20" i="6"/>
  <c r="D28" i="6"/>
  <c r="D30" i="6" s="1"/>
  <c r="D20" i="12"/>
  <c r="C20" i="12" s="1"/>
  <c r="C18" i="12" s="1"/>
  <c r="D10" i="11"/>
  <c r="C10" i="11" s="1"/>
  <c r="D10" i="68"/>
  <c r="D10" i="69"/>
  <c r="I68" i="39"/>
  <c r="H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T16" i="1" l="1"/>
  <c r="B3" i="76"/>
  <c r="J14" i="67"/>
  <c r="J22" i="67" s="1"/>
  <c r="C36" i="67"/>
  <c r="C33" i="67"/>
  <c r="J59" i="67"/>
  <c r="C57" i="67"/>
  <c r="C64" i="67" s="1"/>
  <c r="J19" i="67"/>
  <c r="C13" i="67"/>
  <c r="C37" i="67" s="1"/>
  <c r="Q49" i="67"/>
  <c r="C36" i="15"/>
  <c r="J59" i="15"/>
  <c r="J19" i="15"/>
  <c r="C33" i="15"/>
  <c r="Q49" i="15"/>
  <c r="C57" i="15"/>
  <c r="C61" i="15" s="1"/>
  <c r="C13" i="15"/>
  <c r="C56" i="15" s="1"/>
  <c r="C65" i="15" s="1"/>
  <c r="D16" i="6"/>
  <c r="R22" i="6"/>
  <c r="R9" i="1" s="1"/>
  <c r="R21" i="6"/>
  <c r="R8" i="1" s="1"/>
  <c r="C4" i="52"/>
  <c r="B45" i="72" s="1"/>
  <c r="A7" i="51"/>
  <c r="B7" i="72" s="1"/>
  <c r="A10" i="51"/>
  <c r="B9" i="72" s="1"/>
  <c r="S19" i="6"/>
  <c r="S27" i="6" s="1"/>
  <c r="I27" i="6"/>
  <c r="I70" i="39"/>
  <c r="J68" i="39"/>
  <c r="C10" i="69"/>
  <c r="C8" i="69" s="1"/>
  <c r="C5" i="69" s="1"/>
  <c r="D19" i="69"/>
  <c r="R24" i="6"/>
  <c r="H19" i="6"/>
  <c r="H27" i="6" s="1"/>
  <c r="D27" i="6"/>
  <c r="D31" i="6" s="1"/>
  <c r="P14" i="1"/>
  <c r="P16" i="1" s="1"/>
  <c r="C11" i="12" s="1"/>
  <c r="C11" i="71"/>
  <c r="D12" i="71"/>
  <c r="D8" i="74"/>
  <c r="D7" i="74"/>
  <c r="C10" i="68"/>
  <c r="D19" i="68"/>
  <c r="R25" i="6"/>
  <c r="R26" i="6"/>
  <c r="L16" i="1"/>
  <c r="N16" i="1"/>
  <c r="B21" i="1" s="1"/>
  <c r="C28" i="11" s="1"/>
  <c r="C27" i="11" s="1"/>
  <c r="R20" i="6"/>
  <c r="R7" i="1" s="1"/>
  <c r="R23" i="6"/>
  <c r="I63" i="40"/>
  <c r="H65" i="40"/>
  <c r="I58" i="21"/>
  <c r="J58" i="21" s="1"/>
  <c r="K58" i="21" s="1"/>
  <c r="L58" i="21" s="1"/>
  <c r="M58" i="21" s="1"/>
  <c r="N58" i="21" s="1"/>
  <c r="O58" i="21" s="1"/>
  <c r="H7" i="21" s="1"/>
  <c r="J7" i="21"/>
  <c r="F7" i="21"/>
  <c r="J48" i="35"/>
  <c r="J13" i="67"/>
  <c r="J23" i="67" s="1"/>
  <c r="J22" i="15"/>
  <c r="J13" i="15"/>
  <c r="J23" i="15" s="1"/>
  <c r="C61" i="67" l="1"/>
  <c r="B23" i="1"/>
  <c r="B24" i="1"/>
  <c r="F50" i="68" s="1"/>
  <c r="C29" i="68"/>
  <c r="D27" i="68" s="1"/>
  <c r="C29" i="11"/>
  <c r="D27" i="11" s="1"/>
  <c r="C44" i="11"/>
  <c r="D41" i="11" s="1"/>
  <c r="C44" i="68"/>
  <c r="D41" i="68" s="1"/>
  <c r="C24" i="11"/>
  <c r="Q70" i="67"/>
  <c r="C75" i="67"/>
  <c r="C56" i="67"/>
  <c r="C65" i="67" s="1"/>
  <c r="C75" i="15"/>
  <c r="C37" i="15"/>
  <c r="C64" i="15"/>
  <c r="Q70" i="15"/>
  <c r="F50" i="11"/>
  <c r="C19" i="68"/>
  <c r="D37" i="68"/>
  <c r="R19" i="6"/>
  <c r="C23" i="69"/>
  <c r="I6" i="6"/>
  <c r="I5" i="6"/>
  <c r="K68" i="39"/>
  <c r="J70" i="39"/>
  <c r="C10" i="71"/>
  <c r="D11" i="71"/>
  <c r="C15" i="12"/>
  <c r="C12" i="12"/>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F34" i="11" l="1"/>
  <c r="F11" i="12"/>
  <c r="F34" i="68"/>
  <c r="C37" i="68" s="1"/>
  <c r="J53" i="67"/>
  <c r="J53" i="15"/>
  <c r="M59" i="67"/>
  <c r="M59" i="15"/>
  <c r="C29" i="12"/>
  <c r="D28" i="12" s="1"/>
  <c r="C26" i="12"/>
  <c r="D25" i="12" s="1"/>
  <c r="F50" i="69"/>
  <c r="C23" i="11"/>
  <c r="C26" i="68"/>
  <c r="D22" i="68" s="1"/>
  <c r="C26" i="11"/>
  <c r="D22" i="11" s="1"/>
  <c r="C25" i="11"/>
  <c r="R27" i="6"/>
  <c r="R6" i="1"/>
  <c r="C39" i="69"/>
  <c r="C43" i="69" s="1"/>
  <c r="C42" i="69"/>
  <c r="C9" i="71"/>
  <c r="D10" i="71"/>
  <c r="K70" i="39"/>
  <c r="L68" i="39"/>
  <c r="C20" i="69"/>
  <c r="C24" i="68"/>
  <c r="W7" i="35"/>
  <c r="AC7" i="35"/>
  <c r="V38" i="35" s="1"/>
  <c r="I38" i="35" s="1"/>
  <c r="J65" i="40"/>
  <c r="K63" i="40"/>
  <c r="I52" i="21"/>
  <c r="J52" i="21" s="1"/>
  <c r="U7" i="35"/>
  <c r="AB7" i="35"/>
  <c r="T38" i="35" s="1"/>
  <c r="G38" i="35" s="1"/>
  <c r="R49" i="21"/>
  <c r="E48" i="21"/>
  <c r="G52" i="21"/>
  <c r="H52" i="21" s="1"/>
  <c r="G53" i="21"/>
  <c r="H53" i="21" s="1"/>
  <c r="F7" i="35"/>
  <c r="M21" i="67"/>
  <c r="M21" i="15"/>
  <c r="F35" i="15"/>
  <c r="F35" i="67"/>
  <c r="C22" i="11" l="1"/>
  <c r="C31" i="11" s="1"/>
  <c r="L56" i="15"/>
  <c r="Q52" i="15"/>
  <c r="F1" i="15"/>
  <c r="J60" i="15"/>
  <c r="C36" i="11"/>
  <c r="C37" i="11"/>
  <c r="C34" i="11"/>
  <c r="F1" i="67"/>
  <c r="Q52" i="67"/>
  <c r="J60" i="67"/>
  <c r="C36" i="68"/>
  <c r="C34" i="68"/>
  <c r="C23" i="12"/>
  <c r="C14" i="12"/>
  <c r="C16" i="12" s="1"/>
  <c r="C21" i="12" s="1"/>
  <c r="C22" i="12" s="1"/>
  <c r="C34" i="15"/>
  <c r="C31" i="15" s="1"/>
  <c r="C30" i="15" s="1"/>
  <c r="C39" i="15" s="1"/>
  <c r="F63" i="15"/>
  <c r="C62" i="15" s="1"/>
  <c r="C59" i="15" s="1"/>
  <c r="C58" i="15" s="1"/>
  <c r="C67" i="15" s="1"/>
  <c r="C68" i="15" s="1"/>
  <c r="J20" i="15"/>
  <c r="J17" i="15" s="1"/>
  <c r="J16" i="15" s="1"/>
  <c r="J25" i="15" s="1"/>
  <c r="F63" i="67"/>
  <c r="C62" i="67" s="1"/>
  <c r="C59" i="67" s="1"/>
  <c r="C58" i="67" s="1"/>
  <c r="C67" i="67" s="1"/>
  <c r="C68" i="67" s="1"/>
  <c r="C34" i="67"/>
  <c r="C31" i="67" s="1"/>
  <c r="C30" i="67" s="1"/>
  <c r="C39" i="67" s="1"/>
  <c r="J20" i="67"/>
  <c r="J17" i="67" s="1"/>
  <c r="J16" i="67" s="1"/>
  <c r="J25" i="67" s="1"/>
  <c r="R16" i="1"/>
  <c r="C28" i="69"/>
  <c r="C27" i="69" s="1"/>
  <c r="C25" i="69"/>
  <c r="C22" i="69" s="1"/>
  <c r="C8" i="71"/>
  <c r="T9" i="71"/>
  <c r="D9" i="71"/>
  <c r="U9" i="71" s="1"/>
  <c r="L70" i="39"/>
  <c r="M68" i="39"/>
  <c r="C41" i="69"/>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L51" i="67"/>
  <c r="L51" i="15"/>
  <c r="C30" i="12" l="1"/>
  <c r="C28" i="12" s="1"/>
  <c r="C27" i="12"/>
  <c r="C25" i="12" s="1"/>
  <c r="C38" i="11"/>
  <c r="C35" i="11"/>
  <c r="Q48" i="15"/>
  <c r="L46" i="15"/>
  <c r="L46" i="67"/>
  <c r="Q48" i="67"/>
  <c r="C35" i="68"/>
  <c r="C38" i="68"/>
  <c r="C31" i="69"/>
  <c r="Q67" i="67"/>
  <c r="L57" i="67"/>
  <c r="L60" i="67" s="1"/>
  <c r="Q67" i="15"/>
  <c r="L57" i="15"/>
  <c r="L60" i="15" s="1"/>
  <c r="C71" i="67"/>
  <c r="C71" i="15"/>
  <c r="C80" i="67"/>
  <c r="C79" i="67" s="1"/>
  <c r="Q69" i="67"/>
  <c r="Q68" i="67" s="1"/>
  <c r="C40" i="67"/>
  <c r="C40" i="15"/>
  <c r="Q69" i="15"/>
  <c r="Q68" i="15" s="1"/>
  <c r="C80" i="15"/>
  <c r="C79" i="15" s="1"/>
  <c r="N68" i="39"/>
  <c r="M70" i="39"/>
  <c r="C49" i="69"/>
  <c r="C51" i="69" s="1"/>
  <c r="D8" i="71"/>
  <c r="C7" i="71"/>
  <c r="R39" i="35"/>
  <c r="E38" i="35"/>
  <c r="M63" i="40"/>
  <c r="L65" i="40"/>
  <c r="C33" i="11" l="1"/>
  <c r="C42" i="11" s="1"/>
  <c r="C32" i="12"/>
  <c r="B2" i="12" s="1"/>
  <c r="B3" i="12" s="1"/>
  <c r="C33" i="68"/>
  <c r="C42" i="68" s="1"/>
  <c r="C39" i="11"/>
  <c r="C43" i="11" s="1"/>
  <c r="C52" i="69"/>
  <c r="B2" i="69" s="1"/>
  <c r="B3" i="69" s="1"/>
  <c r="C43" i="67"/>
  <c r="Q65" i="67"/>
  <c r="Q47" i="67"/>
  <c r="Q53" i="67" s="1"/>
  <c r="Q56" i="67"/>
  <c r="D2" i="67"/>
  <c r="C83" i="67"/>
  <c r="C82" i="67" s="1"/>
  <c r="Q65" i="15"/>
  <c r="B2" i="15"/>
  <c r="B3" i="15" s="1"/>
  <c r="Q47" i="15"/>
  <c r="Q53" i="15" s="1"/>
  <c r="Q56" i="15"/>
  <c r="C83" i="15"/>
  <c r="C82" i="15" s="1"/>
  <c r="C43" i="15"/>
  <c r="C46" i="15"/>
  <c r="Q57" i="67"/>
  <c r="Q66" i="67"/>
  <c r="Q57" i="15"/>
  <c r="Q66" i="15"/>
  <c r="C45" i="67"/>
  <c r="C46" i="67" s="1"/>
  <c r="C6" i="71"/>
  <c r="D7" i="71"/>
  <c r="F7" i="39"/>
  <c r="O68" i="39"/>
  <c r="O70" i="39" s="1"/>
  <c r="N70" i="39"/>
  <c r="C39" i="35"/>
  <c r="B2" i="35" s="1"/>
  <c r="B3" i="35" s="1"/>
  <c r="C38" i="35"/>
  <c r="N63" i="40"/>
  <c r="M65" i="40"/>
  <c r="E43" i="35"/>
  <c r="F43" i="35" s="1"/>
  <c r="E42" i="35"/>
  <c r="F42" i="35" s="1"/>
  <c r="I43" i="35"/>
  <c r="J43" i="35" s="1"/>
  <c r="D20" i="9"/>
  <c r="D19" i="9"/>
  <c r="D21" i="9" l="1"/>
  <c r="D102" i="9"/>
  <c r="C39" i="68"/>
  <c r="C43" i="68" s="1"/>
  <c r="C41" i="68" s="1"/>
  <c r="D103" i="9"/>
  <c r="C41" i="11"/>
  <c r="C46" i="11"/>
  <c r="C45" i="11" s="1"/>
  <c r="C57" i="69"/>
  <c r="C56" i="69" s="1"/>
  <c r="Q62" i="15"/>
  <c r="Q75" i="67"/>
  <c r="Q62" i="67"/>
  <c r="Q75" i="15"/>
  <c r="B2" i="67"/>
  <c r="B3" i="67"/>
  <c r="S7" i="39"/>
  <c r="AA7" i="39"/>
  <c r="R47" i="39" s="1"/>
  <c r="D6" i="71"/>
  <c r="C5" i="71"/>
  <c r="J7" i="39"/>
  <c r="H7" i="39"/>
  <c r="O63" i="40"/>
  <c r="O65" i="40" s="1"/>
  <c r="N65" i="40"/>
  <c r="C46" i="68" l="1"/>
  <c r="C45" i="68" s="1"/>
  <c r="C49" i="68" s="1"/>
  <c r="C51" i="68" s="1"/>
  <c r="C49" i="11"/>
  <c r="C51" i="11" s="1"/>
  <c r="C52" i="11" s="1"/>
  <c r="B2" i="11" s="1"/>
  <c r="B3" i="11" s="1"/>
  <c r="U7" i="39"/>
  <c r="AB7" i="39"/>
  <c r="T47" i="39" s="1"/>
  <c r="G47" i="39" s="1"/>
  <c r="E47" i="39"/>
  <c r="AC7" i="39"/>
  <c r="V47" i="39" s="1"/>
  <c r="I47" i="39" s="1"/>
  <c r="W7" i="39"/>
  <c r="D5" i="71"/>
  <c r="M20" i="43"/>
  <c r="J7" i="40"/>
  <c r="F7" i="40"/>
  <c r="H7" i="40"/>
  <c r="R48" i="39" l="1"/>
  <c r="C47" i="39" s="1"/>
  <c r="C56" i="11"/>
  <c r="C57" i="11" s="1"/>
  <c r="E52" i="39"/>
  <c r="F52" i="39" s="1"/>
  <c r="E51" i="39"/>
  <c r="F51" i="39" s="1"/>
  <c r="G51" i="39"/>
  <c r="H51" i="39" s="1"/>
  <c r="G52" i="39"/>
  <c r="H52" i="39" s="1"/>
  <c r="I51" i="39"/>
  <c r="J51" i="39" s="1"/>
  <c r="I52" i="39"/>
  <c r="J52" i="39" s="1"/>
  <c r="U7" i="40"/>
  <c r="AB7" i="40"/>
  <c r="T42" i="40" s="1"/>
  <c r="G42" i="40" s="1"/>
  <c r="AA7" i="40"/>
  <c r="R42" i="40" s="1"/>
  <c r="S7" i="40"/>
  <c r="AC7" i="40"/>
  <c r="V42" i="40" s="1"/>
  <c r="I42" i="40" s="1"/>
  <c r="W7" i="40"/>
  <c r="C48" i="39" l="1"/>
  <c r="B56" i="39" s="1"/>
  <c r="F56" i="39" s="1"/>
  <c r="B60" i="39"/>
  <c r="F60" i="39" s="1"/>
  <c r="B57" i="39"/>
  <c r="F57" i="39" s="1"/>
  <c r="B63" i="39"/>
  <c r="F63" i="39" s="1"/>
  <c r="B62" i="39"/>
  <c r="F62" i="39" s="1"/>
  <c r="B64" i="39"/>
  <c r="F64" i="39" s="1"/>
  <c r="B61" i="39"/>
  <c r="F61" i="39" s="1"/>
  <c r="B58" i="39"/>
  <c r="F58" i="39" s="1"/>
  <c r="B59" i="39"/>
  <c r="F59" i="39" s="1"/>
  <c r="I46" i="40"/>
  <c r="J46" i="40" s="1"/>
  <c r="R43" i="40"/>
  <c r="E42" i="40"/>
  <c r="G47" i="40"/>
  <c r="H47" i="40" s="1"/>
  <c r="G46" i="40"/>
  <c r="H46" i="40" s="1"/>
  <c r="B65" i="39" l="1"/>
  <c r="F65" i="39" s="1"/>
  <c r="F66" i="39"/>
  <c r="B2" i="39" s="1"/>
  <c r="C42" i="40"/>
  <c r="C43" i="40"/>
  <c r="E47" i="40"/>
  <c r="F47" i="40" s="1"/>
  <c r="E46" i="40"/>
  <c r="F46" i="40" s="1"/>
  <c r="I47" i="40"/>
  <c r="J47" i="40" s="1"/>
  <c r="B3" i="39" l="1"/>
  <c r="C6"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l="1"/>
  <c r="C57" i="68"/>
  <c r="C56" i="68" s="1"/>
  <c r="C19" i="9"/>
  <c r="G19" i="9" l="1"/>
  <c r="G21" i="9" s="1"/>
  <c r="C102" i="9"/>
  <c r="C21" i="9"/>
  <c r="D22" i="9"/>
  <c r="B3" i="68"/>
  <c r="D34" i="9"/>
  <c r="C20" i="9"/>
  <c r="D35" i="9"/>
  <c r="C103" i="9" l="1"/>
  <c r="G20" i="9"/>
  <c r="C32" i="9" s="1"/>
  <c r="C35" i="9" l="1"/>
  <c r="H118" i="9"/>
  <c r="D14" i="74" l="1"/>
  <c r="H101" i="9"/>
  <c r="H4" i="52"/>
  <c r="I118" i="9"/>
  <c r="H119" i="9"/>
  <c r="H5" i="52" s="1"/>
  <c r="C104" i="9"/>
  <c r="C34" i="9"/>
  <c r="D118" i="9" s="1"/>
  <c r="F118" i="9"/>
  <c r="G118" i="9" l="1"/>
  <c r="G4" i="52" s="1"/>
  <c r="B52" i="72" s="1"/>
  <c r="F119" i="9"/>
  <c r="F5" i="52" s="1"/>
  <c r="B53" i="72" s="1"/>
  <c r="F4" i="52"/>
  <c r="B51" i="72" s="1"/>
  <c r="H102" i="9"/>
  <c r="D7" i="53" s="1"/>
  <c r="B21" i="72" s="1"/>
  <c r="E118" i="9"/>
  <c r="E4" i="52" s="1"/>
  <c r="B48" i="72" s="1"/>
  <c r="I4" i="52"/>
  <c r="C105" i="9"/>
  <c r="D119" i="9"/>
  <c r="D5" i="52" s="1"/>
  <c r="B49" i="72" s="1"/>
  <c r="D4" i="52"/>
  <c r="B47" i="72" s="1"/>
  <c r="D45" i="9"/>
  <c r="D5" i="53"/>
  <c r="H107" i="9"/>
  <c r="M48" i="9"/>
  <c r="F14" i="74"/>
  <c r="E14" i="74"/>
  <c r="B5" i="74"/>
  <c r="B20" i="72" l="1"/>
  <c r="D6" i="53"/>
  <c r="B22" i="72" s="1"/>
  <c r="C5" i="74"/>
  <c r="D5" i="74"/>
  <c r="D122" i="9"/>
  <c r="H108" i="9"/>
  <c r="D15" i="53" s="1"/>
  <c r="B31" i="72" s="1"/>
  <c r="D13" i="53"/>
  <c r="C78" i="9"/>
  <c r="C73" i="9" s="1"/>
  <c r="C64" i="9"/>
  <c r="C63" i="9" s="1"/>
  <c r="C67" i="9" s="1"/>
  <c r="C85" i="9"/>
  <c r="D52" i="9"/>
  <c r="C93" i="9"/>
  <c r="C86" i="9" s="1"/>
  <c r="C72" i="9"/>
  <c r="D55" i="9"/>
  <c r="M53" i="9" s="1"/>
  <c r="D53" i="9"/>
  <c r="C95" i="9" l="1"/>
  <c r="C96" i="9" s="1"/>
  <c r="C79" i="9"/>
  <c r="C80" i="9" s="1"/>
  <c r="E80" i="9" s="1"/>
  <c r="E81" i="9" s="1"/>
  <c r="D59" i="9"/>
  <c r="M55" i="9" s="1"/>
  <c r="C68" i="9"/>
  <c r="D54" i="9" s="1"/>
  <c r="D123" i="9"/>
  <c r="D9" i="52" s="1"/>
  <c r="D8" i="52"/>
  <c r="G14" i="74"/>
  <c r="B6" i="74" s="1"/>
  <c r="D14" i="53"/>
  <c r="B32" i="72" s="1"/>
  <c r="B30" i="72"/>
  <c r="E96" i="9" l="1"/>
  <c r="E97" i="9" s="1"/>
  <c r="C97" i="9"/>
  <c r="D58" i="9" s="1"/>
  <c r="D56" i="9" s="1"/>
  <c r="M54" i="9" s="1"/>
  <c r="N57" i="9" s="1"/>
  <c r="N58" i="9" s="1"/>
  <c r="C81" i="9"/>
  <c r="C6" i="74"/>
  <c r="D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<sst xmlns="http://schemas.openxmlformats.org/spreadsheetml/2006/main" count="7980" uniqueCount="3322">
  <si>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</si>
  <si>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</si>
  <si>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</si>
  <si>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</si>
  <si>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</si>
  <si>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</si>
  <si>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</si>
  <si>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</si>
  <si>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</si>
  <si>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</si>
  <si>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</si>
  <si>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</si>
  <si>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</si>
  <si>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</si>
  <si>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</si>
  <si>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</si>
  <si>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</si>
  <si>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</si>
  <si>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</si>
  <si>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</si>
  <si>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</si>
  <si>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</si>
  <si>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</si>
  <si>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</si>
  <si>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</si>
  <si>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</si>
  <si>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</si>
  <si>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</si>
  <si>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</si>
  <si>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</si>
  <si>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</si>
  <si>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</si>
  <si>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小计</t>
  </si>
  <si>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</si>
  <si>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</si>
  <si>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</si>
  <si>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</si>
  <si>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</si>
  <si>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</si>
  <si>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</si>
  <si>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</si>
  <si>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</si>
  <si>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</si>
  <si>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</si>
  <si>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</si>
  <si>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</si>
  <si>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</si>
  <si>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</si>
  <si>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</si>
  <si>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</si>
  <si>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</si>
  <si>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</si>
  <si>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</si>
  <si>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</si>
  <si>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</si>
  <si>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</si>
  <si>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</si>
  <si>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</si>
  <si>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</si>
  <si>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</si>
  <si>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</si>
  <si>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</si>
  <si>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</si>
  <si>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</si>
  <si>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</si>
  <si>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</si>
  <si>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</si>
  <si>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</si>
  <si>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</si>
  <si>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</si>
  <si>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</si>
  <si>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</si>
  <si>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</si>
  <si>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</si>
  <si>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</si>
  <si>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</si>
  <si>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</si>
  <si>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</si>
  <si>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</si>
  <si>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</si>
  <si>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</si>
  <si>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</si>
  <si>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</si>
  <si>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</si>
  <si>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</si>
  <si>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</si>
  <si>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</si>
  <si>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</si>
  <si>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</si>
  <si>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</si>
  <si>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</si>
  <si>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</si>
  <si>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</si>
  <si>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</si>
  <si>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</si>
  <si>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</si>
  <si>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</si>
  <si>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</si>
  <si>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</si>
  <si>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</si>
  <si>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</si>
  <si>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</si>
  <si>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</si>
  <si>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</si>
  <si>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</si>
  <si>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</si>
  <si>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</si>
  <si>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</si>
  <si>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</si>
  <si>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</si>
  <si>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</si>
  <si>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</si>
  <si>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</si>
  <si>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</si>
  <si>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</si>
  <si>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</si>
  <si>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</si>
  <si>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</si>
  <si>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</si>
  <si>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</si>
  <si>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</si>
  <si>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</si>
  <si>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</si>
  <si>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</si>
  <si>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</si>
  <si>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</si>
  <si>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</si>
  <si>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</si>
  <si>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</si>
  <si>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</si>
  <si>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</si>
  <si>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</si>
  <si>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</si>
  <si>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</si>
  <si>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</si>
  <si>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</si>
  <si>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</si>
  <si>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</si>
  <si>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</si>
  <si>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</si>
  <si>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</si>
  <si>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</si>
  <si>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</si>
  <si>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</si>
  <si>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</si>
  <si>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</si>
  <si>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</si>
  <si>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</si>
  <si>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</si>
  <si>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</si>
  <si>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</si>
  <si>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</si>
  <si>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</si>
  <si>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</si>
  <si>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</si>
  <si>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</si>
  <si>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</si>
  <si>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</si>
  <si>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</si>
  <si>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</si>
  <si>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</si>
  <si>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</si>
  <si>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</si>
  <si>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</si>
  <si>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</si>
  <si>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</si>
  <si>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</si>
  <si>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</si>
  <si>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</si>
  <si>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</si>
  <si>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</si>
  <si>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</si>
  <si>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</si>
  <si>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</si>
  <si>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</si>
  <si>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</si>
  <si>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</si>
  <si>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</si>
  <si>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</si>
  <si>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</si>
  <si>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</si>
  <si>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</si>
  <si>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</si>
  <si>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</si>
  <si>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</si>
  <si>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</si>
  <si>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</si>
  <si>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</si>
  <si>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</si>
  <si>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</si>
  <si>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</si>
  <si>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</si>
  <si>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</si>
  <si>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</si>
  <si>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</si>
  <si>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</si>
  <si>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</si>
  <si>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</si>
  <si>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</si>
  <si>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</si>
  <si>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</si>
  <si>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</si>
  <si>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</si>
  <si>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</si>
  <si>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</si>
  <si>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</si>
  <si>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</si>
  <si>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</si>
  <si>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</si>
  <si>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</si>
  <si>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</si>
  <si>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</si>
  <si>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</si>
  <si>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</si>
  <si>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</si>
  <si>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</si>
  <si>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</si>
  <si>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</si>
  <si>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</si>
  <si>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</si>
  <si>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</si>
  <si>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</si>
  <si>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</si>
  <si>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</si>
  <si>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</si>
  <si>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</si>
  <si>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</si>
  <si>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</si>
  <si>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</si>
  <si>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</si>
  <si>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</si>
  <si>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</si>
  <si>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</si>
  <si>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</si>
  <si>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</si>
  <si>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</si>
  <si>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</si>
  <si>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</si>
  <si>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</si>
  <si>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</si>
  <si>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</si>
  <si>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</si>
  <si>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</si>
  <si>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</si>
  <si>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</si>
  <si>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</si>
  <si>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</si>
  <si>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</si>
  <si>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</si>
  <si>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</si>
  <si>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</si>
  <si>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</si>
  <si>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</si>
  <si>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</si>
  <si>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</si>
  <si>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</si>
  <si>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</si>
  <si>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</si>
  <si>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</si>
  <si>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</si>
  <si>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</si>
  <si>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</si>
  <si>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</si>
  <si>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</si>
  <si>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</si>
  <si>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</si>
  <si>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</si>
  <si>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</si>
  <si>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</si>
  <si>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</si>
  <si>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</si>
  <si>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</si>
  <si>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</si>
  <si>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</si>
  <si>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</si>
  <si>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</si>
  <si>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</si>
  <si>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</si>
  <si>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</si>
  <si>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</si>
  <si>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</si>
  <si>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</si>
  <si>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</si>
  <si>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</si>
  <si>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</si>
  <si>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</si>
  <si>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</si>
  <si>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</si>
  <si>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</si>
  <si>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</si>
  <si>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</si>
  <si>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</si>
  <si>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</si>
  <si>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</si>
  <si>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</si>
  <si>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</si>
  <si>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</si>
  <si>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</si>
  <si>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</si>
  <si>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</si>
  <si>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</si>
  <si>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</si>
  <si>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</si>
  <si>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</si>
  <si>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</si>
  <si>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</si>
  <si>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</si>
  <si>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</si>
  <si>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</si>
  <si>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</si>
  <si>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</si>
  <si>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</si>
  <si>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</si>
  <si>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</si>
  <si>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</si>
  <si>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</si>
  <si>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</si>
  <si>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</si>
  <si>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</si>
  <si>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</si>
  <si>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</si>
  <si>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</si>
  <si>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</si>
  <si>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</si>
  <si>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</si>
  <si>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</si>
  <si>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</si>
  <si>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</si>
  <si>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</si>
  <si>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</si>
  <si>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</si>
  <si>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</si>
  <si>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</si>
  <si>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</si>
  <si>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</si>
  <si>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</si>
  <si>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</si>
  <si>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</si>
  <si>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</si>
  <si>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</si>
  <si>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</si>
  <si>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</si>
  <si>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</si>
  <si>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</si>
  <si>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</si>
  <si>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</si>
  <si>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</si>
  <si>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</si>
  <si>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</si>
  <si>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</si>
  <si>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</si>
  <si>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</si>
  <si>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</si>
  <si>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</si>
  <si>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</si>
  <si>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</si>
  <si>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</si>
  <si>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</si>
  <si>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</si>
  <si>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</si>
  <si>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</si>
  <si>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</si>
  <si>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</si>
  <si>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</si>
  <si>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</si>
  <si>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</si>
  <si>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</si>
  <si>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</si>
  <si>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</si>
  <si>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</si>
  <si>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</si>
  <si>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</si>
  <si>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</si>
  <si>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</si>
  <si>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</si>
  <si>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</si>
  <si>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</si>
  <si>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</si>
  <si>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</si>
  <si>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</si>
  <si>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</si>
  <si>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</si>
  <si>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</si>
  <si>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</si>
  <si>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</si>
  <si>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</si>
  <si>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</si>
  <si>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</si>
  <si>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</si>
  <si>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</si>
  <si>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</si>
  <si>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</si>
  <si>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</si>
  <si>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</si>
  <si>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</si>
  <si>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</si>
  <si>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</si>
  <si>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</si>
  <si>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</si>
  <si>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</si>
  <si>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</si>
  <si>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</si>
  <si>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</si>
  <si>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</si>
  <si>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</si>
  <si>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</si>
  <si>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</si>
  <si>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</si>
  <si>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</si>
  <si>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</si>
  <si>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</si>
  <si>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</si>
  <si>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</si>
  <si>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</si>
  <si>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</si>
  <si>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</si>
  <si>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</si>
  <si>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</si>
  <si>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</si>
  <si>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</si>
  <si>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</si>
  <si>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</si>
  <si>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</si>
  <si>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</si>
  <si>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</si>
  <si>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</si>
  <si>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</si>
  <si>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</si>
  <si>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</si>
  <si>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</si>
  <si>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</si>
  <si>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</si>
  <si>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</si>
  <si>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</si>
  <si>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</si>
  <si>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</si>
  <si>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</si>
  <si>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</si>
  <si>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</si>
  <si>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</si>
  <si>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</si>
  <si>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</si>
  <si>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</si>
  <si>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</si>
  <si>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</si>
  <si>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</si>
  <si>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</si>
  <si>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</si>
  <si>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</si>
  <si>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</si>
  <si>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</si>
  <si>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</si>
  <si>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</si>
  <si>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</si>
  <si>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</si>
  <si>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</si>
  <si>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</si>
  <si>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</si>
  <si>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</si>
  <si>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</si>
  <si>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</si>
  <si>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</si>
  <si>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</si>
  <si>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</si>
  <si>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</si>
  <si>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</si>
  <si>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</si>
  <si>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</si>
  <si>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</si>
  <si>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</si>
  <si>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</si>
  <si>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</si>
  <si>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</si>
  <si>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</si>
  <si>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</si>
  <si>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</si>
  <si>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</si>
  <si>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</si>
  <si>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</si>
  <si>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</si>
  <si>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</si>
  <si>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</si>
  <si>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</si>
  <si>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</si>
  <si>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</si>
  <si>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</si>
  <si>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</si>
  <si>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</si>
  <si>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</si>
  <si>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</si>
  <si>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</si>
  <si>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</si>
  <si>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</si>
  <si>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</si>
  <si>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</si>
  <si>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</si>
  <si>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</si>
  <si>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</si>
  <si>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</si>
  <si>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</si>
  <si>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</si>
  <si>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</si>
  <si>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</si>
  <si>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</si>
  <si>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</si>
  <si>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</si>
  <si>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</si>
  <si>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</si>
  <si>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</si>
  <si>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</si>
  <si>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</si>
  <si>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</si>
  <si>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</si>
  <si>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</si>
  <si>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</si>
  <si>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</si>
  <si>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</si>
  <si>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</si>
  <si>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</si>
  <si>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</si>
  <si>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</si>
  <si>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</si>
  <si>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</si>
  <si>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</si>
  <si>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</si>
  <si>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</si>
  <si>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</si>
  <si>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</si>
  <si>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</si>
  <si>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</si>
  <si>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</si>
  <si>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</si>
  <si>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</si>
  <si>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</si>
  <si>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</si>
  <si>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</si>
  <si>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</si>
  <si>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</si>
  <si>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</si>
  <si>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</si>
  <si>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</si>
  <si>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</si>
  <si>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</si>
  <si>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</si>
  <si>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</si>
  <si>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</si>
  <si>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</si>
  <si>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</si>
  <si>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</si>
  <si>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</si>
  <si>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</si>
  <si>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</si>
  <si>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</si>
  <si>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</si>
  <si>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</si>
  <si>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</si>
  <si>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</si>
  <si>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</si>
  <si>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</si>
  <si>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</si>
  <si>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</si>
  <si>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</si>
  <si>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</si>
  <si>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</si>
  <si>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</si>
  <si>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</si>
  <si>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</si>
  <si>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</si>
  <si>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</si>
  <si>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</si>
  <si>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</si>
  <si>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</si>
  <si>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</si>
  <si>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</si>
  <si>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</si>
  <si>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</si>
  <si>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</si>
  <si>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</si>
  <si>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</si>
  <si>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</si>
  <si>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</si>
  <si>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</si>
  <si>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</si>
  <si>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</si>
  <si>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</si>
  <si>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</si>
  <si>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</si>
  <si>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</si>
  <si>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</si>
  <si>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</si>
  <si>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</si>
  <si>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</si>
  <si>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</si>
  <si>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</si>
  <si>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</si>
  <si>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</si>
  <si>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</si>
  <si>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</si>
  <si>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</si>
  <si>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</si>
  <si>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</si>
  <si>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</si>
  <si>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</si>
  <si>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</si>
  <si>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</si>
  <si>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</si>
  <si>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</si>
  <si>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</si>
  <si>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</si>
  <si>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</si>
  <si>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</si>
  <si>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</si>
  <si>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</si>
  <si>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</si>
  <si>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</si>
  <si>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</si>
  <si>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</si>
  <si>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</si>
  <si>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</si>
  <si>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</si>
  <si>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</si>
  <si>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</si>
  <si>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</si>
  <si>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</si>
  <si>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</si>
  <si>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</si>
  <si>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</si>
  <si>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</si>
  <si>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</si>
  <si>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</si>
  <si>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</si>
  <si>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</si>
  <si>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</si>
  <si>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</si>
  <si>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</si>
  <si>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</si>
  <si>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</si>
  <si>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</si>
  <si>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</si>
  <si>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</si>
  <si>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</si>
  <si>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</si>
  <si>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</si>
  <si>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</si>
  <si>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</si>
  <si>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</si>
  <si>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</si>
  <si>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</si>
  <si>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</si>
  <si>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</si>
  <si>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</si>
  <si>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</si>
  <si>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</si>
  <si>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</si>
  <si>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</si>
  <si>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</si>
  <si>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</si>
  <si>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</si>
  <si>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</si>
  <si>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</si>
  <si>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</si>
  <si>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</si>
  <si>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</si>
  <si>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</si>
  <si>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</si>
  <si>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</si>
  <si>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</si>
  <si>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</si>
  <si>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</si>
  <si>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</si>
  <si>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</si>
  <si>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</si>
  <si>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</si>
  <si>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</si>
  <si>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</si>
  <si>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</si>
  <si>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</si>
  <si>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</si>
  <si>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</si>
  <si>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</si>
  <si>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</si>
  <si>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</si>
  <si>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</si>
  <si>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</si>
  <si>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</si>
  <si>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</si>
  <si>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</si>
  <si>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</si>
  <si>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</si>
  <si>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</si>
  <si>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</si>
  <si>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</si>
  <si>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</si>
  <si>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</si>
  <si>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</si>
  <si>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</si>
  <si>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</si>
  <si>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</si>
  <si>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</si>
  <si>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</si>
  <si>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</si>
  <si>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</si>
  <si>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</si>
  <si>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</si>
  <si>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</si>
  <si>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</si>
  <si>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</si>
  <si>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</si>
  <si>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</si>
  <si>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</si>
  <si>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</si>
  <si>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</si>
  <si>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</si>
  <si>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</si>
  <si>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</si>
  <si>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</si>
  <si>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</si>
  <si>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</si>
  <si>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</si>
  <si>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</si>
  <si>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</si>
  <si>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</si>
  <si>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</si>
  <si>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</si>
  <si>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</si>
  <si>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</si>
  <si>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</si>
  <si>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</si>
  <si>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</si>
  <si>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</si>
  <si>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</si>
  <si>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</si>
  <si>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</si>
  <si>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</si>
  <si>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</si>
  <si>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</si>
  <si>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</si>
  <si>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</si>
  <si>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</si>
  <si>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</si>
  <si>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</si>
  <si>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</si>
  <si>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</si>
  <si>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</si>
  <si>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</si>
  <si>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</si>
  <si>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</si>
  <si>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</si>
  <si>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</si>
  <si>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</si>
  <si>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</si>
  <si>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</si>
  <si>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</si>
  <si>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</si>
  <si>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</si>
  <si>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</si>
  <si>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</si>
  <si>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</si>
  <si>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</si>
  <si>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</si>
  <si>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</si>
  <si>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</si>
  <si>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</si>
  <si>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</si>
  <si>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</si>
  <si>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</si>
  <si>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</si>
  <si>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</si>
  <si>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</si>
  <si>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</si>
  <si>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</si>
  <si>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</si>
  <si>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</si>
  <si>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</si>
  <si>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</si>
  <si>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</si>
  <si>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</si>
  <si>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</si>
  <si>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</si>
  <si>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</si>
  <si>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</si>
  <si>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</si>
  <si>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</si>
  <si>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</si>
  <si>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</si>
  <si>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</si>
  <si>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</si>
  <si>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</si>
  <si>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</si>
  <si>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</si>
  <si>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</si>
  <si>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</si>
  <si>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</si>
  <si>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一级</t>
    <phoneticPr fontId="76" type="noConversion"/>
  </si>
  <si>
    <t>Ⅰ—01</t>
    <phoneticPr fontId="3" type="noConversion"/>
  </si>
  <si>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</si>
  <si>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</si>
  <si>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</si>
  <si>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</si>
  <si>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</si>
  <si>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</si>
  <si>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</si>
  <si>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</si>
  <si>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</si>
  <si>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</si>
  <si>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</si>
  <si>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</si>
  <si>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</si>
  <si>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</si>
  <si>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</si>
  <si>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</si>
  <si>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</si>
  <si>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</si>
  <si>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6" type="noConversion"/>
  </si>
  <si>
    <t>XX</t>
  </si>
  <si>
    <t>附表：</t>
    <phoneticPr fontId="92"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</si>
  <si>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</si>
  <si>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</si>
  <si>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</si>
  <si>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</si>
  <si>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</si>
  <si>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</si>
  <si>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</si>
  <si>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</si>
  <si>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</si>
  <si>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</si>
  <si>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</si>
  <si>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</si>
  <si>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</si>
  <si>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</si>
  <si>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</si>
  <si>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</si>
  <si>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</si>
  <si>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</si>
  <si>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</si>
  <si>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</si>
  <si>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</si>
  <si>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</si>
  <si>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</si>
  <si>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</si>
  <si>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</si>
  <si>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</si>
  <si>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</si>
  <si>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</si>
  <si>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</si>
  <si>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</si>
  <si>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</si>
  <si>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</si>
  <si>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</si>
  <si>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</si>
  <si>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</si>
  <si>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</si>
  <si>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</si>
  <si>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</si>
  <si>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</si>
  <si>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</si>
  <si>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</si>
  <si>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</si>
  <si>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</si>
  <si>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</si>
  <si>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</si>
  <si>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</si>
  <si>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</si>
  <si>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</si>
  <si>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</si>
  <si>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</si>
  <si>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</si>
  <si>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</si>
  <si>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</si>
  <si>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</si>
  <si>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</si>
  <si>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</si>
  <si>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</si>
  <si>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</si>
  <si>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</si>
  <si>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</si>
  <si>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</si>
  <si>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</si>
  <si>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</si>
  <si>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</si>
  <si>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</si>
  <si>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</si>
  <si>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</si>
  <si>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</si>
  <si>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</si>
  <si>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</si>
  <si>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</si>
  <si>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</si>
  <si>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</si>
  <si>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</si>
  <si>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</si>
  <si>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</si>
  <si>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</si>
  <si>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</si>
  <si>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</si>
  <si>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</si>
  <si>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</si>
  <si>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</si>
  <si>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</si>
  <si>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</si>
  <si>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</si>
  <si>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</si>
  <si>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</si>
  <si>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</si>
  <si>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</si>
  <si>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</si>
  <si>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</si>
  <si>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</si>
  <si>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</si>
  <si>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</si>
  <si>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</si>
  <si>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</si>
  <si>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</si>
  <si>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</si>
  <si>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</si>
  <si>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</si>
  <si>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</si>
  <si>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</si>
  <si>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</si>
  <si>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</si>
  <si>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</si>
  <si>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</si>
  <si>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</si>
  <si>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</si>
  <si>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</si>
  <si>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</si>
  <si>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</si>
  <si>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</si>
  <si>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</si>
  <si>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</si>
  <si>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</si>
  <si>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</si>
  <si>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</si>
  <si>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</si>
  <si>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</si>
  <si>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</si>
  <si>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</si>
  <si>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</si>
  <si>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</si>
  <si>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</si>
  <si>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</si>
  <si>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</si>
  <si>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</si>
  <si>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</si>
  <si>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</si>
  <si>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</si>
  <si>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</si>
  <si>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</si>
  <si>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</si>
  <si>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</si>
  <si>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</si>
  <si>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</si>
  <si>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</si>
  <si>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</si>
  <si>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</si>
  <si>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</si>
  <si>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</si>
  <si>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</si>
  <si>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</si>
  <si>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</si>
  <si>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</si>
  <si>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</si>
  <si>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</si>
  <si>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</si>
  <si>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</si>
  <si>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</si>
  <si>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</si>
  <si>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</si>
  <si>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</si>
  <si>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</si>
  <si>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</si>
  <si>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</si>
  <si>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</si>
  <si>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</si>
  <si>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</si>
  <si>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</si>
  <si>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</si>
  <si>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</si>
  <si>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</si>
  <si>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</si>
  <si>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</si>
  <si>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</si>
  <si>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</si>
  <si>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</si>
  <si>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</si>
  <si>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</si>
  <si>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</si>
  <si>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</si>
  <si>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</si>
  <si>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</si>
  <si>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</si>
  <si>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</si>
  <si>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</si>
  <si>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</si>
  <si>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</si>
  <si>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</si>
  <si>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</si>
  <si>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</si>
  <si>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</si>
  <si>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</si>
  <si>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</si>
  <si>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</si>
  <si>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</si>
  <si>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</si>
  <si>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</si>
  <si>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</si>
  <si>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</si>
  <si>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</si>
  <si>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</si>
  <si>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</si>
  <si>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</si>
  <si>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</si>
  <si>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</si>
  <si>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</si>
  <si>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</si>
  <si>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</si>
  <si>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</si>
  <si>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</si>
  <si>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</si>
  <si>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</si>
  <si>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</si>
  <si>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</si>
  <si>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</si>
  <si>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</si>
  <si>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</si>
  <si>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</si>
  <si>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</si>
  <si>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</si>
  <si>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</si>
  <si>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</si>
  <si>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</si>
  <si>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</si>
  <si>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</si>
  <si>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</si>
  <si>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</si>
  <si>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</si>
  <si>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</si>
  <si>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</si>
  <si>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</si>
  <si>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</si>
  <si>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</si>
  <si>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</si>
  <si>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</si>
  <si>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</si>
  <si>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</si>
  <si>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</si>
  <si>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</si>
  <si>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</si>
  <si>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</si>
  <si>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</si>
  <si>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</si>
  <si>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</si>
  <si>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</si>
  <si>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</si>
  <si>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</si>
  <si>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</si>
  <si>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</si>
  <si>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</si>
  <si>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</si>
  <si>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</si>
  <si>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</si>
  <si>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</si>
  <si>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</si>
  <si>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</si>
  <si>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</si>
  <si>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</si>
  <si>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</si>
  <si>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</si>
  <si>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</si>
  <si>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</si>
  <si>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</si>
  <si>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</si>
  <si>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</si>
  <si>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</si>
  <si>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</si>
  <si>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</si>
  <si>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</si>
  <si>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</si>
  <si>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</si>
  <si>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</si>
  <si>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</si>
  <si>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</si>
  <si>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</si>
  <si>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</si>
  <si>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</si>
  <si>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</si>
  <si>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</si>
  <si>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</si>
  <si>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</si>
  <si>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</si>
  <si>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</si>
  <si>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</si>
  <si>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</si>
  <si>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</si>
  <si>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</si>
  <si>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</si>
  <si>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</si>
  <si>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</si>
  <si>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</si>
  <si>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</si>
  <si>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</si>
  <si>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</si>
  <si>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</si>
  <si>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</si>
  <si>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</si>
  <si>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</si>
  <si>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</si>
  <si>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</si>
  <si>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</si>
  <si>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</si>
  <si>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</si>
  <si>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</si>
  <si>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</si>
  <si>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</si>
  <si>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</si>
  <si>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</si>
  <si>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</si>
  <si>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</si>
  <si>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</si>
  <si>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</si>
  <si>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</si>
  <si>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</si>
  <si>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</si>
  <si>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</si>
  <si>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</si>
  <si>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</si>
  <si>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</si>
  <si>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</si>
  <si>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</si>
  <si>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</si>
  <si>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</si>
  <si>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</si>
  <si>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</si>
  <si>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</si>
  <si>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</si>
  <si>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</si>
  <si>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</si>
  <si>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</si>
  <si>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</si>
  <si>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</si>
  <si>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</si>
  <si>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</si>
  <si>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</si>
  <si>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</si>
  <si>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</si>
  <si>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</si>
  <si>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</si>
  <si>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</si>
  <si>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</si>
  <si>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</si>
  <si>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</si>
  <si>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</si>
  <si>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</si>
  <si>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</si>
  <si>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</si>
  <si>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</si>
  <si>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</si>
  <si>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</si>
  <si>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</si>
  <si>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</si>
  <si>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</si>
  <si>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</si>
  <si>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</si>
  <si>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</si>
  <si>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</si>
  <si>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</si>
  <si>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</si>
  <si>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</si>
  <si>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</si>
  <si>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</si>
  <si>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</si>
  <si>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</si>
  <si>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</si>
  <si>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</si>
  <si>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</si>
  <si>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</si>
  <si>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</si>
  <si>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</si>
  <si>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</si>
  <si>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</si>
  <si>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</si>
  <si>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</si>
  <si>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</si>
  <si>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</si>
  <si>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</si>
  <si>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</si>
  <si>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</si>
  <si>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</si>
  <si>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</si>
  <si>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</si>
  <si>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</si>
  <si>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</si>
  <si>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</si>
  <si>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</si>
  <si>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</si>
  <si>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</si>
  <si>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</si>
  <si>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</si>
  <si>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</si>
  <si>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</si>
  <si>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</si>
  <si>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</si>
  <si>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</si>
  <si>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</si>
  <si>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</si>
  <si>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</si>
  <si>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</si>
  <si>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</si>
  <si>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</si>
  <si>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</si>
  <si>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</si>
  <si>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</si>
  <si>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</si>
  <si>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</si>
  <si>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</si>
  <si>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</si>
  <si>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</si>
  <si>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</si>
  <si>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</si>
  <si>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</si>
  <si>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</si>
  <si>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</si>
  <si>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</si>
  <si>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</si>
  <si>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</si>
  <si>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</si>
  <si>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</si>
  <si>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</si>
  <si>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</si>
  <si>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</si>
  <si>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</si>
  <si>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</si>
  <si>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</si>
  <si>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</si>
  <si>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</si>
  <si>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</si>
  <si>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</si>
  <si>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</si>
  <si>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</si>
  <si>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</si>
  <si>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</si>
  <si>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</si>
  <si>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</si>
  <si>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</si>
  <si>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3" type="noConversion"/>
  </si>
  <si>
    <t>开发期</t>
    <phoneticPr fontId="137" type="noConversion"/>
  </si>
  <si>
    <t>贷款利率</t>
    <phoneticPr fontId="3" type="noConversion"/>
  </si>
  <si>
    <t>贷款利率</t>
    <phoneticPr fontId="137" type="noConversion"/>
  </si>
  <si>
    <t>存款利率</t>
    <phoneticPr fontId="13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</si>
  <si>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</si>
  <si>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</si>
  <si>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</si>
  <si>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</si>
  <si>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</si>
  <si>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</si>
  <si>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</si>
  <si>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</si>
  <si>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</si>
  <si>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</si>
  <si>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</si>
  <si>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</si>
  <si>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</si>
  <si>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</si>
  <si>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</si>
  <si>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</si>
  <si>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</si>
  <si>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</si>
  <si>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</si>
  <si>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</si>
  <si>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</si>
  <si>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</si>
  <si>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</si>
  <si>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</si>
  <si>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</si>
  <si>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</si>
  <si>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</si>
  <si>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</si>
  <si>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</si>
  <si>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</si>
  <si>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</si>
  <si>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</si>
  <si>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</si>
  <si>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</si>
  <si>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3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</si>
  <si>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</si>
  <si>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</si>
  <si>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</si>
  <si>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</si>
  <si>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</si>
  <si>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</si>
  <si>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</si>
  <si>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</si>
  <si>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</si>
  <si>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</si>
  <si>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</si>
  <si>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</si>
  <si>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</si>
  <si>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</si>
  <si>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</si>
  <si>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</si>
  <si>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</si>
  <si>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</si>
  <si>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</si>
  <si>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</si>
  <si>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</si>
  <si>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</si>
  <si>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</si>
  <si>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</si>
  <si>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</si>
  <si>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</si>
  <si>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</si>
  <si>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</si>
  <si>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</si>
  <si>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</si>
  <si>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</si>
  <si>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</si>
  <si>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</si>
  <si>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</si>
  <si>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</si>
  <si>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</si>
  <si>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</si>
  <si>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</si>
  <si>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</si>
  <si>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</si>
  <si>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7" type="noConversion"/>
  </si>
  <si>
    <t>高限</t>
    <phoneticPr fontId="137" type="noConversion"/>
  </si>
  <si>
    <t>平均</t>
    <phoneticPr fontId="137"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</si>
  <si>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</si>
  <si>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</si>
  <si>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</si>
  <si>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</si>
  <si>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</si>
  <si>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</si>
  <si>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</si>
  <si>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</si>
  <si>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</si>
  <si>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</si>
  <si>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</si>
  <si>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</si>
  <si>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</si>
  <si>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</si>
  <si>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</si>
  <si>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</si>
  <si>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</si>
  <si>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</si>
  <si>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</si>
  <si>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</si>
  <si>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</si>
  <si>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</si>
  <si>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</si>
  <si>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</si>
  <si>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</si>
  <si>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</si>
  <si>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</si>
  <si>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</si>
  <si>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</si>
  <si>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</si>
  <si>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</si>
  <si>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</si>
  <si>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</si>
  <si>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</si>
  <si>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</si>
  <si>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</si>
  <si>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</si>
  <si>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</si>
  <si>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</si>
  <si>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</si>
  <si>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</si>
  <si>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</si>
  <si>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</si>
  <si>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</si>
  <si>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</si>
  <si>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</si>
  <si>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</si>
  <si>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</si>
  <si>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</si>
  <si>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</si>
  <si>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</si>
  <si>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</si>
  <si>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</si>
  <si>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</si>
  <si>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</si>
  <si>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</si>
  <si>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</si>
  <si>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</si>
  <si>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</si>
  <si>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</si>
  <si>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</si>
  <si>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</si>
  <si>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</si>
  <si>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</si>
  <si>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</si>
  <si>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</si>
  <si>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</si>
  <si>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</si>
  <si>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</si>
  <si>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</si>
  <si>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</si>
  <si>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</si>
  <si>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</si>
  <si>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</si>
  <si>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</si>
  <si>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</si>
  <si>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</si>
  <si>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</si>
  <si>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</si>
  <si>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</si>
  <si>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</si>
  <si>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</si>
  <si>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</si>
  <si>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</si>
  <si>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</si>
  <si>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</si>
  <si>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</si>
  <si>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</si>
  <si>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</si>
  <si>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</si>
  <si>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</si>
  <si>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</si>
  <si>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</si>
  <si>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</si>
  <si>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</si>
  <si>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</si>
  <si>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</si>
  <si>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</si>
  <si>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</si>
  <si>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</si>
  <si>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</si>
  <si>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</si>
  <si>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</si>
  <si>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</si>
  <si>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</si>
  <si>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</si>
  <si>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</si>
  <si>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</si>
  <si>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</si>
  <si>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</si>
  <si>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</si>
  <si>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</si>
  <si>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</si>
  <si>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</si>
  <si>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</si>
  <si>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</si>
  <si>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</si>
  <si>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</si>
  <si>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</si>
  <si>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</si>
  <si>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</si>
  <si>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</si>
  <si>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</si>
  <si>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</si>
  <si>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</si>
  <si>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</si>
  <si>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</si>
  <si>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</si>
  <si>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</si>
  <si>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</si>
  <si>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</si>
  <si>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</si>
  <si>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</si>
  <si>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</si>
  <si>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</si>
  <si>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</si>
  <si>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</si>
  <si>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</si>
  <si>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</si>
  <si>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</si>
  <si>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</si>
  <si>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</si>
  <si>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</si>
  <si>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</si>
  <si>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</si>
  <si>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</si>
  <si>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</si>
  <si>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</si>
  <si>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</si>
  <si>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</si>
  <si>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</si>
  <si>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</si>
  <si>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</si>
  <si>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</si>
  <si>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</si>
  <si>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</si>
  <si>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</si>
  <si>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</si>
  <si>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</si>
  <si>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</si>
  <si>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</si>
  <si>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</si>
  <si>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</si>
  <si>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</si>
  <si>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</si>
  <si>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</si>
  <si>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</si>
  <si>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</si>
  <si>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</si>
  <si>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</si>
  <si>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</si>
  <si>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</si>
  <si>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</si>
  <si>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</si>
  <si>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</si>
  <si>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</si>
  <si>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</si>
  <si>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</si>
  <si>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</si>
  <si>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</si>
  <si>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</si>
  <si>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</si>
  <si>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</si>
  <si>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</si>
  <si>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</si>
  <si>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</si>
  <si>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</si>
  <si>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</si>
  <si>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</si>
  <si>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</si>
  <si>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</si>
  <si>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</si>
  <si>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</si>
  <si>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</si>
  <si>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</si>
  <si>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</si>
  <si>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</si>
  <si>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</si>
  <si>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</si>
  <si>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</si>
  <si>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</si>
  <si>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</si>
  <si>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</si>
  <si>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</si>
  <si>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</si>
  <si>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</si>
  <si>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</si>
  <si>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0"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</si>
  <si>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</si>
  <si>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</si>
  <si>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</si>
  <si>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</si>
  <si>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</si>
  <si>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</si>
  <si>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</si>
  <si>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</si>
  <si>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</si>
  <si>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</si>
  <si>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</si>
  <si>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</si>
  <si>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</si>
  <si>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</si>
  <si>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</si>
  <si>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</si>
  <si>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</si>
  <si>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</si>
  <si>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</si>
  <si>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</si>
  <si>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</si>
  <si>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</si>
  <si>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</si>
  <si>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</si>
  <si>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</si>
  <si>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</si>
  <si>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</si>
  <si>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</si>
  <si>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</si>
  <si>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</si>
  <si>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</si>
  <si>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</si>
  <si>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</si>
  <si>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</si>
  <si>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</si>
  <si>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</si>
  <si>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</si>
  <si>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</si>
  <si>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</si>
  <si>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</si>
  <si>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</si>
  <si>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</si>
  <si>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</si>
  <si>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</si>
  <si>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</si>
  <si>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</si>
  <si>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</si>
  <si>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</si>
  <si>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</si>
  <si>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</si>
  <si>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</si>
  <si>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</si>
  <si>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</si>
  <si>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</si>
  <si>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</si>
  <si>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</si>
  <si>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</si>
  <si>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</si>
  <si>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</si>
  <si>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</si>
  <si>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</si>
  <si>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</si>
  <si>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</si>
  <si>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</si>
  <si>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</si>
  <si>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</si>
  <si>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</si>
  <si>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</si>
  <si>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</si>
  <si>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</si>
  <si>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</si>
  <si>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</si>
  <si>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</si>
  <si>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</si>
  <si>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</si>
  <si>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</si>
  <si>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</si>
  <si>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</si>
  <si>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</si>
  <si>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</si>
  <si>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</si>
  <si>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</si>
  <si>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</si>
  <si>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</si>
  <si>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</si>
  <si>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</si>
  <si>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</si>
  <si>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</si>
  <si>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</si>
  <si>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</si>
  <si>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</si>
  <si>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</si>
  <si>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</si>
  <si>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</si>
  <si>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</si>
  <si>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</si>
  <si>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</si>
  <si>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</si>
  <si>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</si>
  <si>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</si>
  <si>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</si>
  <si>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</si>
  <si>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</si>
  <si>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</si>
  <si>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</si>
  <si>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</si>
  <si>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</si>
  <si>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</si>
  <si>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</si>
  <si>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</si>
  <si>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</si>
  <si>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</si>
  <si>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</si>
  <si>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</si>
  <si>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</si>
  <si>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</si>
  <si>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</si>
  <si>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</si>
  <si>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</si>
  <si>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</si>
  <si>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</si>
  <si>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</si>
  <si>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</si>
  <si>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</si>
  <si>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</si>
  <si>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</si>
  <si>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</si>
  <si>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</si>
  <si>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</si>
  <si>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</si>
  <si>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</si>
  <si>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</si>
  <si>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</si>
  <si>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</si>
  <si>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</si>
  <si>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</si>
  <si>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</si>
  <si>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</si>
  <si>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</si>
  <si>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</si>
  <si>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</si>
  <si>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</si>
  <si>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</si>
  <si>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</si>
  <si>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</si>
  <si>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</si>
  <si>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</si>
  <si>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</si>
  <si>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</si>
  <si>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</si>
  <si>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</si>
  <si>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</si>
  <si>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</si>
  <si>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</si>
  <si>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</si>
  <si>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</si>
  <si>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</si>
  <si>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</si>
  <si>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</si>
  <si>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</si>
  <si>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</si>
  <si>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</si>
  <si>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</si>
  <si>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</si>
  <si>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</si>
  <si>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</si>
  <si>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</si>
  <si>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</si>
  <si>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</si>
  <si>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</si>
  <si>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</si>
  <si>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</si>
  <si>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</si>
  <si>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</si>
  <si>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</si>
  <si>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</si>
  <si>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</si>
  <si>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</si>
  <si>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</si>
  <si>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</si>
  <si>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</si>
  <si>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</si>
  <si>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</si>
  <si>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</si>
  <si>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</si>
  <si>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</si>
  <si>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</si>
  <si>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</si>
  <si>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</si>
  <si>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</si>
  <si>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</si>
  <si>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</si>
  <si>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</si>
  <si>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</si>
  <si>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</si>
  <si>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</si>
  <si>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</si>
  <si>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</si>
  <si>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</si>
  <si>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</si>
  <si>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</si>
  <si>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</si>
  <si>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</si>
  <si>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</si>
  <si>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</si>
  <si>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</si>
  <si>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</si>
  <si>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</si>
  <si>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</si>
  <si>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</si>
  <si>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</si>
  <si>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</si>
  <si>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</si>
  <si>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</si>
  <si>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</si>
  <si>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</si>
  <si>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</si>
  <si>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</si>
  <si>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</si>
  <si>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</si>
  <si>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</si>
  <si>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</si>
  <si>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</si>
  <si>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</si>
  <si>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</si>
  <si>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</si>
  <si>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</si>
  <si>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</si>
  <si>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</si>
  <si>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</si>
  <si>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</si>
  <si>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</si>
  <si>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</si>
  <si>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</si>
  <si>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</si>
  <si>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</si>
  <si>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</si>
  <si>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</si>
  <si>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</si>
  <si>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</si>
  <si>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</si>
  <si>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</si>
  <si>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</si>
  <si>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</si>
  <si>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</si>
  <si>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</si>
  <si>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</si>
  <si>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</si>
  <si>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</si>
  <si>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</si>
  <si>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</si>
  <si>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</si>
  <si>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</si>
  <si>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</si>
  <si>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</si>
  <si>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</si>
  <si>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</si>
  <si>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</si>
  <si>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</si>
  <si>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</si>
  <si>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</si>
  <si>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</si>
  <si>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</si>
  <si>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</si>
  <si>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</si>
  <si>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</si>
  <si>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</si>
  <si>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</si>
  <si>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</si>
  <si>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</si>
  <si>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</si>
  <si>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</si>
  <si>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</si>
  <si>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</si>
  <si>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</si>
  <si>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</si>
  <si>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</si>
  <si>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</si>
  <si>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</si>
  <si>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</si>
  <si>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</si>
  <si>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</si>
  <si>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</si>
  <si>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</si>
  <si>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</si>
  <si>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</si>
  <si>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</si>
  <si>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</si>
  <si>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</si>
  <si>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</si>
  <si>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</si>
  <si>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</si>
  <si>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</si>
  <si>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</si>
  <si>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</si>
  <si>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</si>
  <si>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</si>
  <si>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</si>
  <si>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</si>
  <si>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</si>
  <si>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</si>
  <si>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</si>
  <si>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</si>
  <si>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</si>
  <si>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</si>
  <si>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</si>
  <si>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</si>
  <si>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</si>
  <si>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</si>
  <si>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</si>
  <si>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</si>
  <si>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</si>
  <si>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</si>
  <si>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</si>
  <si>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</si>
  <si>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</si>
  <si>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</si>
  <si>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</si>
  <si>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</si>
  <si>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</si>
  <si>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</si>
  <si>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</si>
  <si>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</si>
  <si>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</si>
  <si>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</si>
  <si>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</si>
  <si>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</si>
  <si>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</si>
  <si>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</si>
  <si>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</si>
  <si>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</si>
  <si>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</si>
  <si>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</si>
  <si>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</si>
  <si>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</si>
  <si>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</si>
  <si>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</si>
  <si>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</si>
  <si>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</si>
  <si>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</si>
  <si>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</si>
  <si>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</si>
  <si>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</si>
  <si>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</si>
  <si>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</si>
  <si>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</si>
  <si>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</si>
  <si>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</si>
  <si>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</si>
  <si>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</si>
  <si>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</si>
  <si>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</si>
  <si>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</si>
  <si>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</si>
  <si>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</si>
  <si>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</si>
  <si>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</si>
  <si>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</si>
  <si>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</si>
  <si>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</si>
  <si>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</si>
  <si>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</si>
  <si>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</si>
  <si>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</si>
  <si>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</si>
  <si>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</si>
  <si>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</si>
  <si>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</si>
  <si>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</si>
  <si>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</si>
  <si>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</si>
  <si>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</si>
  <si>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</si>
  <si>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</si>
  <si>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</si>
  <si>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</si>
  <si>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</si>
  <si>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</si>
  <si>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</si>
  <si>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</si>
  <si>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</si>
  <si>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</si>
  <si>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</si>
  <si>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</si>
  <si>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</si>
  <si>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</si>
  <si>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</si>
  <si>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</si>
  <si>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</si>
  <si>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</si>
  <si>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</si>
  <si>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</si>
  <si>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</si>
  <si>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</si>
  <si>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</si>
  <si>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</si>
  <si>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</si>
  <si>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</si>
  <si>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</si>
  <si>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</si>
  <si>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</si>
  <si>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</si>
  <si>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</si>
  <si>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</si>
  <si>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</si>
  <si>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</si>
  <si>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</si>
  <si>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</si>
  <si>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</si>
  <si>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</si>
  <si>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</si>
  <si>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</si>
  <si>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</si>
  <si>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</si>
  <si>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</si>
  <si>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</si>
  <si>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</si>
  <si>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</si>
  <si>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</si>
  <si>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</si>
  <si>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</si>
  <si>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</si>
  <si>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</si>
  <si>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</si>
  <si>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</si>
  <si>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</si>
  <si>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</si>
  <si>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</si>
  <si>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</si>
  <si>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</si>
  <si>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</si>
  <si>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</si>
  <si>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</si>
  <si>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</si>
  <si>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</si>
  <si>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</si>
  <si>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</si>
  <si>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8" type="noConversion"/>
  </si>
  <si>
    <r>
      <rPr>
        <sz val="10"/>
        <color indexed="8"/>
        <rFont val="宋体"/>
        <family val="3"/>
        <charset val="134"/>
      </rPr>
      <t>土地价值</t>
    </r>
    <phoneticPr fontId="89" type="noConversion"/>
  </si>
  <si>
    <r>
      <rPr>
        <sz val="11"/>
        <color indexed="8"/>
        <rFont val="宋体"/>
        <family val="3"/>
        <charset val="134"/>
      </rPr>
      <t>建筑物价值</t>
    </r>
    <phoneticPr fontId="8"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</si>
  <si>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</si>
  <si>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</si>
  <si>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</si>
  <si>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</si>
  <si>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</si>
  <si>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</si>
  <si>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</si>
  <si>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</si>
  <si>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</si>
  <si>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</si>
  <si>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</si>
  <si>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</si>
  <si>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</si>
  <si>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</si>
  <si>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</si>
  <si>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</si>
  <si>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</si>
  <si>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</si>
  <si>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</si>
  <si>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</si>
  <si>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</si>
  <si>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</si>
  <si>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</si>
  <si>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</si>
  <si>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</si>
  <si>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</si>
  <si>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</si>
  <si>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</si>
  <si>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</si>
  <si>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</si>
  <si>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</si>
  <si>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</si>
  <si>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</si>
  <si>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</si>
  <si>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</si>
  <si>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</si>
  <si>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</si>
  <si>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</si>
  <si>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</si>
  <si>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</si>
  <si>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</si>
  <si>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</si>
  <si>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</si>
  <si>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</si>
  <si>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</si>
  <si>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</si>
  <si>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</si>
  <si>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</si>
  <si>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</si>
  <si>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</si>
  <si>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</si>
  <si>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</si>
  <si>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</si>
  <si>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</si>
  <si>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</si>
  <si>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</si>
  <si>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</si>
  <si>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</si>
  <si>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</si>
  <si>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</si>
  <si>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</si>
  <si>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</si>
  <si>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</si>
  <si>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</si>
  <si>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</si>
  <si>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</si>
  <si>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</si>
  <si>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</si>
  <si>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</si>
  <si>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</si>
  <si>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</si>
  <si>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</si>
  <si>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</si>
  <si>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</si>
  <si>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</si>
  <si>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</si>
  <si>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</si>
  <si>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</si>
  <si>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</si>
  <si>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</si>
  <si>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</si>
  <si>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</si>
  <si>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</si>
  <si>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</si>
  <si>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</si>
  <si>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</si>
  <si>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</si>
  <si>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</si>
  <si>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</si>
  <si>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</si>
  <si>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</si>
  <si>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</si>
  <si>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</si>
  <si>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</si>
  <si>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</si>
  <si>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</si>
  <si>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</si>
  <si>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</si>
  <si>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</si>
  <si>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</si>
  <si>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</si>
  <si>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</si>
  <si>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</si>
  <si>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</si>
  <si>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</si>
  <si>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</si>
  <si>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</si>
  <si>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</si>
  <si>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</si>
  <si>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</si>
  <si>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</si>
  <si>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</si>
  <si>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</si>
  <si>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</si>
  <si>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</si>
  <si>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</si>
  <si>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</si>
  <si>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</si>
  <si>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</si>
  <si>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</si>
  <si>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</si>
  <si>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</si>
  <si>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</si>
  <si>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</si>
  <si>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</si>
  <si>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</si>
  <si>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</si>
  <si>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</si>
  <si>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</si>
  <si>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</si>
  <si>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</si>
  <si>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</si>
  <si>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</si>
  <si>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</si>
  <si>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</si>
  <si>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</si>
  <si>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</si>
  <si>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</si>
  <si>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</si>
  <si>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</si>
  <si>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</si>
  <si>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</si>
  <si>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</si>
  <si>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</si>
  <si>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</si>
  <si>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</si>
  <si>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</si>
  <si>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</si>
  <si>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</si>
  <si>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</si>
  <si>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</si>
  <si>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</si>
  <si>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</si>
  <si>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</si>
  <si>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</si>
  <si>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</si>
  <si>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</si>
  <si>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</si>
  <si>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</si>
  <si>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</si>
  <si>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</si>
  <si>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</si>
  <si>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</si>
  <si>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</si>
  <si>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</si>
  <si>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</si>
  <si>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</si>
  <si>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</si>
  <si>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7"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</si>
  <si>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</si>
  <si>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</si>
  <si>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</si>
  <si>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</si>
  <si>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</si>
  <si>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</si>
  <si>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</si>
  <si>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</si>
  <si>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</si>
  <si>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</si>
  <si>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</si>
  <si>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</si>
  <si>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</si>
  <si>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</si>
  <si>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</si>
  <si>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</si>
  <si>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</si>
  <si>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</si>
  <si>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</si>
  <si>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</si>
  <si>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</si>
  <si>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</si>
  <si>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</si>
  <si>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</si>
  <si>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</si>
  <si>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</si>
  <si>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</si>
  <si>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</si>
  <si>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</si>
  <si>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</si>
  <si>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</si>
  <si>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</si>
  <si>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</si>
  <si>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</si>
  <si>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</si>
  <si>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</si>
  <si>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</si>
  <si>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</si>
  <si>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</si>
  <si>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</si>
  <si>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</si>
  <si>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</si>
  <si>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</si>
  <si>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</si>
  <si>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</si>
  <si>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</si>
  <si>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</si>
  <si>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</si>
  <si>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</si>
  <si>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</si>
  <si>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</si>
  <si>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</si>
  <si>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</si>
  <si>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</si>
  <si>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</si>
  <si>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</si>
  <si>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</si>
  <si>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</si>
  <si>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</si>
  <si>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</si>
  <si>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</si>
  <si>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</si>
  <si>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</si>
  <si>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</si>
  <si>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</si>
  <si>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</si>
  <si>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</si>
  <si>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</si>
  <si>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</si>
  <si>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</si>
  <si>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</si>
  <si>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</si>
  <si>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</si>
  <si>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</si>
  <si>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</si>
  <si>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</si>
  <si>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</si>
  <si>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</si>
  <si>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</si>
  <si>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</si>
  <si>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</si>
  <si>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</si>
  <si>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</si>
  <si>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7"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</si>
  <si>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</si>
  <si>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</si>
  <si>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</si>
  <si>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</si>
  <si>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</si>
  <si>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</si>
  <si>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</si>
  <si>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</si>
  <si>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</si>
  <si>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</si>
  <si>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</si>
  <si>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</si>
  <si>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</si>
  <si>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</si>
  <si>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</si>
  <si>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</si>
  <si>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</si>
  <si>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</si>
  <si>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</si>
  <si>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</si>
  <si>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</si>
  <si>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</si>
  <si>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</si>
  <si>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</si>
  <si>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</si>
  <si>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</si>
  <si>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</si>
  <si>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</si>
  <si>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</si>
  <si>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</si>
  <si>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</si>
  <si>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</si>
  <si>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</si>
  <si>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</si>
  <si>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</si>
  <si>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</si>
  <si>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</si>
  <si>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</si>
  <si>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</si>
  <si>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</si>
  <si>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</si>
  <si>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</si>
  <si>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</si>
  <si>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</si>
  <si>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</si>
  <si>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</si>
  <si>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</si>
  <si>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</si>
  <si>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</si>
  <si>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</si>
  <si>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</si>
  <si>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</si>
  <si>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</si>
  <si>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</si>
  <si>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</si>
  <si>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</si>
  <si>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</si>
  <si>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</si>
  <si>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</si>
  <si>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</si>
  <si>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</si>
  <si>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</si>
  <si>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</si>
  <si>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</si>
  <si>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</si>
  <si>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</si>
  <si>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</si>
  <si>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</si>
  <si>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</si>
  <si>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</si>
  <si>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</si>
  <si>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</si>
  <si>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</si>
  <si>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</si>
  <si>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</si>
  <si>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</si>
  <si>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</si>
  <si>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</si>
  <si>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</si>
  <si>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</si>
  <si>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</si>
  <si>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</si>
  <si>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</si>
  <si>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</si>
  <si>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</si>
  <si>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</si>
  <si>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</si>
  <si>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</si>
  <si>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</si>
  <si>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</si>
  <si>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</si>
  <si>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</si>
  <si>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</si>
  <si>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</si>
  <si>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</si>
  <si>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</si>
  <si>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</si>
  <si>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</si>
  <si>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</si>
  <si>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</si>
  <si>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</si>
  <si>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</si>
  <si>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</si>
  <si>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</si>
  <si>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</si>
  <si>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</si>
  <si>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</si>
  <si>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</si>
  <si>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</si>
  <si>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</si>
  <si>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</si>
  <si>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</si>
  <si>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</si>
  <si>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</si>
  <si>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</si>
  <si>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</si>
  <si>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</si>
  <si>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</si>
  <si>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</si>
  <si>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</si>
  <si>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</si>
  <si>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</si>
  <si>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</si>
  <si>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</si>
  <si>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</si>
  <si>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</si>
  <si>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</si>
  <si>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</si>
  <si>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</si>
  <si>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</si>
  <si>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</si>
  <si>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</si>
  <si>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</si>
  <si>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</si>
  <si>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</si>
  <si>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</si>
  <si>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</si>
  <si>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</si>
  <si>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</si>
  <si>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</si>
  <si>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</si>
  <si>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</si>
  <si>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</si>
  <si>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</si>
  <si>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</si>
  <si>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</si>
  <si>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</si>
  <si>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</si>
  <si>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</si>
  <si>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</si>
  <si>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</si>
  <si>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</si>
  <si>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</si>
  <si>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</si>
  <si>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</si>
  <si>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</si>
  <si>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</si>
  <si>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</si>
  <si>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</si>
  <si>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</si>
  <si>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</si>
  <si>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</si>
  <si>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</si>
  <si>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</si>
  <si>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</si>
  <si>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</si>
  <si>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</si>
  <si>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</si>
  <si>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</si>
  <si>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</si>
  <si>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</si>
  <si>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</si>
  <si>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</si>
  <si>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</si>
  <si>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</si>
  <si>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</si>
  <si>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</si>
  <si>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</si>
  <si>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</si>
  <si>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</si>
  <si>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</si>
  <si>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</si>
  <si>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</si>
  <si>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</si>
  <si>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</si>
  <si>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</si>
  <si>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</si>
  <si>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</si>
  <si>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</si>
  <si>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</si>
  <si>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</si>
  <si>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</si>
  <si>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</si>
  <si>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</si>
  <si>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</si>
  <si>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</si>
  <si>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</si>
  <si>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</si>
  <si>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</si>
  <si>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</si>
  <si>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</si>
  <si>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</si>
  <si>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</si>
  <si>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</si>
  <si>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</si>
  <si>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</si>
  <si>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</si>
  <si>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</si>
  <si>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</si>
  <si>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</si>
  <si>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</si>
  <si>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</si>
  <si>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</si>
  <si>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</si>
  <si>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</si>
  <si>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</si>
  <si>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</si>
  <si>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</si>
  <si>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</si>
  <si>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</si>
  <si>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</si>
  <si>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</si>
  <si>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</si>
  <si>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</si>
  <si>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</si>
  <si>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</si>
  <si>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</si>
  <si>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</si>
  <si>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</si>
  <si>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</si>
  <si>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</si>
  <si>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</si>
  <si>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</si>
  <si>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</si>
  <si>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</si>
  <si>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</si>
  <si>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</si>
  <si>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</si>
  <si>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</si>
  <si>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</si>
  <si>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</si>
  <si>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</si>
  <si>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</si>
  <si>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</si>
  <si>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</si>
  <si>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</si>
  <si>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</si>
  <si>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</si>
  <si>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</si>
  <si>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</si>
  <si>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</si>
  <si>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</si>
  <si>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</si>
  <si>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</si>
  <si>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</si>
  <si>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</si>
  <si>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</si>
  <si>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</si>
  <si>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</si>
  <si>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</si>
  <si>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</si>
  <si>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</si>
  <si>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</si>
  <si>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</si>
  <si>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</si>
  <si>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</si>
  <si>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</si>
  <si>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</si>
  <si>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</si>
  <si>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</si>
  <si>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</si>
  <si>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</si>
  <si>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</si>
  <si>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</si>
  <si>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</si>
  <si>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</si>
  <si>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</si>
  <si>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</si>
  <si>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</si>
  <si>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</si>
  <si>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</si>
  <si>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</si>
  <si>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</si>
  <si>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</si>
  <si>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</si>
  <si>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</si>
  <si>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</si>
  <si>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</si>
  <si>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</si>
  <si>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</si>
  <si>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</si>
  <si>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</si>
  <si>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</si>
  <si>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</si>
  <si>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</si>
  <si>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</si>
  <si>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</si>
  <si>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</si>
  <si>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</si>
  <si>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</si>
  <si>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</si>
  <si>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</si>
  <si>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</si>
  <si>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</si>
  <si>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</si>
  <si>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</si>
  <si>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</si>
  <si>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</si>
  <si>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</si>
  <si>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</si>
  <si>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</si>
  <si>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</si>
  <si>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</si>
  <si>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</si>
  <si>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</si>
  <si>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</si>
  <si>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</si>
  <si>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</si>
  <si>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</si>
  <si>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</si>
  <si>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</si>
  <si>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</si>
  <si>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</si>
  <si>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</si>
  <si>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</si>
  <si>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</si>
  <si>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</si>
  <si>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</si>
  <si>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</si>
  <si>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</si>
  <si>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</si>
  <si>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</si>
  <si>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</si>
  <si>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</si>
  <si>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</si>
  <si>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</si>
  <si>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</si>
  <si>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</si>
  <si>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</si>
  <si>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</si>
  <si>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</si>
  <si>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</si>
  <si>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</si>
  <si>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</si>
  <si>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</si>
  <si>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</si>
  <si>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</si>
  <si>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</si>
  <si>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</si>
  <si>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</si>
  <si>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</si>
  <si>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</si>
  <si>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</si>
  <si>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</si>
  <si>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</si>
  <si>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</si>
  <si>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</si>
  <si>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</si>
  <si>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</si>
  <si>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</si>
  <si>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</si>
  <si>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</si>
  <si>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</si>
  <si>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</si>
  <si>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</si>
  <si>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</si>
  <si>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</si>
  <si>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</si>
  <si>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</si>
  <si>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</si>
  <si>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</si>
  <si>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</si>
  <si>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</si>
  <si>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</si>
  <si>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</si>
  <si>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</si>
  <si>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</si>
  <si>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</si>
  <si>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</si>
  <si>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</si>
  <si>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</si>
  <si>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</si>
  <si>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</si>
  <si>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</si>
  <si>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</si>
  <si>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</si>
  <si>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</si>
  <si>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</si>
  <si>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</si>
  <si>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</si>
  <si>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</si>
  <si>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</si>
  <si>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</si>
  <si>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</si>
  <si>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</si>
  <si>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</si>
  <si>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</si>
  <si>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</si>
  <si>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</si>
  <si>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</si>
  <si>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</si>
  <si>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</si>
  <si>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</si>
  <si>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</si>
  <si>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</si>
  <si>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</si>
  <si>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</si>
  <si>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</si>
  <si>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</si>
  <si>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</si>
  <si>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</si>
  <si>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</si>
  <si>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</si>
  <si>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</si>
  <si>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</si>
  <si>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</si>
  <si>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</si>
  <si>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</si>
  <si>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</si>
  <si>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</si>
  <si>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</si>
  <si>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</si>
  <si>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</si>
  <si>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</si>
  <si>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</si>
  <si>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</si>
  <si>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</si>
  <si>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</si>
  <si>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</si>
  <si>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</si>
  <si>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</si>
  <si>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</si>
  <si>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</si>
  <si>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</si>
  <si>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6"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</si>
  <si>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</si>
  <si>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</si>
  <si>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</si>
  <si>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</si>
  <si>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</si>
  <si>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</si>
  <si>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</si>
  <si>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</si>
  <si>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</si>
  <si>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6"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</si>
  <si>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</si>
  <si>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</si>
  <si>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</si>
  <si>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</si>
  <si>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</si>
  <si>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</si>
  <si>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6"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</si>
  <si>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</si>
  <si>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</si>
  <si>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</si>
  <si>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</si>
  <si>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</si>
  <si>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</si>
  <si>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</si>
  <si>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</si>
  <si>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</si>
  <si>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</si>
  <si>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</si>
  <si>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</si>
  <si>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</si>
  <si>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</si>
  <si>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</si>
  <si>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</si>
  <si>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</si>
  <si>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</si>
  <si>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</si>
  <si>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</si>
  <si>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</si>
  <si>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</si>
  <si>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</si>
  <si>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</si>
  <si>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</si>
  <si>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</si>
  <si>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</si>
  <si>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</si>
  <si>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</si>
  <si>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</si>
  <si>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</si>
  <si>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</si>
  <si>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</si>
  <si>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</si>
  <si>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</si>
  <si>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</si>
  <si>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</si>
  <si>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</si>
  <si>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</si>
  <si>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</si>
  <si>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</si>
  <si>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</si>
  <si>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</si>
  <si>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</si>
  <si>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</si>
  <si>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</si>
  <si>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</si>
  <si>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</si>
  <si>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</si>
  <si>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</si>
  <si>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</si>
  <si>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</si>
  <si>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</si>
  <si>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</si>
  <si>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</si>
  <si>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</si>
  <si>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</si>
  <si>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</si>
  <si>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</si>
  <si>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</si>
  <si>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</si>
  <si>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</si>
  <si>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</si>
  <si>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</si>
  <si>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</si>
  <si>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</si>
  <si>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</si>
  <si>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</si>
  <si>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</si>
  <si>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</si>
  <si>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</si>
  <si>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</si>
  <si>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</si>
  <si>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</si>
  <si>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</si>
  <si>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</si>
  <si>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</si>
  <si>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</si>
  <si>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</si>
  <si>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</si>
  <si>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</si>
  <si>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</si>
  <si>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</si>
  <si>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</si>
  <si>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</si>
  <si>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</si>
  <si>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</si>
  <si>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</si>
  <si>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</si>
  <si>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</si>
  <si>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</si>
  <si>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</si>
  <si>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</si>
  <si>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</si>
  <si>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</si>
  <si>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</si>
  <si>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</si>
  <si>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</si>
  <si>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</si>
  <si>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</si>
  <si>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</si>
  <si>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</si>
  <si>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</si>
  <si>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</si>
  <si>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</si>
  <si>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</si>
  <si>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</si>
  <si>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</si>
  <si>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</si>
  <si>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</si>
  <si>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</si>
  <si>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</si>
  <si>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</si>
  <si>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</si>
  <si>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</si>
  <si>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</si>
  <si>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</si>
  <si>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</si>
  <si>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</si>
  <si>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</si>
  <si>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</si>
  <si>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</si>
  <si>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</si>
  <si>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</si>
  <si>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</si>
  <si>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</si>
  <si>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</si>
  <si>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</si>
  <si>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</si>
  <si>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</si>
  <si>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</si>
  <si>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</si>
  <si>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</si>
  <si>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</si>
  <si>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</si>
  <si>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</si>
  <si>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</si>
  <si>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</si>
  <si>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</si>
  <si>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</si>
  <si>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</si>
  <si>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</si>
  <si>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</si>
  <si>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</si>
  <si>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</si>
  <si>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</si>
  <si>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</si>
  <si>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</si>
  <si>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</si>
  <si>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</si>
  <si>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</si>
  <si>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</si>
  <si>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</si>
  <si>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</si>
  <si>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</si>
  <si>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</si>
  <si>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</si>
  <si>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</si>
  <si>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</si>
  <si>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</si>
  <si>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</si>
  <si>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</si>
  <si>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</si>
  <si>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</si>
  <si>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</si>
  <si>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</si>
  <si>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</si>
  <si>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</si>
  <si>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</si>
  <si>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</si>
  <si>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</si>
  <si>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</si>
  <si>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</si>
  <si>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</si>
  <si>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</si>
  <si>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</si>
  <si>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</si>
  <si>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</si>
  <si>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</si>
  <si>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</si>
  <si>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</si>
  <si>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</si>
  <si>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</si>
  <si>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</si>
  <si>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</si>
  <si>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</si>
  <si>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</si>
  <si>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</si>
  <si>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</si>
  <si>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</si>
  <si>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</si>
  <si>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</si>
  <si>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</si>
  <si>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</si>
  <si>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</si>
  <si>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</si>
  <si>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</si>
  <si>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</si>
  <si>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</si>
  <si>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</si>
  <si>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</si>
  <si>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</si>
  <si>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</si>
  <si>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</si>
  <si>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</si>
  <si>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</si>
  <si>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</si>
  <si>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</si>
  <si>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</si>
  <si>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</si>
  <si>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</si>
  <si>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</si>
  <si>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</si>
  <si>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</si>
  <si>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</si>
  <si>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</si>
  <si>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</si>
  <si>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6"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</si>
  <si>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</si>
  <si>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</si>
  <si>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</si>
  <si>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6" type="noConversion"/>
  </si>
  <si>
    <r>
      <rPr>
        <sz val="10"/>
        <color indexed="8"/>
        <rFont val="宋体"/>
        <family val="3"/>
        <charset val="134"/>
      </rPr>
      <t>坐落</t>
    </r>
    <phoneticPr fontId="82" type="noConversion"/>
  </si>
  <si>
    <r>
      <rPr>
        <sz val="10"/>
        <color indexed="8"/>
        <rFont val="宋体"/>
        <family val="3"/>
        <charset val="134"/>
      </rPr>
      <t>不动产权利人</t>
    </r>
    <phoneticPr fontId="6" type="noConversion"/>
  </si>
  <si>
    <r>
      <rPr>
        <sz val="10"/>
        <color indexed="8"/>
        <rFont val="宋体"/>
        <family val="3"/>
        <charset val="134"/>
      </rPr>
      <t>土地性质</t>
    </r>
    <phoneticPr fontId="82"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</si>
  <si>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</si>
  <si>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</si>
  <si>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</si>
  <si>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</si>
  <si>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</si>
  <si>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</si>
  <si>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</si>
  <si>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</si>
  <si>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</si>
  <si>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</si>
  <si>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</si>
  <si>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6"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</si>
  <si>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</si>
  <si>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</si>
  <si>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</si>
  <si>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</si>
  <si>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</si>
  <si>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</si>
  <si>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</si>
  <si>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</si>
  <si>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</si>
  <si>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</si>
  <si>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</si>
  <si>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</si>
  <si>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</si>
  <si>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</si>
  <si>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</si>
  <si>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</si>
  <si>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</si>
  <si>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</si>
  <si>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</si>
  <si>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</si>
  <si>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</si>
  <si>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</si>
  <si>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</si>
  <si>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</si>
  <si>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</si>
  <si>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</si>
  <si>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</si>
  <si>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</si>
  <si>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</si>
  <si>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</si>
  <si>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</si>
  <si>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</si>
  <si>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</si>
  <si>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</si>
  <si>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</si>
  <si>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</si>
  <si>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</si>
  <si>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</si>
  <si>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</si>
  <si>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</si>
  <si>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</si>
  <si>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</si>
  <si>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</si>
  <si>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</si>
  <si>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</si>
  <si>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</si>
  <si>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</si>
  <si>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</si>
  <si>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</si>
  <si>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</si>
  <si>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</si>
  <si>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</si>
  <si>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</si>
  <si>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</si>
  <si>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</si>
  <si>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</si>
  <si>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</si>
  <si>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</si>
  <si>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</si>
  <si>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</si>
  <si>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</si>
  <si>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</si>
  <si>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</si>
  <si>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</si>
  <si>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</si>
  <si>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</si>
  <si>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</si>
  <si>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</si>
  <si>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</si>
  <si>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</si>
  <si>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</si>
  <si>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</si>
  <si>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</si>
  <si>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</si>
  <si>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</si>
  <si>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</si>
  <si>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</si>
  <si>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</si>
  <si>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</si>
  <si>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</si>
  <si>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</si>
  <si>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</si>
  <si>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</si>
  <si>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</si>
  <si>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</si>
  <si>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</si>
  <si>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</si>
  <si>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</si>
  <si>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</si>
  <si>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</si>
  <si>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</si>
  <si>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</si>
  <si>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</si>
  <si>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</si>
  <si>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</si>
  <si>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</si>
  <si>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</si>
  <si>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</si>
  <si>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</si>
  <si>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</si>
  <si>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</si>
  <si>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</si>
  <si>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</si>
  <si>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</si>
  <si>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</si>
  <si>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</si>
  <si>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</si>
  <si>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</si>
  <si>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</si>
  <si>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</si>
  <si>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</si>
  <si>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</si>
  <si>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</si>
  <si>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</si>
  <si>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</si>
  <si>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</si>
  <si>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</si>
  <si>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</si>
  <si>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37" type="noConversion"/>
  </si>
  <si>
    <t>2020-4</t>
    <phoneticPr fontId="3" type="noConversion"/>
  </si>
  <si>
    <t>LPR</t>
  </si>
  <si>
    <t>利息：取LPR</t>
  </si>
  <si>
    <t>江心明月03A地块未售房源清单（对外销售价格，截至2021.1.27）</t>
    <phoneticPr fontId="137" type="noConversion"/>
  </si>
  <si>
    <t>序号</t>
  </si>
  <si>
    <t>项目名称</t>
  </si>
  <si>
    <t>产品类型</t>
  </si>
  <si>
    <t>楼栋</t>
  </si>
  <si>
    <t>室号</t>
  </si>
  <si>
    <t>建筑面积</t>
  </si>
  <si>
    <t>销售状态</t>
  </si>
  <si>
    <t>备案价</t>
  </si>
  <si>
    <t>补充协议价</t>
  </si>
  <si>
    <t>车位表价</t>
  </si>
  <si>
    <t>合计（元）</t>
  </si>
  <si>
    <t>春江明月西园一期</t>
  </si>
  <si>
    <t>联排</t>
  </si>
  <si>
    <t>未售</t>
  </si>
  <si>
    <t>双拼</t>
  </si>
  <si>
    <t>洋房</t>
  </si>
  <si>
    <t>备案单价</t>
    <phoneticPr fontId="137" type="noConversion"/>
  </si>
  <si>
    <t>实际单价</t>
    <phoneticPr fontId="137" type="noConversion"/>
  </si>
  <si>
    <t>地上</t>
  </si>
  <si>
    <t>住宅</t>
  </si>
  <si>
    <t>是</t>
  </si>
  <si>
    <t>洋房</t>
    <phoneticPr fontId="137" type="noConversion"/>
  </si>
  <si>
    <t>联排</t>
    <phoneticPr fontId="137" type="noConversion"/>
  </si>
  <si>
    <t>双拼</t>
    <phoneticPr fontId="137" type="noConversion"/>
  </si>
  <si>
    <t>出让</t>
  </si>
  <si>
    <t>成本法</t>
  </si>
  <si>
    <t>假设开发法</t>
  </si>
  <si>
    <t>在建</t>
  </si>
  <si>
    <t>项目局部</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</si>
  <si>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</si>
  <si>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</si>
  <si>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</si>
  <si>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</si>
  <si>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</si>
  <si>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</si>
  <si>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</si>
  <si>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</si>
  <si>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</si>
  <si>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</si>
  <si>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</si>
  <si>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</si>
  <si>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</si>
  <si>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</si>
  <si>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</si>
  <si>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</si>
  <si>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温州市核心片区洪殿单元B-31地块</t>
  </si>
  <si>
    <t>温州市</t>
  </si>
  <si>
    <t>综合用地(含住宅)</t>
  </si>
  <si>
    <t>1.3≤容积率≤3.0</t>
  </si>
  <si>
    <t>挂牌</t>
  </si>
  <si>
    <t>城镇住宅用地(普通商品房)/零售商业用地、餐饮用地</t>
  </si>
  <si>
    <t>2021-02-03</t>
  </si>
  <si>
    <t>中建国际投资(杭州)有限公司</t>
  </si>
  <si>
    <t>5星</t>
  </si>
  <si>
    <t>温州市核心片区洪殿单元D-30地块</t>
  </si>
  <si>
    <t>1.3≤容积率≤2.0</t>
  </si>
  <si>
    <t>温州市旧城E-30b地块</t>
  </si>
  <si>
    <t>1.5≤容积率≤2.81</t>
  </si>
  <si>
    <t>城镇住宅用地(普通商品房)/零售商业用地、餐饮用地、商务金融用地</t>
  </si>
  <si>
    <t>2021-02-01</t>
  </si>
  <si>
    <t>厦门兆裕翔房地产开发有限公司</t>
  </si>
  <si>
    <t>温州市仰双片区前后京单元A-14地块</t>
  </si>
  <si>
    <t>1.3≤容积率≤2.5</t>
  </si>
  <si>
    <t>城镇住宅用地(普通商品房)/零售商业用地、餐饮用地、教育用地</t>
  </si>
  <si>
    <t>2021-01-20</t>
  </si>
  <si>
    <t>温州西部建设发展有限公司</t>
  </si>
  <si>
    <t>3星</t>
  </si>
  <si>
    <t>温州市仰双片区前后京单元A-11地块</t>
  </si>
  <si>
    <t>≥1.3,≤2.9</t>
  </si>
  <si>
    <t>城镇住宅用地(普通商品房)</t>
  </si>
  <si>
    <t>2021-01-15</t>
  </si>
  <si>
    <t>温州市鹿城区藤桥镇</t>
  </si>
  <si>
    <t>≥1.3,≤2.0</t>
  </si>
  <si>
    <t>商务金融用地、城镇住宅用地、零售商业用地、餐饮用地、批发市场用地、旅馆用地、城镇村道路用地、公园与绿地</t>
  </si>
  <si>
    <t>2020-12-30</t>
  </si>
  <si>
    <t>菜恩达集团有限公司</t>
  </si>
  <si>
    <t>4星</t>
  </si>
  <si>
    <t>温州市鹿城区南郊街道</t>
  </si>
  <si>
    <t>＞1.3,≤3.56</t>
  </si>
  <si>
    <t>城镇住宅用地、零售商业用地、餐饮用地</t>
  </si>
  <si>
    <t>2020-12-16</t>
  </si>
  <si>
    <t>中铁建设集团房地产有限公司</t>
  </si>
  <si>
    <t>温州市鹿城区双屿街道</t>
  </si>
  <si>
    <t>≥1.3且≤1.9</t>
  </si>
  <si>
    <t>2020-10-30</t>
  </si>
  <si>
    <t>温州玉利置业有限公司</t>
  </si>
  <si>
    <t>≥1.5且≤2.81</t>
  </si>
  <si>
    <t>2020-10-29</t>
  </si>
  <si>
    <t>中信房地产集团有限公司</t>
  </si>
  <si>
    <t>温州市滨江商务区03-02-21地块</t>
  </si>
  <si>
    <t>≥1.3且≤2.8</t>
  </si>
  <si>
    <t>城镇住宅用地、零售商业用地、餐饮用地、教育用地</t>
  </si>
  <si>
    <t>2020-06-11</t>
  </si>
  <si>
    <t>温州浩阔企业管理有限公司</t>
  </si>
  <si>
    <t>温州市核心片区广化单元黄龙商贸城街坊一期地块</t>
  </si>
  <si>
    <t>c-04、c-09:1.5-3.5*c-13、c-15:1.5-3.1*c-02-1:1.5-3.8</t>
  </si>
  <si>
    <t>城镇住宅用地、零售商业用地、餐饮用地、旅馆用地、商务金融用地、城镇村道路用地</t>
  </si>
  <si>
    <t>2020-05-09</t>
  </si>
  <si>
    <t>中铁建城市开发有限公司</t>
  </si>
  <si>
    <t>温州市城市中央绿轴E-13c地块</t>
  </si>
  <si>
    <t>1.5-3.2</t>
  </si>
  <si>
    <t>城镇住宅用地、零售商业用地、餐饮用地、商务金融用地</t>
  </si>
  <si>
    <t>2020-04-30</t>
  </si>
  <si>
    <t>温州市牛山片区G-03南地块</t>
  </si>
  <si>
    <t>≥1.5≤3.32</t>
  </si>
  <si>
    <t>零售商业用地、餐饮用地、旅馆用地、娱乐用地、城镇住宅用地</t>
  </si>
  <si>
    <t>2020-04-29</t>
  </si>
  <si>
    <t>杭州瑞逸企业管理有限公司</t>
  </si>
  <si>
    <t>温州市核心片区广化单元黄龙商贸城街坊二期地块</t>
  </si>
  <si>
    <t>1.5-3.0</t>
  </si>
  <si>
    <t>城镇住宅用地、零售商业用地、餐饮用地、商务金融用地、城镇村道路用地、公园与绿地</t>
  </si>
  <si>
    <t>2020-04-24</t>
  </si>
  <si>
    <t>宁波市雅拓商务服务有限公司</t>
  </si>
  <si>
    <t>1.3-3.1</t>
  </si>
  <si>
    <t>城镇住宅用地兼容零售商业用地、餐饮用地</t>
  </si>
  <si>
    <t>2020-04-20</t>
  </si>
  <si>
    <t>中建国际投资有限公司</t>
  </si>
  <si>
    <t>温州市仰双片区中央涂单元D-11地块</t>
  </si>
  <si>
    <t>1.3-3.0</t>
  </si>
  <si>
    <t>城镇住宅用地兼容零售商业用地、*餐饮用地</t>
  </si>
  <si>
    <t>中铁建设集团(温州)房地产开发有限公司</t>
  </si>
  <si>
    <t>住宅用地</t>
  </si>
  <si>
    <t>1.5-2.4</t>
  </si>
  <si>
    <t>城镇住宅用地、零售商业用地、餐饮用地、商务金融用地、教育用地、交通服务场站用地</t>
  </si>
  <si>
    <t>2020-04-15</t>
  </si>
  <si>
    <t>慈溪市涛悦置业有限公司</t>
  </si>
  <si>
    <t>温州市上陡门单元11-B-10a地块</t>
  </si>
  <si>
    <t>2020-04-02</t>
  </si>
  <si>
    <t>泰顺中浩置业有限公司</t>
  </si>
  <si>
    <t>温州市旧城隔岸垟地块</t>
  </si>
  <si>
    <t>e-24a:1.5-3.2*e-02c:1.5-1.6</t>
  </si>
  <si>
    <t>城镇住宅用地、零售商业用地、餐饮用地、商务金融用地、教育用地、公园绿地、城镇村道路用地</t>
  </si>
  <si>
    <t>福州欣益泽房地产开发有限公司</t>
  </si>
  <si>
    <t>温州市仰双片区黄龙单元瓯浦垟街坊A-24-2地块</t>
  </si>
  <si>
    <t>1.0-2.4</t>
  </si>
  <si>
    <t>城镇住宅用地兼容零售商业用地、餐饮用地、商务用地、教育用地</t>
  </si>
  <si>
    <t>2020-03-26</t>
  </si>
  <si>
    <t>温州市仰双片区中央涂单元D-32地块</t>
  </si>
  <si>
    <t>1.0-3.0</t>
  </si>
  <si>
    <t>城镇住宅用地</t>
  </si>
  <si>
    <t>2020-03-06</t>
  </si>
  <si>
    <t>温州市仰双片区中央涂单元C-31地块</t>
  </si>
  <si>
    <t>1.0-2.9</t>
  </si>
  <si>
    <t>2020-02-19</t>
  </si>
  <si>
    <t>杭州浙扬企业管理有限公司</t>
  </si>
  <si>
    <t>温州市城市中心区A-41a地块</t>
  </si>
  <si>
    <t>2020-01-17</t>
  </si>
  <si>
    <t>温州市核心片区葡萄棚单元B-04a地块</t>
  </si>
  <si>
    <t>1.0-2.81</t>
  </si>
  <si>
    <t>2020-01-15</t>
  </si>
  <si>
    <t>杭州新杰企业管理有限公司</t>
  </si>
  <si>
    <t>温州市仰双片区中央涂单元D-05b地块</t>
  </si>
  <si>
    <t>≥1.0且≤2.2</t>
  </si>
  <si>
    <t>城镇住宅用地兼容零售商业用地、餐饮用地、商务金融用地、教育用地</t>
  </si>
  <si>
    <t>2019-10-31</t>
  </si>
  <si>
    <t>温州市广化桥路周边D-4-1地块</t>
  </si>
  <si>
    <t>1.0-1.8</t>
  </si>
  <si>
    <t>2019-10-17</t>
  </si>
  <si>
    <t>杭州润仕企业管理咨询有限公司</t>
  </si>
  <si>
    <t>温州市城市中央绿轴区域G-13地块</t>
  </si>
  <si>
    <t>1.0＜容积率≤3.1</t>
  </si>
  <si>
    <t>零售商业用地、餐饮用地、商务金融用地</t>
  </si>
  <si>
    <t>2019-10-11</t>
  </si>
  <si>
    <t>保利浙南房地产开发有限公司</t>
  </si>
  <si>
    <t>温州市中央涂单元D-13a地块</t>
  </si>
  <si>
    <t>＞1.0≤2.9</t>
  </si>
  <si>
    <t>2019-09-05</t>
  </si>
  <si>
    <t>温州龙地置业有限公司,坤和建设集团股份有限公司</t>
  </si>
  <si>
    <t>温州市城市中央绿轴E-28a地块</t>
  </si>
  <si>
    <t>≥1.0≤3.5</t>
  </si>
  <si>
    <t>城镇住宅用地、零售商业用地、餐饮用地、旅馆用地、商务金融用地,公园绿地</t>
  </si>
  <si>
    <t>2019-08-07</t>
  </si>
  <si>
    <t>温州市核心片区江滨单元垟儿地块</t>
  </si>
  <si>
    <t>≥1.0≤1.9</t>
  </si>
  <si>
    <t>城镇住宅用地、零售商业用地、餐饮用地、公园绿地</t>
  </si>
  <si>
    <t>2019-07-15</t>
  </si>
  <si>
    <t>温州市垠泽置业有限公司</t>
  </si>
  <si>
    <t>温州市核心片区九山单元A-11地块</t>
  </si>
  <si>
    <t>＞1.0≤3.0</t>
  </si>
  <si>
    <t>拍卖</t>
  </si>
  <si>
    <t>2019-07-10</t>
  </si>
  <si>
    <t>苏州沛茂置业有限公司</t>
  </si>
  <si>
    <t>温州市城市中心区D-28-1地块</t>
  </si>
  <si>
    <t>≥1.0≤2.4</t>
  </si>
  <si>
    <t>2019-06-17</t>
  </si>
  <si>
    <t>温州万筑房地产开发有限公司</t>
  </si>
  <si>
    <t>温州市核心片区葡萄棚单元B-13a地块</t>
  </si>
  <si>
    <t>≥1.0≤3.3</t>
  </si>
  <si>
    <t>2019-06-12</t>
  </si>
  <si>
    <t>温州市滨江商务区洪殿片区D-06地块</t>
  </si>
  <si>
    <t>≥1.0≤3.6</t>
  </si>
  <si>
    <t>2019-06-05</t>
  </si>
  <si>
    <t>温州慕跃投资管理有限公司</t>
  </si>
  <si>
    <t>温州市城市中心区横渎北地块</t>
  </si>
  <si>
    <t>≥1.0≤3.7</t>
  </si>
  <si>
    <t>城镇住宅用地、零售商业用地、餐饮用地、商务金融用地,公园与绿地</t>
  </si>
  <si>
    <t>2019-05-31</t>
  </si>
  <si>
    <t>上海泓喆房地产开发有限公司</t>
  </si>
  <si>
    <t>温州市仰双片区黄龙单元垟田村二期东片地块</t>
  </si>
  <si>
    <t>2019-05-29</t>
  </si>
  <si>
    <t>温州森意瓯房地产开发有限公司&amp;温州市新瓯海房屋开发有限公司</t>
  </si>
  <si>
    <t>温州仰双片区黄龙单元垟田村二期西片地块</t>
  </si>
  <si>
    <t>＞1.0≤3.5</t>
  </si>
  <si>
    <t>中建一局集团房地产开发有限公司</t>
  </si>
  <si>
    <t>温州市滨江商务区老港区二期地块</t>
  </si>
  <si>
    <t>03-01-11:1.5-4.0;*03-01-17:1.5-3.58;03-01-14:1.5-5.5;03-01-19:1.5-3.5;</t>
  </si>
  <si>
    <t>商服用地(除批发市场用地外)、城镇住宅用地、教育用地、城镇村道路用地、公园与绿地</t>
  </si>
  <si>
    <t>2019-05-27</t>
  </si>
  <si>
    <t>杭州大地航空投资有限公司</t>
  </si>
  <si>
    <t>温州市核心片区站南单元A-19地块</t>
  </si>
  <si>
    <t>2019-05-15</t>
  </si>
  <si>
    <t>宁波世圆企业管理咨询有限公司</t>
  </si>
  <si>
    <t>温州市牛山片区G-07地块</t>
  </si>
  <si>
    <t>2019-05-08</t>
  </si>
  <si>
    <t>温州隆晟企业管理咨询有限公司</t>
  </si>
  <si>
    <t>温州市核心片区牛山东单元E-25b地块</t>
  </si>
  <si>
    <t>≥1.0≤3.1</t>
  </si>
  <si>
    <t>2019-05-07</t>
  </si>
  <si>
    <t>温州市仰双片区中央涂单元C-34地块</t>
  </si>
  <si>
    <t>≥1.0≤3.26</t>
  </si>
  <si>
    <t>2019-04-26</t>
  </si>
  <si>
    <t>温州竭诚商贸有限公司</t>
  </si>
  <si>
    <t>温州市七都片区北单元03-B-22地块</t>
  </si>
  <si>
    <t>2019-04-24</t>
  </si>
  <si>
    <t>温州市核心片区葡萄棚单元A-08地块</t>
  </si>
  <si>
    <t>≥1.0≤2.8</t>
  </si>
  <si>
    <t>城镇住宅用地、公园与绿地</t>
  </si>
  <si>
    <t>2019-04-17</t>
  </si>
  <si>
    <t>温州市核心片区南塘单元C-15地块</t>
  </si>
  <si>
    <t>1.0-3.5</t>
  </si>
  <si>
    <t>2019-03-07</t>
  </si>
  <si>
    <t>温州隆翔企业管理咨询有限公司</t>
  </si>
  <si>
    <t>温州市城市中心区前网D街坊东片地块</t>
  </si>
  <si>
    <t>d-46:＞1.0且≤2.4d-47:＞1.0且≤3.0d-48:＞1.0且≤3.3</t>
  </si>
  <si>
    <t>2019-03-06</t>
  </si>
  <si>
    <t>上海红星美凯龙房地产集团有限公司*江西省省属国有企业资产经营(控股)有限公司*温州天之亩投资有限公司</t>
  </si>
  <si>
    <t>葡萄棚单元里垟地块</t>
  </si>
  <si>
    <t>b-10a:≥1.0且3.50;b-11a:≥1.0且≤3.3;</t>
  </si>
  <si>
    <t>2018-12-28</t>
  </si>
  <si>
    <t>浙江百川置业有限公司*温州市大诚房地产开发有限公司</t>
  </si>
  <si>
    <t>温州市广化单元双桥村地块</t>
  </si>
  <si>
    <t>e-10:1.0-1.8;e-20:1.0-4.0*e-24:1.0-3.8</t>
  </si>
  <si>
    <t>温州融昌置业有限公司</t>
  </si>
  <si>
    <t>温州市滨江商务区老港区一期地块</t>
  </si>
  <si>
    <t>03-01-02:≥1.0且≤4.0;03-01-06:≥1.0且≤3.5;03-01-10:≥1.0且≤3.0;</t>
  </si>
  <si>
    <t>城镇住宅用地、商务金融用地、零售商业用地、餐饮用地</t>
  </si>
  <si>
    <t>杭州星江房地产开发有限公司</t>
  </si>
  <si>
    <t>温州市核心片区葡萄棚单元B-14地块</t>
  </si>
  <si>
    <t>1.0≤容≤3.5</t>
  </si>
  <si>
    <t>2018-12-20</t>
  </si>
  <si>
    <t>中铁建设集团房地产有限公司*中国铁建投资集团有限公司</t>
  </si>
  <si>
    <t>正常</t>
  </si>
  <si>
    <t>住宅</t>
    <phoneticPr fontId="30" type="noConversion"/>
  </si>
  <si>
    <t>未包含在土地购买价格中</t>
  </si>
  <si>
    <t>全部缴纳</t>
  </si>
  <si>
    <t>已包含在土地取得成本中</t>
  </si>
  <si>
    <t>备案价</t>
    <phoneticPr fontId="137" type="noConversion"/>
  </si>
  <si>
    <t>实际总价</t>
    <phoneticPr fontId="137" type="noConversion"/>
  </si>
  <si>
    <t>总价</t>
  </si>
  <si>
    <t>成本比率</t>
  </si>
  <si>
    <t>总规划建筑面积</t>
  </si>
  <si>
    <t>土地面积</t>
  </si>
  <si>
    <t>规划容积率</t>
  </si>
  <si>
    <t>叠拼</t>
  </si>
  <si>
    <t>平层</t>
  </si>
  <si>
    <t>四层普通双拼（350方）</t>
  </si>
  <si>
    <t>四层大双拼（600方）</t>
  </si>
  <si>
    <t>物业及其他用房</t>
  </si>
  <si>
    <t>地下</t>
  </si>
  <si>
    <t>机动车库（非兼容人防）</t>
  </si>
  <si>
    <t>其他无收益（非兼容人防）</t>
  </si>
  <si>
    <t>非人防停车位个数</t>
  </si>
  <si>
    <t>人防停车位个数</t>
  </si>
  <si>
    <t>人防</t>
  </si>
  <si>
    <t>叠拼洋房</t>
  </si>
  <si>
    <t>叠拼洋房</t>
    <phoneticPr fontId="7" type="noConversion"/>
  </si>
  <si>
    <t>平层洋房</t>
  </si>
  <si>
    <t>平层洋房</t>
    <phoneticPr fontId="7" type="noConversion"/>
  </si>
  <si>
    <t>小双拼</t>
  </si>
  <si>
    <t>小双拼</t>
    <phoneticPr fontId="7" type="noConversion"/>
  </si>
  <si>
    <t>大双拼</t>
  </si>
  <si>
    <t>大双拼</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</si>
</sst>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2"/>
      <name val="Times New Roman"/>
      <family val="1"/>
    </font>
    <font>
      <b/>
      <sz val="12"/>
      <color theme="1"/>
      <name val="Times New Roman"/>
      <family val="1"/>
    </font>
    <font>
      <sz val="12"/>
      <name val="宋体"/>
      <family val="3"/>
      <charset val="134"/>
      <scheme val="minor"/>
    </font>
    <font>
      <sz val="12"/>
      <color indexed="8"/>
      <name val="宋体"/>
      <family val="3"/>
      <charset val="134"/>
      <scheme val="minor"/>
    </font>
    <font>
      <b/>
      <sz val="12"/>
      <name val="宋体"/>
      <family val="3"/>
      <charset val="134"/>
      <scheme val="minor"/>
    </font>
    <font>
      <sz val="12"/>
      <name val="Times New Roman"/>
      <family val="1"/>
    </font>
    <font>
      <sz val="12"/>
      <color theme="1"/>
      <name val="Times New Roman"/>
      <family val="1"/>
    </font>
    <font>
      <sz val="10"/>
      <color theme="1"/>
      <name val="Calibri"/>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6"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2" fillId="0" borderId="0">
      <alignment vertical="center"/>
    </xf>
    <xf numFmtId="0" fontId="96" fillId="0" borderId="0">
      <alignment vertical="center"/>
    </xf>
    <xf numFmtId="0" fontId="1" fillId="0" borderId="0">
      <alignment vertical="center"/>
    </xf>
    <xf numFmtId="0" fontId="164" fillId="0" borderId="0"/>
    <xf numFmtId="0" fontId="1" fillId="0" borderId="0">
      <alignment vertical="center"/>
    </xf>
    <xf numFmtId="9" fontId="36" fillId="0" borderId="0" applyFont="0" applyFill="0" applyBorder="0" applyAlignment="0" applyProtection="0">
      <alignment vertical="center"/>
    </xf>
    <xf numFmtId="0" fontId="96" fillId="0" borderId="0">
      <alignment vertical="center"/>
    </xf>
    <xf numFmtId="0" fontId="1" fillId="0" borderId="0">
      <alignment vertical="center"/>
    </xf>
    <xf numFmtId="0" fontId="36" fillId="0" borderId="0"/>
    <xf numFmtId="0" fontId="53" fillId="0" borderId="0"/>
  </cellStyleXfs>
  <cellXfs count="34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1" xfId="1" applyNumberFormat="1" applyFont="1" applyFill="1" applyBorder="1" applyAlignment="1" applyProtection="1">
      <alignment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0" fontId="44" fillId="0" borderId="23" xfId="0" applyFont="1" applyBorder="1" applyAlignment="1" applyProtection="1">
      <alignment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10" fontId="53" fillId="6" borderId="32" xfId="0" applyNumberFormat="1" applyFont="1" applyFill="1" applyBorder="1" applyAlignment="1" applyProtection="1">
      <alignment horizontal="center"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49" fontId="44" fillId="2" borderId="2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53" fillId="6" borderId="25" xfId="0" applyNumberFormat="1" applyFont="1" applyFill="1" applyBorder="1" applyAlignment="1" applyProtection="1">
      <alignment horizontal="center" vertical="center" wrapText="1"/>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0" fillId="0" borderId="0" xfId="0" applyProtection="1">
      <alignment vertical="center"/>
    </xf>
    <xf numFmtId="0" fontId="108" fillId="6" borderId="23"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9" fontId="100" fillId="6" borderId="1" xfId="0" applyNumberFormat="1"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0" fontId="108" fillId="6" borderId="13" xfId="0" applyFont="1" applyFill="1" applyBorder="1" applyAlignment="1" applyProtection="1">
      <alignment horizontal="center" vertical="center" wrapText="1"/>
    </xf>
    <xf numFmtId="9" fontId="100" fillId="6" borderId="32"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7"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97" fillId="6" borderId="19" xfId="0" applyFont="1" applyFill="1" applyBorder="1" applyProtection="1">
      <alignment vertical="center"/>
    </xf>
    <xf numFmtId="0" fontId="112" fillId="6" borderId="28" xfId="0" applyFont="1" applyFill="1" applyBorder="1" applyAlignment="1" applyProtection="1">
      <alignment horizontal="center" vertical="center"/>
    </xf>
    <xf numFmtId="0" fontId="97" fillId="6" borderId="18" xfId="0" applyFont="1" applyFill="1" applyBorder="1" applyProtection="1">
      <alignment vertical="center"/>
    </xf>
    <xf numFmtId="0" fontId="112" fillId="6" borderId="32" xfId="0" applyFont="1" applyFill="1" applyBorder="1" applyAlignment="1" applyProtection="1">
      <alignment horizontal="center" vertical="center"/>
    </xf>
    <xf numFmtId="0" fontId="112" fillId="6" borderId="33" xfId="0" applyFont="1" applyFill="1" applyBorder="1" applyAlignment="1" applyProtection="1">
      <alignment horizontal="center" vertical="center"/>
    </xf>
    <xf numFmtId="0" fontId="111" fillId="6" borderId="40" xfId="0" applyFont="1" applyFill="1" applyBorder="1" applyAlignment="1" applyProtection="1">
      <alignment vertical="center" wrapText="1"/>
    </xf>
    <xf numFmtId="0" fontId="111" fillId="6" borderId="9" xfId="0" applyFont="1" applyFill="1" applyBorder="1" applyAlignment="1" applyProtection="1">
      <alignment horizontal="center" vertical="center" wrapText="1"/>
    </xf>
    <xf numFmtId="0" fontId="111" fillId="6" borderId="28" xfId="0" applyFont="1" applyFill="1" applyBorder="1" applyAlignment="1" applyProtection="1">
      <alignment horizontal="center" vertical="center" wrapText="1"/>
    </xf>
    <xf numFmtId="0" fontId="111" fillId="6" borderId="4" xfId="0" applyFont="1" applyFill="1" applyBorder="1" applyAlignment="1" applyProtection="1">
      <alignment horizontal="center" vertical="center" wrapText="1"/>
    </xf>
    <xf numFmtId="0" fontId="111" fillId="6" borderId="2" xfId="0" applyFont="1" applyFill="1" applyBorder="1" applyAlignment="1" applyProtection="1">
      <alignment horizontal="center" vertical="center" wrapText="1"/>
    </xf>
    <xf numFmtId="0" fontId="111" fillId="6" borderId="74" xfId="0" applyFont="1" applyFill="1" applyBorder="1" applyAlignment="1" applyProtection="1">
      <alignment horizontal="center" vertical="center" wrapText="1"/>
    </xf>
    <xf numFmtId="0" fontId="111" fillId="6" borderId="32" xfId="0" applyFont="1" applyFill="1" applyBorder="1" applyAlignment="1" applyProtection="1">
      <alignment horizontal="center" vertical="center" wrapText="1"/>
    </xf>
    <xf numFmtId="0" fontId="113" fillId="6" borderId="33" xfId="0" applyFont="1" applyFill="1" applyBorder="1" applyProtection="1">
      <alignment vertical="center"/>
    </xf>
    <xf numFmtId="0" fontId="111" fillId="6" borderId="5" xfId="0" applyFont="1" applyFill="1" applyBorder="1" applyAlignment="1" applyProtection="1">
      <alignment horizontal="center" vertical="center" wrapText="1"/>
    </xf>
    <xf numFmtId="0" fontId="113" fillId="6" borderId="5" xfId="0" applyFont="1" applyFill="1" applyBorder="1" applyProtection="1">
      <alignment vertical="center"/>
    </xf>
    <xf numFmtId="0" fontId="111" fillId="6" borderId="26" xfId="0" applyFont="1" applyFill="1" applyBorder="1" applyAlignment="1" applyProtection="1">
      <alignment vertical="center" wrapText="1"/>
    </xf>
    <xf numFmtId="0" fontId="111"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08" fillId="6" borderId="6" xfId="0" applyFont="1" applyFill="1" applyBorder="1" applyAlignment="1" applyProtection="1">
      <alignment horizontal="center" vertical="center" wrapText="1"/>
    </xf>
    <xf numFmtId="0" fontId="108" fillId="6" borderId="9" xfId="0"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0" fontId="108" fillId="6" borderId="24" xfId="0" applyFont="1" applyFill="1" applyBorder="1" applyAlignment="1" applyProtection="1">
      <alignment horizontal="center" vertical="center" wrapText="1"/>
    </xf>
    <xf numFmtId="0" fontId="108" fillId="6" borderId="11" xfId="0" applyFont="1" applyFill="1" applyBorder="1" applyAlignment="1" applyProtection="1">
      <alignment horizontal="center" vertical="center" wrapText="1"/>
    </xf>
    <xf numFmtId="0" fontId="108"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4" fillId="6" borderId="60" xfId="0" applyFont="1" applyFill="1" applyBorder="1" applyAlignment="1" applyProtection="1">
      <alignment vertical="center"/>
    </xf>
    <xf numFmtId="0" fontId="114" fillId="6" borderId="0" xfId="0" applyFont="1" applyFill="1" applyBorder="1" applyAlignment="1" applyProtection="1">
      <alignment vertical="center"/>
    </xf>
    <xf numFmtId="0" fontId="0" fillId="0" borderId="0" xfId="0" applyAlignment="1" applyProtection="1">
      <alignment horizontal="center" vertical="center"/>
    </xf>
    <xf numFmtId="0" fontId="108" fillId="6" borderId="5" xfId="0" applyFont="1" applyFill="1" applyBorder="1" applyAlignment="1" applyProtection="1">
      <alignment horizontal="center" vertical="center" wrapText="1"/>
    </xf>
    <xf numFmtId="0" fontId="108" fillId="6" borderId="3" xfId="0" applyFont="1" applyFill="1" applyBorder="1" applyAlignment="1" applyProtection="1">
      <alignment horizontal="center" vertical="center" wrapText="1"/>
    </xf>
    <xf numFmtId="0" fontId="108" fillId="6" borderId="0"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0" xfId="0" applyFont="1" applyFill="1" applyBorder="1" applyAlignment="1" applyProtection="1">
      <alignment vertical="center"/>
    </xf>
    <xf numFmtId="0" fontId="108" fillId="6"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6" borderId="4" xfId="0" applyFont="1" applyFill="1" applyBorder="1" applyAlignment="1" applyProtection="1">
      <alignment vertical="center" wrapText="1"/>
    </xf>
    <xf numFmtId="0" fontId="108" fillId="6" borderId="2" xfId="0" applyFont="1" applyFill="1" applyBorder="1" applyAlignment="1" applyProtection="1">
      <alignment vertical="center" wrapText="1"/>
    </xf>
    <xf numFmtId="0" fontId="108" fillId="6" borderId="7" xfId="0" applyFont="1" applyFill="1" applyBorder="1" applyAlignment="1" applyProtection="1">
      <alignment vertical="center" wrapText="1"/>
    </xf>
    <xf numFmtId="0" fontId="108" fillId="6" borderId="2" xfId="0" applyFont="1" applyFill="1" applyBorder="1" applyAlignment="1" applyProtection="1">
      <alignment horizontal="center" vertical="center"/>
    </xf>
    <xf numFmtId="0" fontId="108" fillId="6" borderId="0" xfId="0" applyFont="1" applyFill="1" applyAlignment="1" applyProtection="1">
      <alignment horizontal="center" vertical="center"/>
    </xf>
    <xf numFmtId="9" fontId="108" fillId="6" borderId="1" xfId="0" applyNumberFormat="1" applyFont="1" applyFill="1" applyBorder="1" applyAlignment="1" applyProtection="1">
      <alignment horizontal="center" vertical="center"/>
    </xf>
    <xf numFmtId="179" fontId="78" fillId="0" borderId="60" xfId="3" applyNumberFormat="1" applyFont="1" applyBorder="1" applyAlignment="1" applyProtection="1">
      <alignment vertical="center"/>
    </xf>
    <xf numFmtId="0" fontId="78" fillId="0" borderId="60" xfId="3" applyNumberFormat="1" applyFont="1" applyBorder="1" applyAlignment="1" applyProtection="1">
      <alignment vertical="center"/>
    </xf>
    <xf numFmtId="0" fontId="0" fillId="0" borderId="0" xfId="0" applyNumberFormat="1" applyProtection="1">
      <alignment vertical="center"/>
    </xf>
    <xf numFmtId="179"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wrapText="1"/>
    </xf>
    <xf numFmtId="0" fontId="79" fillId="6" borderId="15" xfId="3"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115" fillId="6" borderId="19" xfId="0" applyNumberFormat="1" applyFont="1" applyFill="1" applyBorder="1" applyAlignment="1" applyProtection="1">
      <alignment horizontal="center" vertical="center" wrapText="1"/>
    </xf>
    <xf numFmtId="0" fontId="11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3" fillId="6" borderId="16"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wrapText="1"/>
    </xf>
    <xf numFmtId="0" fontId="115" fillId="6" borderId="24" xfId="0" applyNumberFormat="1" applyFont="1" applyFill="1" applyBorder="1" applyAlignment="1" applyProtection="1">
      <alignment horizontal="center" vertical="center" wrapText="1"/>
    </xf>
    <xf numFmtId="0" fontId="115" fillId="6" borderId="32" xfId="0" applyNumberFormat="1" applyFont="1" applyFill="1" applyBorder="1" applyAlignment="1" applyProtection="1">
      <alignment horizontal="center" vertical="center" wrapText="1"/>
    </xf>
    <xf numFmtId="0" fontId="115" fillId="6" borderId="49" xfId="0" applyNumberFormat="1" applyFont="1" applyFill="1" applyBorder="1" applyAlignment="1" applyProtection="1">
      <alignment horizontal="center" vertical="center" wrapText="1"/>
    </xf>
    <xf numFmtId="179" fontId="79"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0" fontId="51"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108" fillId="6" borderId="5"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0" fontId="53" fillId="0" borderId="32" xfId="0" applyFont="1" applyFill="1" applyBorder="1" applyAlignment="1" applyProtection="1">
      <alignment horizontal="center" vertical="center" wrapText="1"/>
      <protection locked="0"/>
    </xf>
    <xf numFmtId="0" fontId="53" fillId="0" borderId="4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100"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8" fillId="0" borderId="0" xfId="5" applyFont="1">
      <alignment vertical="center"/>
    </xf>
    <xf numFmtId="0" fontId="96" fillId="0" borderId="0" xfId="5">
      <alignment vertical="center"/>
    </xf>
    <xf numFmtId="0" fontId="118"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124" fillId="6" borderId="0" xfId="0" applyFont="1" applyFill="1" applyAlignment="1" applyProtection="1">
      <alignment horizontal="center" vertical="center"/>
    </xf>
    <xf numFmtId="0" fontId="112" fillId="6" borderId="40" xfId="0" applyFont="1" applyFill="1" applyBorder="1" applyAlignment="1" applyProtection="1">
      <alignment vertical="center" wrapText="1"/>
    </xf>
    <xf numFmtId="0" fontId="112" fillId="6" borderId="13" xfId="0" applyFont="1" applyFill="1" applyBorder="1" applyAlignment="1" applyProtection="1">
      <alignment horizontal="center" vertical="center"/>
    </xf>
    <xf numFmtId="0" fontId="112" fillId="6" borderId="29" xfId="0" applyFont="1" applyFill="1" applyBorder="1" applyAlignment="1" applyProtection="1">
      <alignment horizontal="center" vertical="center"/>
    </xf>
    <xf numFmtId="10" fontId="100" fillId="0" borderId="9" xfId="0" applyNumberFormat="1" applyFont="1" applyBorder="1" applyAlignment="1">
      <alignment horizontal="center" vertical="center" wrapText="1"/>
    </xf>
    <xf numFmtId="10" fontId="100" fillId="0" borderId="10" xfId="0" applyNumberFormat="1" applyFont="1" applyBorder="1" applyAlignment="1">
      <alignment horizontal="center" vertical="center" wrapText="1"/>
    </xf>
    <xf numFmtId="10" fontId="100" fillId="0" borderId="1" xfId="0" applyNumberFormat="1" applyFont="1" applyBorder="1" applyAlignment="1">
      <alignment horizontal="center" vertical="center" wrapText="1"/>
    </xf>
    <xf numFmtId="10" fontId="100" fillId="0" borderId="24" xfId="0" applyNumberFormat="1" applyFont="1" applyBorder="1" applyAlignment="1">
      <alignment horizontal="center" vertical="center" wrapText="1"/>
    </xf>
    <xf numFmtId="10" fontId="100" fillId="0" borderId="32" xfId="0" applyNumberFormat="1" applyFont="1" applyBorder="1" applyAlignment="1">
      <alignment horizontal="center" vertical="center" wrapText="1"/>
    </xf>
    <xf numFmtId="10" fontId="100" fillId="0" borderId="49" xfId="0" applyNumberFormat="1" applyFont="1" applyBorder="1" applyAlignment="1">
      <alignment horizontal="center" vertical="center" wrapText="1"/>
    </xf>
    <xf numFmtId="0" fontId="111" fillId="6" borderId="13" xfId="0" applyFont="1" applyFill="1" applyBorder="1" applyAlignment="1" applyProtection="1">
      <alignment horizontal="center" vertical="center" wrapText="1"/>
    </xf>
    <xf numFmtId="10" fontId="100" fillId="0" borderId="13" xfId="0" applyNumberFormat="1" applyFont="1" applyBorder="1" applyAlignment="1">
      <alignment horizontal="center" vertical="center" wrapText="1"/>
    </xf>
    <xf numFmtId="0" fontId="111" fillId="6" borderId="84" xfId="0" applyFont="1" applyFill="1" applyBorder="1" applyAlignment="1" applyProtection="1">
      <alignment horizontal="center" vertical="center" wrapText="1"/>
    </xf>
    <xf numFmtId="10" fontId="100" fillId="0" borderId="67" xfId="0" applyNumberFormat="1" applyFont="1" applyBorder="1" applyAlignment="1">
      <alignment horizontal="center" vertical="center" wrapText="1"/>
    </xf>
    <xf numFmtId="0" fontId="111" fillId="6" borderId="14" xfId="0" applyFont="1" applyFill="1" applyBorder="1" applyAlignment="1" applyProtection="1">
      <alignment vertical="center" wrapText="1"/>
    </xf>
    <xf numFmtId="10" fontId="100"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79" fontId="115" fillId="6" borderId="15"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5"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39" fillId="0" borderId="1" xfId="0" applyFont="1" applyFill="1" applyBorder="1" applyAlignment="1">
      <alignment horizontal="center" vertical="center"/>
    </xf>
    <xf numFmtId="9" fontId="81" fillId="0" borderId="1" xfId="0" applyNumberFormat="1" applyFont="1" applyFill="1" applyBorder="1" applyAlignment="1">
      <alignment horizontal="center" vertical="center"/>
    </xf>
    <xf numFmtId="177" fontId="81" fillId="0" borderId="1" xfId="0" applyNumberFormat="1" applyFont="1" applyFill="1" applyBorder="1" applyAlignment="1">
      <alignment horizontal="center" vertical="center"/>
    </xf>
    <xf numFmtId="0" fontId="81"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39" fillId="0" borderId="24" xfId="0" applyFont="1" applyFill="1" applyBorder="1" applyAlignment="1">
      <alignment horizontal="center" vertical="center"/>
    </xf>
    <xf numFmtId="0" fontId="125" fillId="0" borderId="1" xfId="0" applyFont="1" applyFill="1" applyBorder="1" applyAlignment="1">
      <alignment horizontal="center" vertical="center" wrapText="1"/>
    </xf>
    <xf numFmtId="0" fontId="36" fillId="0" borderId="1" xfId="0" applyFont="1" applyFill="1" applyBorder="1" applyAlignment="1">
      <alignment vertical="center"/>
    </xf>
    <xf numFmtId="0" fontId="125" fillId="0" borderId="24" xfId="0" applyFont="1" applyFill="1" applyBorder="1" applyAlignment="1">
      <alignment horizontal="center" vertical="center"/>
    </xf>
    <xf numFmtId="0" fontId="125" fillId="0" borderId="1" xfId="0" applyFont="1" applyBorder="1" applyAlignment="1">
      <alignment horizontal="center" vertical="center"/>
    </xf>
    <xf numFmtId="9" fontId="125" fillId="0" borderId="1" xfId="0" applyNumberFormat="1" applyFont="1" applyBorder="1" applyAlignment="1">
      <alignment horizontal="center" vertical="center"/>
    </xf>
    <xf numFmtId="0" fontId="139" fillId="0" borderId="32" xfId="0" applyFont="1" applyFill="1" applyBorder="1" applyAlignment="1">
      <alignment horizontal="center" vertical="center"/>
    </xf>
    <xf numFmtId="9" fontId="139" fillId="0" borderId="32" xfId="0" applyNumberFormat="1" applyFont="1" applyFill="1" applyBorder="1" applyAlignment="1">
      <alignment horizontal="center" vertical="center"/>
    </xf>
    <xf numFmtId="177" fontId="139" fillId="0" borderId="32" xfId="0" applyNumberFormat="1" applyFont="1" applyFill="1" applyBorder="1" applyAlignment="1">
      <alignment horizontal="center" vertical="center"/>
    </xf>
    <xf numFmtId="0" fontId="81" fillId="0" borderId="49" xfId="0" applyFont="1" applyFill="1" applyBorder="1" applyAlignment="1">
      <alignment horizontal="center" vertical="center"/>
    </xf>
    <xf numFmtId="0" fontId="13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9" fontId="53" fillId="6" borderId="24"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10" fontId="53" fillId="6" borderId="49"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50"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50" fillId="0" borderId="78" xfId="11" applyFont="1" applyBorder="1" applyAlignment="1" applyProtection="1">
      <alignment horizontal="left" vertical="center" wrapText="1"/>
    </xf>
    <xf numFmtId="0" fontId="150" fillId="0" borderId="87" xfId="0" applyFont="1" applyBorder="1" applyProtection="1">
      <alignment vertical="center"/>
    </xf>
    <xf numFmtId="0" fontId="150" fillId="0" borderId="44" xfId="11" applyFont="1" applyBorder="1" applyAlignment="1" applyProtection="1">
      <alignment vertical="center" wrapText="1"/>
    </xf>
    <xf numFmtId="0" fontId="150" fillId="0" borderId="44" xfId="0" applyFont="1" applyBorder="1" applyAlignment="1" applyProtection="1">
      <alignment horizontal="left" vertical="center"/>
    </xf>
    <xf numFmtId="0" fontId="150" fillId="0" borderId="83" xfId="0" applyFont="1" applyBorder="1" applyProtection="1">
      <alignment vertical="center"/>
    </xf>
    <xf numFmtId="0" fontId="150" fillId="0" borderId="1" xfId="1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0" xfId="0" applyFont="1" applyBorder="1" applyProtection="1">
      <alignment vertical="center"/>
    </xf>
    <xf numFmtId="0" fontId="150" fillId="0" borderId="78" xfId="11" applyFont="1" applyBorder="1" applyAlignment="1" applyProtection="1">
      <alignment vertical="center" wrapText="1"/>
    </xf>
    <xf numFmtId="0" fontId="150" fillId="0" borderId="78" xfId="0" applyFont="1" applyBorder="1" applyAlignment="1" applyProtection="1">
      <alignment horizontal="left" vertical="center"/>
    </xf>
    <xf numFmtId="194" fontId="150" fillId="0" borderId="78" xfId="0" applyNumberFormat="1" applyFont="1" applyBorder="1" applyAlignment="1" applyProtection="1">
      <alignment horizontal="left" vertical="center"/>
    </xf>
    <xf numFmtId="0" fontId="150" fillId="0" borderId="2" xfId="11" applyFont="1" applyBorder="1" applyAlignment="1" applyProtection="1">
      <alignment vertical="center" wrapText="1"/>
    </xf>
    <xf numFmtId="14" fontId="150" fillId="0" borderId="2" xfId="0" applyNumberFormat="1" applyFont="1" applyBorder="1" applyAlignment="1" applyProtection="1">
      <alignment horizontal="left" vertical="center"/>
    </xf>
    <xf numFmtId="0" fontId="150" fillId="0" borderId="0" xfId="0" applyFont="1" applyProtection="1">
      <alignment vertical="center"/>
    </xf>
    <xf numFmtId="14" fontId="150" fillId="0" borderId="1" xfId="0" applyNumberFormat="1" applyFont="1" applyBorder="1" applyAlignment="1" applyProtection="1">
      <alignment horizontal="left" vertical="center"/>
    </xf>
    <xf numFmtId="0" fontId="150"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186" fontId="100" fillId="6" borderId="1" xfId="8" applyNumberFormat="1" applyFont="1" applyFill="1" applyBorder="1" applyAlignment="1" applyProtection="1">
      <alignment horizontal="center" vertical="center"/>
    </xf>
    <xf numFmtId="177" fontId="115" fillId="6" borderId="1" xfId="8" applyNumberFormat="1" applyFont="1" applyFill="1" applyBorder="1" applyAlignment="1" applyProtection="1">
      <alignment horizontal="center" vertical="center"/>
    </xf>
    <xf numFmtId="187" fontId="115" fillId="6" borderId="1" xfId="8" applyNumberFormat="1"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xf>
    <xf numFmtId="0" fontId="53" fillId="6" borderId="1" xfId="8" applyNumberFormat="1" applyFont="1" applyFill="1" applyBorder="1" applyAlignment="1" applyProtection="1">
      <alignment horizontal="center" vertical="center" wrapText="1"/>
    </xf>
    <xf numFmtId="0" fontId="100" fillId="6" borderId="1" xfId="8" applyFont="1" applyFill="1" applyBorder="1" applyAlignment="1" applyProtection="1">
      <alignment vertical="center" wrapText="1"/>
    </xf>
    <xf numFmtId="0" fontId="57"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19" fillId="6" borderId="0" xfId="2" applyFont="1" applyFill="1"/>
    <xf numFmtId="0" fontId="19" fillId="6" borderId="6" xfId="2" applyFont="1" applyFill="1" applyBorder="1"/>
    <xf numFmtId="0" fontId="125"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5"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5"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5"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5" fillId="6" borderId="0" xfId="2" applyNumberFormat="1"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19"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60" fillId="6" borderId="0" xfId="2" applyFont="1" applyFill="1" applyAlignment="1">
      <alignment vertical="center"/>
    </xf>
    <xf numFmtId="0" fontId="160" fillId="6" borderId="1" xfId="2" applyFont="1" applyFill="1" applyBorder="1" applyAlignment="1">
      <alignment horizontal="left"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2" fillId="6" borderId="1" xfId="2" applyNumberFormat="1" applyFont="1" applyFill="1" applyBorder="1" applyAlignment="1">
      <alignment horizontal="center"/>
    </xf>
    <xf numFmtId="14" fontId="132"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09" fillId="0" borderId="87" xfId="0" applyFont="1" applyBorder="1" applyAlignment="1"/>
    <xf numFmtId="0" fontId="109"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3" fillId="0" borderId="0" xfId="0" applyFont="1">
      <alignment vertical="center"/>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9" fontId="171" fillId="0" borderId="1" xfId="0" applyNumberFormat="1" applyFont="1" applyFill="1" applyBorder="1" applyAlignment="1">
      <alignment horizontal="center" vertical="center"/>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5" fillId="0" borderId="1" xfId="8" applyNumberFormat="1" applyFont="1" applyFill="1" applyBorder="1" applyAlignment="1" applyProtection="1">
      <alignment horizontal="center" vertical="center"/>
      <protection locked="0"/>
    </xf>
    <xf numFmtId="0" fontId="115"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69" fillId="0" borderId="1" xfId="0" applyFont="1" applyBorder="1" applyAlignment="1">
      <alignment horizontal="right" vertical="center" wrapText="1"/>
    </xf>
    <xf numFmtId="0" fontId="100"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42"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5"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5" fontId="100"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47"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6" fillId="0" borderId="0" xfId="0" applyFont="1" applyProtection="1">
      <alignment vertical="center"/>
      <protection locked="0"/>
    </xf>
    <xf numFmtId="0" fontId="20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206" fillId="0" borderId="0" xfId="0" applyFont="1" applyAlignment="1">
      <alignment vertical="center"/>
    </xf>
    <xf numFmtId="0" fontId="133"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3" fillId="0" borderId="0" xfId="0" applyFont="1" applyFill="1" applyAlignment="1">
      <alignment vertical="center" wrapText="1"/>
    </xf>
    <xf numFmtId="0" fontId="206"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10" fillId="5" borderId="0" xfId="0" applyFont="1" applyFill="1" applyProtection="1">
      <alignment vertical="center"/>
      <protection locked="0"/>
    </xf>
    <xf numFmtId="0" fontId="99" fillId="0" borderId="0" xfId="0" applyFont="1" applyProtection="1">
      <alignment vertical="center"/>
      <protection locked="0"/>
    </xf>
    <xf numFmtId="0" fontId="20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206"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3"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6"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3" fillId="0" borderId="0" xfId="0" applyFont="1" applyAlignment="1">
      <alignment horizontal="right" vertical="center"/>
    </xf>
    <xf numFmtId="0" fontId="96"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19"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4"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4"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7"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wrapText="1"/>
      <protection locked="0"/>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48" fillId="6" borderId="4" xfId="0" applyFont="1" applyFill="1" applyBorder="1" applyAlignment="1" applyProtection="1">
      <alignment vertical="center"/>
    </xf>
    <xf numFmtId="0" fontId="53" fillId="6" borderId="0" xfId="0" applyFont="1" applyFill="1" applyBorder="1" applyAlignment="1" applyProtection="1">
      <alignment vertical="center" wrapText="1"/>
    </xf>
    <xf numFmtId="0" fontId="115" fillId="6" borderId="60" xfId="0" applyFont="1" applyFill="1" applyBorder="1" applyAlignment="1" applyProtection="1">
      <alignment vertical="center"/>
    </xf>
    <xf numFmtId="0" fontId="115" fillId="6" borderId="71" xfId="0" applyFont="1" applyFill="1" applyBorder="1" applyAlignment="1" applyProtection="1">
      <alignment vertical="center"/>
    </xf>
    <xf numFmtId="0" fontId="100" fillId="6" borderId="74" xfId="0" applyFont="1" applyFill="1" applyBorder="1" applyAlignment="1" applyProtection="1">
      <alignment horizontal="lef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9" fontId="53" fillId="6" borderId="25"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1" fillId="6" borderId="65" xfId="0" applyFont="1" applyFill="1" applyBorder="1" applyAlignment="1" applyProtection="1">
      <alignment vertical="center" wrapText="1"/>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5" borderId="84" xfId="8" applyFont="1" applyFill="1" applyBorder="1" applyAlignment="1" applyProtection="1">
      <alignment horizontal="center" vertical="center" wrapText="1"/>
      <protection locked="0"/>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10" fillId="6" borderId="0" xfId="0" applyFont="1" applyFill="1" applyProtection="1">
      <alignment vertical="center"/>
    </xf>
    <xf numFmtId="187"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103" fillId="6" borderId="0" xfId="0" applyFont="1" applyFill="1" applyAlignment="1" applyProtection="1">
      <alignment horizontal="center" vertical="center"/>
    </xf>
    <xf numFmtId="0" fontId="100" fillId="6" borderId="3" xfId="0" applyFont="1" applyFill="1" applyBorder="1" applyAlignment="1" applyProtection="1">
      <alignment vertical="center"/>
    </xf>
    <xf numFmtId="0" fontId="100" fillId="6" borderId="0" xfId="0" applyFont="1" applyFill="1" applyBorder="1" applyAlignment="1" applyProtection="1">
      <alignment horizontal="center" vertical="center"/>
    </xf>
    <xf numFmtId="186" fontId="100" fillId="6" borderId="1" xfId="0" applyNumberFormat="1" applyFont="1" applyFill="1" applyBorder="1" applyAlignment="1" applyProtection="1">
      <alignment horizontal="center" vertical="center"/>
    </xf>
    <xf numFmtId="187" fontId="100" fillId="6" borderId="1" xfId="0" applyNumberFormat="1" applyFont="1" applyFill="1" applyBorder="1" applyAlignment="1" applyProtection="1">
      <alignment horizontal="center" vertical="center"/>
    </xf>
    <xf numFmtId="177" fontId="115" fillId="6" borderId="1" xfId="0" applyNumberFormat="1" applyFont="1" applyFill="1" applyBorder="1" applyAlignment="1" applyProtection="1">
      <alignment horizontal="center" vertical="center"/>
    </xf>
    <xf numFmtId="187" fontId="115" fillId="6" borderId="1" xfId="0" applyNumberFormat="1" applyFont="1" applyFill="1" applyBorder="1" applyAlignment="1" applyProtection="1">
      <alignment horizontal="center" vertical="center" wrapText="1"/>
    </xf>
    <xf numFmtId="186" fontId="100" fillId="6" borderId="2" xfId="0" applyNumberFormat="1" applyFont="1" applyFill="1" applyBorder="1" applyAlignment="1" applyProtection="1">
      <alignment horizontal="center" vertical="center" wrapText="1"/>
    </xf>
    <xf numFmtId="179" fontId="115" fillId="6" borderId="1" xfId="0" applyNumberFormat="1" applyFont="1" applyFill="1" applyBorder="1" applyAlignment="1" applyProtection="1">
      <alignment horizontal="center" vertical="center"/>
    </xf>
    <xf numFmtId="0" fontId="100" fillId="0" borderId="0" xfId="0" applyFont="1" applyAlignment="1" applyProtection="1">
      <alignment horizontal="left" vertical="center"/>
    </xf>
    <xf numFmtId="0" fontId="53"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53" fillId="6" borderId="9"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wrapText="1"/>
    </xf>
    <xf numFmtId="0" fontId="53" fillId="6" borderId="17" xfId="3" applyNumberFormat="1" applyFont="1" applyFill="1" applyBorder="1" applyAlignment="1" applyProtection="1">
      <alignment horizontal="center" vertical="center"/>
    </xf>
    <xf numFmtId="0" fontId="53" fillId="6" borderId="62" xfId="3" applyNumberFormat="1" applyFont="1" applyFill="1" applyBorder="1" applyAlignment="1" applyProtection="1">
      <alignment horizontal="center" vertical="center"/>
    </xf>
    <xf numFmtId="0" fontId="127"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0" fontId="53" fillId="5" borderId="28"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6" fillId="13" borderId="126" xfId="16" applyFont="1" applyFill="1" applyBorder="1" applyAlignment="1" applyProtection="1">
      <alignment horizontal="left" vertical="center" wrapText="1"/>
    </xf>
    <xf numFmtId="0" fontId="146" fillId="13"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41" fillId="16" borderId="0" xfId="9" applyFont="1" applyFill="1" applyAlignment="1">
      <alignment horizontal="left" vertical="center"/>
    </xf>
    <xf numFmtId="0" fontId="99"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3" fillId="16" borderId="121" xfId="9" applyFont="1" applyFill="1" applyBorder="1" applyAlignment="1">
      <alignment horizontal="left" vertical="center"/>
    </xf>
    <xf numFmtId="0" fontId="103" fillId="16" borderId="0" xfId="9" applyFont="1" applyFill="1" applyBorder="1" applyAlignment="1">
      <alignment horizontal="left" vertical="center"/>
    </xf>
    <xf numFmtId="0" fontId="147" fillId="16" borderId="0" xfId="9" applyFont="1" applyFill="1" applyBorder="1" applyAlignment="1" applyProtection="1">
      <alignment horizontal="left" vertical="center"/>
      <protection locked="0"/>
    </xf>
    <xf numFmtId="0" fontId="103" fillId="16" borderId="0" xfId="9" applyFont="1" applyFill="1" applyAlignment="1">
      <alignment horizontal="left" vertical="center"/>
    </xf>
    <xf numFmtId="0" fontId="139" fillId="16" borderId="0" xfId="9" applyFont="1" applyFill="1" applyAlignment="1">
      <alignment horizontal="left" vertical="center"/>
    </xf>
    <xf numFmtId="0" fontId="100" fillId="16" borderId="0" xfId="9" applyFont="1" applyFill="1" applyAlignment="1">
      <alignment horizontal="left" vertical="center"/>
    </xf>
    <xf numFmtId="10" fontId="100" fillId="16"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3" fillId="14" borderId="1" xfId="9" applyNumberFormat="1" applyFont="1" applyFill="1" applyBorder="1" applyAlignment="1" applyProtection="1">
      <alignment horizontal="left" vertical="center" wrapText="1"/>
    </xf>
    <xf numFmtId="186" fontId="147" fillId="14" borderId="0" xfId="9" applyNumberFormat="1" applyFont="1" applyFill="1" applyAlignment="1">
      <alignment horizontal="left" vertical="center"/>
    </xf>
    <xf numFmtId="0" fontId="146" fillId="12" borderId="125" xfId="9" applyFont="1" applyFill="1" applyBorder="1" applyAlignment="1" applyProtection="1">
      <alignment horizontal="left" vertical="center" wrapText="1"/>
    </xf>
    <xf numFmtId="0" fontId="146" fillId="14" borderId="126" xfId="9" applyFont="1" applyFill="1" applyBorder="1" applyAlignment="1" applyProtection="1">
      <alignment horizontal="left" vertical="center" wrapText="1"/>
    </xf>
    <xf numFmtId="0" fontId="147" fillId="14" borderId="0" xfId="9" applyFont="1" applyFill="1" applyBorder="1" applyAlignment="1" applyProtection="1">
      <alignment horizontal="left" vertical="center"/>
      <protection locked="0"/>
    </xf>
    <xf numFmtId="0" fontId="103" fillId="14" borderId="0" xfId="9" applyFont="1" applyFill="1" applyAlignment="1">
      <alignment horizontal="left" vertical="center"/>
    </xf>
    <xf numFmtId="10" fontId="147" fillId="14" borderId="128" xfId="9" applyNumberFormat="1" applyFont="1" applyFill="1" applyBorder="1" applyAlignment="1">
      <alignment horizontal="left" vertical="center"/>
    </xf>
    <xf numFmtId="0" fontId="103" fillId="14" borderId="121" xfId="9" applyFont="1" applyFill="1" applyBorder="1" applyAlignment="1">
      <alignment horizontal="left" vertical="center"/>
    </xf>
    <xf numFmtId="0" fontId="115" fillId="5"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100" fillId="0" borderId="0" xfId="9" applyNumberFormat="1" applyFont="1" applyAlignment="1">
      <alignment horizontal="left" vertical="center"/>
    </xf>
    <xf numFmtId="0" fontId="146" fillId="13"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7" fillId="14" borderId="0" xfId="9" applyFont="1" applyFill="1" applyAlignment="1">
      <alignment horizontal="left" vertical="center"/>
    </xf>
    <xf numFmtId="0" fontId="146" fillId="13" borderId="130"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86" fontId="103" fillId="12" borderId="123" xfId="9" applyNumberFormat="1" applyFont="1" applyFill="1" applyBorder="1" applyAlignment="1" applyProtection="1">
      <alignment horizontal="left" vertical="center" wrapText="1"/>
    </xf>
    <xf numFmtId="186" fontId="103" fillId="12" borderId="129"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186" fontId="103" fillId="12" borderId="123" xfId="9" applyNumberFormat="1" applyFont="1" applyFill="1" applyBorder="1" applyAlignment="1">
      <alignment horizontal="left" vertical="center" wrapText="1"/>
    </xf>
    <xf numFmtId="186" fontId="103" fillId="12"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6" fillId="12" borderId="132" xfId="9" applyFont="1" applyFill="1" applyBorder="1" applyAlignment="1" applyProtection="1">
      <alignment horizontal="left" vertical="center" wrapText="1"/>
    </xf>
    <xf numFmtId="0" fontId="146" fillId="12"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6" fillId="13" borderId="123" xfId="9" applyFont="1" applyFill="1" applyBorder="1" applyAlignment="1" applyProtection="1">
      <alignment horizontal="left" vertical="center" wrapText="1"/>
    </xf>
    <xf numFmtId="0" fontId="146" fillId="13"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6" fontId="103" fillId="12" borderId="126" xfId="9" applyNumberFormat="1" applyFont="1" applyFill="1" applyBorder="1" applyAlignment="1">
      <alignment horizontal="left" vertical="center" wrapText="1"/>
    </xf>
    <xf numFmtId="186" fontId="103" fillId="12" borderId="135" xfId="9" applyNumberFormat="1" applyFont="1" applyFill="1" applyBorder="1" applyAlignment="1">
      <alignment horizontal="left" vertical="center" wrapText="1"/>
    </xf>
    <xf numFmtId="0" fontId="100" fillId="13" borderId="123" xfId="9" applyFont="1" applyFill="1" applyBorder="1" applyAlignment="1" applyProtection="1">
      <alignment horizontal="left" vertical="center" wrapText="1"/>
    </xf>
    <xf numFmtId="0" fontId="100" fillId="13"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2" borderId="132" xfId="9" applyFont="1" applyFill="1" applyBorder="1" applyAlignment="1" applyProtection="1">
      <alignment horizontal="left" vertical="center" wrapText="1"/>
    </xf>
    <xf numFmtId="0" fontId="100" fillId="12"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5" fillId="0" borderId="0" xfId="9" applyFont="1" applyAlignment="1">
      <alignment horizontal="left" vertical="center"/>
    </xf>
    <xf numFmtId="0" fontId="100" fillId="0" borderId="0" xfId="9" applyNumberFormat="1" applyFont="1" applyAlignment="1">
      <alignment horizontal="left" vertical="center"/>
    </xf>
    <xf numFmtId="186" fontId="103" fillId="12" borderId="132" xfId="9" applyNumberFormat="1" applyFont="1" applyFill="1" applyBorder="1" applyAlignment="1">
      <alignment horizontal="left" vertical="center" wrapText="1"/>
    </xf>
    <xf numFmtId="186" fontId="103" fillId="12" borderId="136" xfId="9" applyNumberFormat="1" applyFont="1" applyFill="1" applyBorder="1" applyAlignment="1">
      <alignment horizontal="left" vertical="center" wrapText="1"/>
    </xf>
    <xf numFmtId="186" fontId="100" fillId="14" borderId="0" xfId="9" applyNumberFormat="1" applyFont="1" applyFill="1" applyAlignment="1">
      <alignment horizontal="left" vertical="center"/>
    </xf>
    <xf numFmtId="186" fontId="100" fillId="0" borderId="47" xfId="9" applyNumberFormat="1" applyFont="1" applyBorder="1" applyAlignment="1">
      <alignment horizontal="left" vertical="center"/>
    </xf>
    <xf numFmtId="0" fontId="146" fillId="13" borderId="137" xfId="9" applyFont="1" applyFill="1" applyBorder="1" applyAlignment="1" applyProtection="1">
      <alignment horizontal="left" vertical="center" wrapText="1"/>
    </xf>
    <xf numFmtId="0" fontId="146" fillId="13"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6" fillId="12" borderId="140" xfId="9" applyFont="1" applyFill="1" applyBorder="1" applyAlignment="1" applyProtection="1">
      <alignment horizontal="left" vertical="center" wrapText="1"/>
    </xf>
    <xf numFmtId="0" fontId="146" fillId="12" borderId="141" xfId="9" applyFont="1" applyFill="1" applyBorder="1" applyAlignment="1" applyProtection="1">
      <alignment horizontal="left" vertical="center" wrapText="1"/>
    </xf>
    <xf numFmtId="10" fontId="100" fillId="15" borderId="121" xfId="9" applyNumberFormat="1" applyFont="1" applyFill="1" applyBorder="1" applyAlignment="1">
      <alignment horizontal="left" vertical="center"/>
    </xf>
    <xf numFmtId="10" fontId="100" fillId="15"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5" borderId="128" xfId="9" applyNumberFormat="1" applyFont="1" applyFill="1" applyBorder="1" applyAlignment="1">
      <alignment horizontal="left" vertical="center"/>
    </xf>
    <xf numFmtId="10" fontId="100" fillId="15" borderId="60" xfId="9" applyNumberFormat="1" applyFont="1" applyFill="1" applyBorder="1" applyAlignment="1">
      <alignment horizontal="left" vertical="center"/>
    </xf>
    <xf numFmtId="10" fontId="100" fillId="15" borderId="139" xfId="9" applyNumberFormat="1" applyFont="1" applyFill="1" applyBorder="1" applyAlignment="1">
      <alignment horizontal="left" vertical="center"/>
    </xf>
    <xf numFmtId="10" fontId="100" fillId="15"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3" borderId="142" xfId="9" applyFont="1" applyFill="1" applyBorder="1" applyAlignment="1">
      <alignment horizontal="left" vertical="center" wrapText="1"/>
    </xf>
    <xf numFmtId="0" fontId="103" fillId="13"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5" borderId="0" xfId="9" applyNumberFormat="1" applyFont="1" applyFill="1" applyAlignment="1">
      <alignment horizontal="left" vertical="center"/>
    </xf>
    <xf numFmtId="0" fontId="146" fillId="13" borderId="132" xfId="9" applyFont="1" applyFill="1" applyBorder="1" applyAlignment="1" applyProtection="1">
      <alignment horizontal="left" vertical="center" wrapText="1"/>
    </xf>
    <xf numFmtId="0" fontId="103" fillId="12" borderId="132" xfId="9" applyFont="1" applyFill="1" applyBorder="1" applyAlignment="1">
      <alignment horizontal="left" vertical="center" wrapText="1"/>
    </xf>
    <xf numFmtId="0" fontId="103" fillId="12"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2" borderId="144" xfId="9" applyFont="1" applyFill="1" applyBorder="1" applyAlignment="1">
      <alignment horizontal="left" vertical="center" wrapText="1"/>
    </xf>
    <xf numFmtId="0" fontId="103" fillId="12" borderId="145" xfId="9" applyFont="1" applyFill="1" applyBorder="1" applyAlignment="1">
      <alignment horizontal="left" vertical="center" wrapText="1"/>
    </xf>
    <xf numFmtId="0" fontId="103" fillId="12" borderId="146" xfId="9" applyFont="1" applyFill="1" applyBorder="1" applyAlignment="1">
      <alignment horizontal="left" vertical="center" wrapText="1"/>
    </xf>
    <xf numFmtId="0" fontId="132"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6" fillId="13" borderId="147" xfId="9" applyFont="1" applyFill="1" applyBorder="1" applyAlignment="1">
      <alignment horizontal="left" vertical="center" wrapText="1"/>
    </xf>
    <xf numFmtId="0" fontId="146" fillId="13" borderId="123"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2" borderId="126" xfId="9" applyFont="1" applyFill="1" applyBorder="1" applyAlignment="1">
      <alignment horizontal="left" vertical="center" wrapText="1"/>
    </xf>
    <xf numFmtId="0" fontId="146" fillId="13" borderId="148" xfId="9" applyFont="1" applyFill="1" applyBorder="1" applyAlignment="1">
      <alignment horizontal="left" vertical="center" wrapText="1"/>
    </xf>
    <xf numFmtId="0" fontId="146" fillId="13" borderId="126" xfId="9" applyFont="1" applyFill="1" applyBorder="1" applyAlignment="1">
      <alignment horizontal="left" vertical="center" wrapText="1"/>
    </xf>
    <xf numFmtId="0" fontId="146" fillId="12" borderId="149" xfId="9" applyFont="1" applyFill="1" applyBorder="1" applyAlignment="1">
      <alignment horizontal="left" vertical="center" wrapText="1"/>
    </xf>
    <xf numFmtId="0" fontId="146" fillId="12" borderId="132" xfId="9" applyFont="1" applyFill="1" applyBorder="1" applyAlignment="1">
      <alignment horizontal="left" vertical="center" wrapText="1"/>
    </xf>
    <xf numFmtId="0" fontId="132"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7" fillId="19" borderId="0" xfId="0" applyFont="1" applyFill="1" applyAlignment="1" applyProtection="1">
      <alignment horizontal="left" vertical="center"/>
    </xf>
    <xf numFmtId="10" fontId="47" fillId="19" borderId="0" xfId="0" applyNumberFormat="1" applyFont="1" applyFill="1" applyAlignment="1" applyProtection="1">
      <alignment horizontal="left" vertical="center"/>
    </xf>
    <xf numFmtId="0" fontId="47" fillId="19" borderId="0" xfId="0" applyFont="1" applyFill="1" applyAlignment="1" applyProtection="1">
      <alignment horizontal="left" vertical="center"/>
    </xf>
    <xf numFmtId="0" fontId="77" fillId="19" borderId="0" xfId="0" applyFont="1" applyFill="1" applyProtection="1">
      <alignment vertical="center"/>
    </xf>
    <xf numFmtId="0" fontId="77" fillId="19" borderId="3" xfId="0" applyFont="1" applyFill="1" applyBorder="1" applyAlignment="1" applyProtection="1">
      <alignment horizontal="left" vertical="center" wrapText="1"/>
      <protection locked="0"/>
    </xf>
    <xf numFmtId="181" fontId="47" fillId="19" borderId="48" xfId="0" applyNumberFormat="1" applyFont="1" applyFill="1" applyBorder="1" applyAlignment="1" applyProtection="1">
      <alignment horizontal="center" vertical="center" wrapText="1"/>
    </xf>
    <xf numFmtId="0" fontId="47" fillId="19" borderId="1" xfId="0" applyFont="1" applyFill="1" applyBorder="1" applyAlignment="1" applyProtection="1">
      <alignment horizontal="center" vertical="center"/>
    </xf>
    <xf numFmtId="10" fontId="54" fillId="19" borderId="5" xfId="1" applyNumberFormat="1" applyFont="1" applyFill="1" applyBorder="1" applyAlignment="1" applyProtection="1">
      <alignment horizontal="center"/>
    </xf>
    <xf numFmtId="10" fontId="54" fillId="19" borderId="5" xfId="1" applyNumberFormat="1" applyFont="1" applyFill="1" applyBorder="1" applyAlignment="1" applyProtection="1">
      <alignment horizontal="center" vertical="center"/>
    </xf>
    <xf numFmtId="9" fontId="54" fillId="19" borderId="5" xfId="1" applyNumberFormat="1" applyFont="1" applyFill="1" applyBorder="1" applyAlignment="1" applyProtection="1">
      <alignment horizontal="center" vertical="center"/>
    </xf>
    <xf numFmtId="0" fontId="54" fillId="19" borderId="68" xfId="0" applyNumberFormat="1" applyFont="1" applyFill="1" applyBorder="1" applyAlignment="1" applyProtection="1">
      <alignment horizontal="left" vertical="center" wrapText="1"/>
      <protection locked="0"/>
    </xf>
    <xf numFmtId="181" fontId="50" fillId="19" borderId="68" xfId="0" applyNumberFormat="1" applyFont="1" applyFill="1" applyBorder="1" applyAlignment="1" applyProtection="1">
      <alignment horizontal="left" vertical="center" wrapText="1"/>
      <protection locked="0"/>
    </xf>
    <xf numFmtId="176" fontId="51" fillId="19"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9" borderId="1" xfId="0" applyFont="1" applyFill="1" applyBorder="1" applyAlignment="1" applyProtection="1">
      <alignment horizontal="center" vertical="center" wrapText="1"/>
    </xf>
    <xf numFmtId="0" fontId="62" fillId="6" borderId="118" xfId="0" applyFont="1" applyFill="1" applyBorder="1" applyAlignment="1" applyProtection="1">
      <alignment vertical="center"/>
    </xf>
    <xf numFmtId="0" fontId="62" fillId="6" borderId="118" xfId="0" applyFont="1" applyFill="1" applyBorder="1" applyAlignment="1" applyProtection="1">
      <alignment vertical="center"/>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7"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1" fillId="0" borderId="156"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0"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6"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150" fillId="0" borderId="0" xfId="5" applyFont="1" applyBorder="1" applyAlignment="1">
      <alignment horizontal="left" vertical="center"/>
    </xf>
    <xf numFmtId="0" fontId="22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7"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7"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7"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7"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7"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7"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2" borderId="15" xfId="0" applyFont="1" applyFill="1" applyBorder="1" applyAlignment="1" applyProtection="1">
      <alignment horizontal="left" vertical="center" wrapText="1"/>
    </xf>
    <xf numFmtId="0" fontId="47" fillId="17"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2" borderId="2" xfId="0" applyFont="1" applyFill="1" applyBorder="1" applyAlignment="1" applyProtection="1">
      <alignment horizontal="lef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193"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42"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9" borderId="33" xfId="0" applyFont="1" applyFill="1" applyBorder="1" applyAlignment="1" applyProtection="1">
      <alignment horizontal="left" vertical="center"/>
    </xf>
    <xf numFmtId="0" fontId="47" fillId="19" borderId="32" xfId="0" applyFont="1" applyFill="1" applyBorder="1" applyAlignment="1" applyProtection="1">
      <alignment horizontal="left" vertical="center" wrapText="1"/>
    </xf>
    <xf numFmtId="10" fontId="47" fillId="19"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9"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7"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7" borderId="15" xfId="0" applyNumberFormat="1" applyFont="1" applyFill="1" applyBorder="1" applyAlignment="1" applyProtection="1">
      <alignment vertical="center" wrapText="1"/>
    </xf>
    <xf numFmtId="0" fontId="47" fillId="17"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3" borderId="0" xfId="0" applyFont="1" applyFill="1" applyProtection="1">
      <alignment vertical="center"/>
      <protection locked="0"/>
    </xf>
    <xf numFmtId="0" fontId="44" fillId="13" borderId="0" xfId="0" applyFont="1" applyFill="1" applyBorder="1" applyProtection="1">
      <alignment vertical="center"/>
      <protection locked="0"/>
    </xf>
    <xf numFmtId="0" fontId="44" fillId="13" borderId="0" xfId="0" applyFont="1" applyFill="1" applyAlignment="1" applyProtection="1">
      <alignment horizontal="center" vertical="center"/>
      <protection locked="0"/>
    </xf>
    <xf numFmtId="0" fontId="47"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47" fillId="13" borderId="0" xfId="0" applyFont="1" applyFill="1" applyAlignment="1" applyProtection="1">
      <alignment vertical="center" wrapText="1"/>
      <protection locked="0"/>
    </xf>
    <xf numFmtId="0" fontId="47" fillId="13" borderId="87" xfId="0" applyFont="1" applyFill="1" applyBorder="1" applyAlignment="1" applyProtection="1">
      <alignment vertical="center" wrapText="1"/>
      <protection locked="0"/>
    </xf>
    <xf numFmtId="49" fontId="174" fillId="13" borderId="4" xfId="0" applyNumberFormat="1" applyFont="1" applyFill="1" applyBorder="1" applyAlignment="1" applyProtection="1">
      <alignment horizontal="left" vertical="center"/>
      <protection locked="0"/>
    </xf>
    <xf numFmtId="0" fontId="47" fillId="13" borderId="60" xfId="0" applyFont="1" applyFill="1" applyBorder="1" applyAlignment="1" applyProtection="1">
      <alignment vertical="center" wrapText="1"/>
    </xf>
    <xf numFmtId="0" fontId="47" fillId="13" borderId="60" xfId="0" applyFont="1" applyFill="1" applyBorder="1" applyAlignment="1" applyProtection="1">
      <alignment horizontal="center" vertical="center" wrapText="1"/>
    </xf>
    <xf numFmtId="0" fontId="47" fillId="13" borderId="7" xfId="0" applyFont="1" applyFill="1" applyBorder="1" applyAlignment="1" applyProtection="1">
      <alignment vertical="center" wrapText="1"/>
    </xf>
    <xf numFmtId="0" fontId="47" fillId="13" borderId="1" xfId="0" applyNumberFormat="1" applyFont="1" applyFill="1" applyBorder="1" applyAlignment="1" applyProtection="1">
      <alignment horizontal="center" vertical="center" wrapText="1"/>
      <protection locked="0"/>
    </xf>
    <xf numFmtId="0" fontId="47" fillId="13" borderId="78"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xf>
    <xf numFmtId="0" fontId="47" fillId="13" borderId="0" xfId="0" applyFont="1" applyFill="1" applyAlignment="1" applyProtection="1">
      <alignment vertical="center"/>
      <protection locked="0"/>
    </xf>
    <xf numFmtId="0" fontId="47" fillId="13" borderId="0" xfId="0" applyFont="1" applyFill="1" applyAlignment="1" applyProtection="1">
      <alignment horizontal="center" vertical="center"/>
      <protection locked="0"/>
    </xf>
    <xf numFmtId="0" fontId="44" fillId="13" borderId="0" xfId="0" applyFont="1" applyFill="1" applyAlignment="1" applyProtection="1">
      <alignment vertical="center"/>
      <protection locked="0"/>
    </xf>
    <xf numFmtId="0" fontId="44" fillId="13" borderId="0" xfId="0" applyFont="1" applyFill="1" applyBorder="1" applyAlignment="1" applyProtection="1">
      <alignment vertical="center"/>
      <protection locked="0"/>
    </xf>
    <xf numFmtId="179" fontId="47" fillId="13" borderId="0" xfId="0" applyNumberFormat="1" applyFont="1" applyFill="1" applyAlignment="1" applyProtection="1">
      <alignment vertical="center"/>
      <protection locked="0"/>
    </xf>
    <xf numFmtId="179" fontId="44" fillId="13" borderId="0" xfId="0" applyNumberFormat="1" applyFont="1" applyFill="1" applyAlignment="1" applyProtection="1">
      <alignment vertical="center"/>
      <protection locked="0"/>
    </xf>
    <xf numFmtId="0" fontId="44" fillId="13" borderId="67" xfId="0" applyFont="1" applyFill="1" applyBorder="1" applyAlignment="1" applyProtection="1">
      <alignment horizontal="center" vertical="center"/>
      <protection locked="0"/>
    </xf>
    <xf numFmtId="0" fontId="101" fillId="13" borderId="0" xfId="0" applyFont="1" applyFill="1" applyAlignment="1" applyProtection="1">
      <alignment horizontal="left" vertical="center"/>
      <protection locked="0"/>
    </xf>
    <xf numFmtId="179" fontId="44" fillId="13" borderId="0" xfId="0" applyNumberFormat="1"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0" fontId="115" fillId="13" borderId="0" xfId="0" applyFont="1" applyFill="1" applyAlignment="1" applyProtection="1">
      <alignment vertical="center"/>
      <protection locked="0"/>
    </xf>
    <xf numFmtId="0" fontId="47" fillId="13" borderId="0" xfId="0" applyFont="1" applyFill="1" applyAlignment="1" applyProtection="1">
      <alignment vertical="center"/>
    </xf>
    <xf numFmtId="181" fontId="99" fillId="13" borderId="0" xfId="0" applyNumberFormat="1" applyFont="1" applyFill="1" applyAlignment="1" applyProtection="1">
      <alignment horizontal="center" vertical="center"/>
    </xf>
    <xf numFmtId="179" fontId="101" fillId="13" borderId="0" xfId="0" applyNumberFormat="1" applyFont="1" applyFill="1" applyAlignment="1" applyProtection="1">
      <alignment vertical="center"/>
      <protection locked="0"/>
    </xf>
    <xf numFmtId="0" fontId="44" fillId="13" borderId="0" xfId="0" applyFont="1" applyFill="1" applyAlignment="1" applyProtection="1">
      <alignment vertical="center"/>
    </xf>
    <xf numFmtId="0" fontId="165" fillId="13" borderId="0" xfId="12" applyFont="1" applyFill="1" applyBorder="1" applyAlignment="1" applyProtection="1">
      <alignment horizontal="left" vertical="center" wrapText="1"/>
      <protection locked="0"/>
    </xf>
    <xf numFmtId="0" fontId="164" fillId="13" borderId="0" xfId="12" applyFill="1" applyBorder="1" applyAlignment="1" applyProtection="1">
      <alignment horizontal="left"/>
      <protection locked="0"/>
    </xf>
    <xf numFmtId="0" fontId="164" fillId="13" borderId="0" xfId="12" applyFill="1" applyAlignment="1" applyProtection="1">
      <alignment horizontal="left"/>
      <protection locked="0"/>
    </xf>
    <xf numFmtId="0" fontId="187" fillId="18"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9" fillId="13" borderId="0" xfId="0" applyFont="1" applyFill="1">
      <alignment vertical="center"/>
    </xf>
    <xf numFmtId="0" fontId="214" fillId="13" borderId="0" xfId="0" applyFont="1" applyFill="1" applyBorder="1">
      <alignment vertical="center"/>
    </xf>
    <xf numFmtId="0" fontId="99" fillId="13" borderId="0" xfId="0" applyFont="1" applyFill="1" applyBorder="1">
      <alignment vertical="center"/>
    </xf>
    <xf numFmtId="0" fontId="99" fillId="13" borderId="47" xfId="0" applyFont="1" applyFill="1" applyBorder="1">
      <alignment vertical="center"/>
    </xf>
    <xf numFmtId="0" fontId="99" fillId="13" borderId="56" xfId="0" applyFont="1" applyFill="1" applyBorder="1" applyProtection="1">
      <alignment vertical="center"/>
    </xf>
    <xf numFmtId="0" fontId="57" fillId="13" borderId="18" xfId="1" applyFont="1" applyFill="1" applyBorder="1" applyAlignment="1" applyProtection="1">
      <alignment vertical="center"/>
    </xf>
    <xf numFmtId="181" fontId="57" fillId="13" borderId="0" xfId="0" applyNumberFormat="1" applyFont="1" applyFill="1" applyBorder="1" applyAlignment="1" applyProtection="1">
      <alignment vertical="center"/>
      <protection locked="0"/>
    </xf>
    <xf numFmtId="0" fontId="57" fillId="13" borderId="0" xfId="0" applyFont="1" applyFill="1" applyBorder="1" applyAlignment="1" applyProtection="1">
      <alignment horizontal="center" vertical="center"/>
      <protection locked="0"/>
    </xf>
    <xf numFmtId="181" fontId="44" fillId="13" borderId="0" xfId="0" applyNumberFormat="1" applyFont="1" applyFill="1" applyBorder="1" applyAlignment="1" applyProtection="1">
      <alignment vertical="center" wrapText="1"/>
      <protection locked="0"/>
    </xf>
    <xf numFmtId="0" fontId="51" fillId="13" borderId="0" xfId="0" applyFont="1" applyFill="1" applyBorder="1" applyAlignment="1" applyProtection="1">
      <alignment horizontal="center" vertical="center"/>
      <protection locked="0"/>
    </xf>
    <xf numFmtId="181" fontId="44" fillId="13" borderId="0" xfId="0" applyNumberFormat="1" applyFont="1" applyFill="1" applyBorder="1" applyAlignment="1" applyProtection="1">
      <alignment horizontal="center" vertical="center" wrapText="1"/>
      <protection locked="0"/>
    </xf>
    <xf numFmtId="0" fontId="44" fillId="13" borderId="0" xfId="0" applyFont="1" applyFill="1" applyBorder="1" applyAlignment="1" applyProtection="1">
      <alignment horizontal="center" vertical="center"/>
      <protection locked="0"/>
    </xf>
    <xf numFmtId="181"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protection locked="0"/>
    </xf>
    <xf numFmtId="181" fontId="49" fillId="13" borderId="0" xfId="0" applyNumberFormat="1" applyFont="1" applyFill="1" applyBorder="1" applyAlignment="1" applyProtection="1">
      <alignment horizontal="center" vertical="center" wrapText="1"/>
      <protection locked="0"/>
    </xf>
    <xf numFmtId="181" fontId="68"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vertical="center" wrapText="1"/>
      <protection locked="0"/>
    </xf>
    <xf numFmtId="0" fontId="51" fillId="13" borderId="0" xfId="0" applyFont="1" applyFill="1" applyAlignment="1" applyProtection="1">
      <alignment horizontal="center" vertical="center"/>
      <protection locked="0"/>
    </xf>
    <xf numFmtId="181" fontId="51" fillId="13" borderId="0" xfId="0" applyNumberFormat="1" applyFont="1" applyFill="1" applyAlignment="1" applyProtection="1">
      <alignment horizontal="center" vertical="center"/>
      <protection locked="0"/>
    </xf>
    <xf numFmtId="181"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9" fontId="51" fillId="13" borderId="0" xfId="0" applyNumberFormat="1" applyFont="1" applyFill="1" applyAlignment="1" applyProtection="1">
      <alignment horizontal="center" vertical="center"/>
      <protection locked="0"/>
    </xf>
    <xf numFmtId="189" fontId="51" fillId="13" borderId="0" xfId="0" applyNumberFormat="1" applyFont="1" applyFill="1" applyAlignment="1" applyProtection="1">
      <alignment horizontal="center" vertical="center"/>
      <protection locked="0"/>
    </xf>
    <xf numFmtId="14" fontId="51" fillId="13" borderId="0" xfId="0" applyNumberFormat="1" applyFont="1" applyFill="1" applyAlignment="1" applyProtection="1">
      <alignment horizontal="center" vertical="center"/>
      <protection locked="0"/>
    </xf>
    <xf numFmtId="176" fontId="51" fillId="13" borderId="0" xfId="0" applyNumberFormat="1" applyFont="1" applyFill="1" applyAlignment="1" applyProtection="1">
      <alignment horizontal="center" vertical="center"/>
      <protection locked="0"/>
    </xf>
    <xf numFmtId="189" fontId="68" fillId="13" borderId="0" xfId="0" applyNumberFormat="1" applyFont="1" applyFill="1" applyAlignment="1" applyProtection="1">
      <alignment horizontal="center" vertical="center"/>
      <protection locked="0"/>
    </xf>
    <xf numFmtId="181" fontId="62" fillId="13" borderId="0" xfId="0" applyNumberFormat="1" applyFont="1" applyFill="1" applyBorder="1" applyAlignment="1" applyProtection="1">
      <alignment vertical="center"/>
      <protection locked="0"/>
    </xf>
    <xf numFmtId="0" fontId="62" fillId="13" borderId="0" xfId="0" applyFont="1" applyFill="1" applyBorder="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0" fontId="68" fillId="13" borderId="18" xfId="0" applyFont="1" applyFill="1" applyBorder="1" applyAlignment="1" applyProtection="1">
      <alignment horizontal="center" vertical="center"/>
      <protection locked="0"/>
    </xf>
    <xf numFmtId="0" fontId="51" fillId="13" borderId="18" xfId="0" applyFont="1" applyFill="1" applyBorder="1" applyAlignment="1" applyProtection="1">
      <protection locked="0"/>
    </xf>
    <xf numFmtId="9" fontId="44" fillId="13" borderId="0" xfId="0" applyNumberFormat="1" applyFont="1" applyFill="1" applyBorder="1" applyAlignment="1" applyProtection="1">
      <alignment horizontal="center" vertical="center" wrapText="1"/>
      <protection locked="0"/>
    </xf>
    <xf numFmtId="49" fontId="44" fillId="13" borderId="18" xfId="0" applyNumberFormat="1" applyFont="1" applyFill="1" applyBorder="1" applyAlignment="1" applyProtection="1">
      <alignment horizontal="center" vertical="center"/>
      <protection locked="0"/>
    </xf>
    <xf numFmtId="49" fontId="44" fillId="13" borderId="0" xfId="0" applyNumberFormat="1" applyFont="1" applyFill="1" applyAlignment="1" applyProtection="1">
      <alignment horizontal="center" vertical="center"/>
      <protection locked="0"/>
    </xf>
    <xf numFmtId="9" fontId="44" fillId="13" borderId="18" xfId="0" applyNumberFormat="1" applyFont="1" applyFill="1" applyBorder="1" applyAlignment="1" applyProtection="1">
      <alignment horizontal="center" vertical="center" wrapText="1"/>
      <protection locked="0"/>
    </xf>
    <xf numFmtId="0" fontId="99" fillId="13" borderId="18" xfId="0" applyFont="1" applyFill="1" applyBorder="1" applyAlignment="1" applyProtection="1">
      <alignment vertical="center"/>
      <protection locked="0"/>
    </xf>
    <xf numFmtId="0" fontId="44" fillId="13" borderId="18" xfId="0" applyFont="1" applyFill="1" applyBorder="1" applyAlignment="1" applyProtection="1">
      <alignment horizontal="center" vertical="center" wrapText="1"/>
      <protection locked="0"/>
    </xf>
    <xf numFmtId="0" fontId="49" fillId="13" borderId="18" xfId="0" applyFont="1" applyFill="1" applyBorder="1" applyAlignment="1" applyProtection="1">
      <alignment horizontal="center" vertical="center" wrapText="1"/>
      <protection locked="0"/>
    </xf>
    <xf numFmtId="9" fontId="49" fillId="13" borderId="0" xfId="0" applyNumberFormat="1" applyFont="1" applyFill="1" applyBorder="1" applyAlignment="1" applyProtection="1">
      <alignment horizontal="center" vertical="center" wrapText="1"/>
      <protection locked="0"/>
    </xf>
    <xf numFmtId="0" fontId="49" fillId="13" borderId="0" xfId="0" applyFont="1" applyFill="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9" fontId="49" fillId="13" borderId="0" xfId="0" applyNumberFormat="1" applyFont="1" applyFill="1" applyBorder="1" applyAlignment="1" applyProtection="1">
      <alignment horizontal="center" vertical="center"/>
      <protection locked="0"/>
    </xf>
    <xf numFmtId="0" fontId="49" fillId="13" borderId="18" xfId="0" applyFont="1" applyFill="1" applyBorder="1" applyAlignment="1" applyProtection="1">
      <alignment vertical="center" wrapText="1"/>
      <protection locked="0"/>
    </xf>
    <xf numFmtId="0" fontId="44" fillId="13" borderId="18" xfId="0" applyFont="1" applyFill="1" applyBorder="1" applyAlignment="1" applyProtection="1">
      <alignment vertical="center" wrapText="1"/>
      <protection locked="0"/>
    </xf>
    <xf numFmtId="0" fontId="44" fillId="13" borderId="0"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68" fillId="13" borderId="58" xfId="0" applyFont="1" applyFill="1" applyBorder="1" applyAlignment="1" applyProtection="1">
      <alignment horizontal="center" vertical="center"/>
      <protection locked="0"/>
    </xf>
    <xf numFmtId="0" fontId="51" fillId="13" borderId="58" xfId="0" applyFont="1" applyFill="1" applyBorder="1" applyAlignment="1" applyProtection="1">
      <protection locked="0"/>
    </xf>
    <xf numFmtId="49" fontId="44" fillId="13" borderId="58" xfId="0" applyNumberFormat="1" applyFont="1" applyFill="1" applyBorder="1" applyAlignment="1" applyProtection="1">
      <alignment horizontal="center" vertical="center"/>
      <protection locked="0"/>
    </xf>
    <xf numFmtId="9" fontId="44" fillId="13" borderId="58" xfId="0" applyNumberFormat="1" applyFont="1" applyFill="1" applyBorder="1" applyAlignment="1" applyProtection="1">
      <alignment horizontal="center" vertical="center" wrapText="1"/>
      <protection locked="0"/>
    </xf>
    <xf numFmtId="0" fontId="99" fillId="13" borderId="58" xfId="0" applyFont="1" applyFill="1" applyBorder="1" applyAlignment="1" applyProtection="1">
      <alignment vertical="center"/>
      <protection locked="0"/>
    </xf>
    <xf numFmtId="0" fontId="44" fillId="13" borderId="58" xfId="0" applyFont="1" applyFill="1" applyBorder="1" applyAlignment="1" applyProtection="1">
      <alignment horizontal="center" vertical="center" wrapText="1"/>
      <protection locked="0"/>
    </xf>
    <xf numFmtId="0" fontId="49" fillId="13" borderId="58" xfId="0" applyFont="1" applyFill="1" applyBorder="1" applyAlignment="1" applyProtection="1">
      <alignment horizontal="center" vertical="center" wrapText="1"/>
      <protection locked="0"/>
    </xf>
    <xf numFmtId="0" fontId="49" fillId="13" borderId="58" xfId="0" applyFont="1" applyFill="1" applyBorder="1" applyAlignment="1" applyProtection="1">
      <alignment horizontal="center" vertical="center"/>
      <protection locked="0"/>
    </xf>
    <xf numFmtId="0" fontId="49" fillId="13" borderId="58" xfId="0" applyFont="1" applyFill="1" applyBorder="1" applyAlignment="1" applyProtection="1">
      <alignment vertical="center" wrapText="1"/>
      <protection locked="0"/>
    </xf>
    <xf numFmtId="0" fontId="44" fillId="13" borderId="58" xfId="0" applyFont="1" applyFill="1" applyBorder="1" applyAlignment="1" applyProtection="1">
      <alignment vertical="center" wrapText="1"/>
      <protection locked="0"/>
    </xf>
    <xf numFmtId="0" fontId="51" fillId="13" borderId="5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3" borderId="35" xfId="0" applyFont="1" applyFill="1" applyBorder="1" applyAlignment="1" applyProtection="1">
      <alignment horizontal="center" vertical="center"/>
      <protection locked="0"/>
    </xf>
    <xf numFmtId="0" fontId="67"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0" fontId="49" fillId="13" borderId="35" xfId="0" applyFont="1" applyFill="1" applyBorder="1" applyAlignment="1" applyProtection="1">
      <alignment horizontal="center" vertical="center"/>
      <protection locked="0"/>
    </xf>
    <xf numFmtId="49" fontId="44" fillId="13" borderId="0" xfId="0" applyNumberFormat="1" applyFont="1" applyFill="1" applyBorder="1" applyAlignment="1" applyProtection="1">
      <alignment horizontal="center" vertical="center"/>
      <protection locked="0"/>
    </xf>
    <xf numFmtId="0" fontId="99" fillId="13" borderId="0" xfId="0" applyFont="1" applyFill="1" applyBorder="1" applyAlignment="1" applyProtection="1">
      <alignment vertical="center"/>
      <protection locked="0"/>
    </xf>
    <xf numFmtId="0" fontId="44"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horizontal="center" vertical="center" wrapText="1"/>
      <protection locked="0"/>
    </xf>
    <xf numFmtId="0" fontId="44" fillId="13" borderId="0" xfId="0" applyFont="1" applyFill="1" applyBorder="1" applyAlignment="1" applyProtection="1">
      <alignment vertical="center" wrapText="1"/>
      <protection locked="0"/>
    </xf>
    <xf numFmtId="0" fontId="51" fillId="13" borderId="0" xfId="0" applyFont="1" applyFill="1" applyBorder="1" applyAlignment="1" applyProtection="1">
      <alignment horizontal="center" vertical="center" wrapText="1"/>
      <protection locked="0"/>
    </xf>
    <xf numFmtId="0" fontId="72" fillId="13" borderId="0" xfId="0" applyFont="1" applyFill="1" applyAlignment="1" applyProtection="1">
      <alignment horizontal="center" vertical="center"/>
      <protection locked="0"/>
    </xf>
    <xf numFmtId="0" fontId="53" fillId="13" borderId="0" xfId="0" applyFont="1" applyFill="1" applyAlignment="1" applyProtection="1">
      <protection locked="0"/>
    </xf>
    <xf numFmtId="0" fontId="49" fillId="13"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9" fillId="13" borderId="0" xfId="0" applyFont="1" applyFill="1" applyProtection="1">
      <alignment vertical="center"/>
      <protection locked="0"/>
    </xf>
    <xf numFmtId="0" fontId="127" fillId="13"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6" fillId="13" borderId="0" xfId="0" applyFont="1" applyFill="1" applyAlignment="1" applyProtection="1">
      <alignment vertical="center"/>
    </xf>
    <xf numFmtId="0" fontId="101" fillId="13" borderId="0" xfId="0" applyFont="1" applyFill="1" applyAlignment="1" applyProtection="1">
      <alignment vertical="center"/>
    </xf>
    <xf numFmtId="0" fontId="250" fillId="13" borderId="0" xfId="0" applyFont="1" applyFill="1" applyAlignment="1" applyProtection="1">
      <alignment horizontal="left" vertical="center"/>
    </xf>
    <xf numFmtId="0" fontId="101" fillId="13" borderId="0" xfId="0" applyFont="1" applyFill="1" applyAlignment="1" applyProtection="1">
      <alignment horizontal="left" vertical="center"/>
    </xf>
    <xf numFmtId="0" fontId="115" fillId="13" borderId="0" xfId="0" applyFont="1" applyFill="1" applyAlignment="1" applyProtection="1">
      <alignment vertical="center"/>
    </xf>
    <xf numFmtId="0" fontId="249" fillId="13" borderId="0" xfId="0" applyFont="1" applyFill="1" applyAlignment="1" applyProtection="1">
      <alignment vertical="center"/>
    </xf>
    <xf numFmtId="0" fontId="126" fillId="13" borderId="0" xfId="0" applyFont="1" applyFill="1" applyAlignment="1" applyProtection="1">
      <alignment horizontal="left" vertical="center"/>
    </xf>
    <xf numFmtId="0" fontId="45" fillId="13"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2"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6" fillId="12"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60"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60" fillId="6" borderId="1" xfId="2" applyNumberFormat="1" applyFont="1" applyFill="1" applyBorder="1" applyAlignment="1">
      <alignment horizontal="center" vertical="center" wrapText="1"/>
    </xf>
    <xf numFmtId="0" fontId="160" fillId="6" borderId="1" xfId="2" applyFont="1" applyFill="1" applyBorder="1" applyAlignment="1">
      <alignment horizontal="center" vertical="center" wrapText="1"/>
    </xf>
    <xf numFmtId="0" fontId="0" fillId="0" borderId="1" xfId="0" applyBorder="1" applyAlignment="1">
      <alignment horizontal="center" vertical="center"/>
    </xf>
    <xf numFmtId="177" fontId="253" fillId="0" borderId="2" xfId="17" applyNumberFormat="1" applyFont="1" applyBorder="1" applyAlignment="1">
      <alignment horizontal="center" vertical="center"/>
    </xf>
    <xf numFmtId="0" fontId="254" fillId="0" borderId="1" xfId="17" applyFont="1" applyBorder="1" applyAlignment="1">
      <alignment horizontal="center" vertical="center" shrinkToFit="1"/>
    </xf>
    <xf numFmtId="0" fontId="253" fillId="0" borderId="1" xfId="0" applyFont="1" applyBorder="1" applyAlignment="1">
      <alignment horizontal="center" vertical="center"/>
    </xf>
    <xf numFmtId="0" fontId="253" fillId="0" borderId="2" xfId="17" applyFont="1" applyBorder="1" applyAlignment="1">
      <alignment horizontal="center" vertical="center"/>
    </xf>
    <xf numFmtId="0" fontId="150" fillId="0" borderId="1" xfId="0" applyFont="1" applyBorder="1" applyAlignment="1">
      <alignment horizontal="center" vertical="center"/>
    </xf>
    <xf numFmtId="177" fontId="253" fillId="0" borderId="2" xfId="17" applyNumberFormat="1" applyFont="1" applyBorder="1" applyAlignment="1">
      <alignment horizontal="center" vertical="center" wrapText="1"/>
    </xf>
    <xf numFmtId="177" fontId="253" fillId="7" borderId="2" xfId="17" applyNumberFormat="1" applyFont="1" applyFill="1" applyBorder="1" applyAlignment="1">
      <alignment horizontal="center" vertical="center" wrapText="1"/>
    </xf>
    <xf numFmtId="179" fontId="150" fillId="0" borderId="1" xfId="0" applyNumberFormat="1" applyFont="1" applyBorder="1" applyAlignment="1">
      <alignment horizontal="center" vertical="center"/>
    </xf>
    <xf numFmtId="176" fontId="150" fillId="0" borderId="1" xfId="0" applyNumberFormat="1" applyFont="1" applyBorder="1" applyAlignment="1">
      <alignment horizontal="center" vertical="center"/>
    </xf>
    <xf numFmtId="0" fontId="253" fillId="0" borderId="2" xfId="17" applyFont="1" applyBorder="1" applyAlignment="1">
      <alignment horizontal="center" vertical="center" wrapText="1"/>
    </xf>
    <xf numFmtId="0" fontId="212" fillId="0" borderId="1" xfId="17" applyFont="1" applyBorder="1" applyAlignment="1">
      <alignment horizontal="center" vertical="center" wrapText="1"/>
    </xf>
    <xf numFmtId="0" fontId="255" fillId="0" borderId="1" xfId="0" applyFont="1" applyBorder="1" applyAlignment="1">
      <alignment horizontal="center" vertical="center" shrinkToFit="1"/>
    </xf>
    <xf numFmtId="0" fontId="255" fillId="0" borderId="1" xfId="0" applyFont="1" applyBorder="1" applyAlignment="1">
      <alignment horizontal="center" vertical="center"/>
    </xf>
    <xf numFmtId="0" fontId="119" fillId="0" borderId="1" xfId="0" applyFont="1" applyBorder="1" applyAlignment="1">
      <alignment horizontal="center" vertical="center"/>
    </xf>
    <xf numFmtId="179" fontId="119" fillId="0" borderId="1" xfId="0" applyNumberFormat="1" applyFont="1" applyBorder="1" applyAlignment="1">
      <alignment horizontal="center" vertical="center"/>
    </xf>
    <xf numFmtId="49" fontId="255" fillId="0" borderId="1" xfId="0" applyNumberFormat="1" applyFont="1" applyBorder="1" applyAlignment="1">
      <alignment horizontal="center" vertical="center"/>
    </xf>
    <xf numFmtId="177" fontId="119" fillId="0" borderId="1" xfId="0" applyNumberFormat="1" applyFont="1" applyBorder="1" applyAlignment="1">
      <alignment horizontal="center" vertical="center"/>
    </xf>
    <xf numFmtId="0" fontId="256" fillId="0" borderId="0" xfId="0" applyFont="1" applyAlignment="1">
      <alignment horizontal="center" vertical="center"/>
    </xf>
    <xf numFmtId="0" fontId="256" fillId="0" borderId="0" xfId="0" applyFont="1" applyAlignment="1">
      <alignment horizontal="center" vertical="center" shrinkToFit="1"/>
    </xf>
    <xf numFmtId="0" fontId="257" fillId="0" borderId="0" xfId="0" applyFont="1" applyAlignment="1">
      <alignment horizontal="center" vertical="center"/>
    </xf>
    <xf numFmtId="186" fontId="257" fillId="0" borderId="0" xfId="0" applyNumberFormat="1" applyFont="1" applyAlignment="1">
      <alignment horizontal="center" vertical="center"/>
    </xf>
    <xf numFmtId="49" fontId="256" fillId="0" borderId="0" xfId="0" applyNumberFormat="1" applyFont="1" applyAlignment="1">
      <alignment horizontal="center" vertical="center"/>
    </xf>
    <xf numFmtId="186" fontId="136" fillId="0" borderId="0" xfId="0" applyNumberFormat="1" applyFont="1" applyAlignment="1">
      <alignment horizontal="center" vertical="center"/>
    </xf>
    <xf numFmtId="0" fontId="96" fillId="0" borderId="0" xfId="0" applyFont="1">
      <alignment vertical="center"/>
    </xf>
    <xf numFmtId="177" fontId="77" fillId="0" borderId="1" xfId="1" applyNumberFormat="1" applyFont="1" applyFill="1" applyBorder="1" applyAlignment="1" applyProtection="1">
      <alignment vertical="center"/>
      <protection locked="0" hidden="1"/>
    </xf>
    <xf numFmtId="0" fontId="36" fillId="0" borderId="0" xfId="0" applyFont="1" applyAlignment="1">
      <alignment horizontal="center" vertical="center" shrinkToFit="1"/>
    </xf>
    <xf numFmtId="176" fontId="257" fillId="0" borderId="0" xfId="0" applyNumberFormat="1" applyFont="1" applyAlignment="1">
      <alignment horizontal="center" vertical="center"/>
    </xf>
    <xf numFmtId="0" fontId="53" fillId="0" borderId="0" xfId="18"/>
    <xf numFmtId="0" fontId="53" fillId="5" borderId="0" xfId="18" applyFill="1"/>
    <xf numFmtId="0" fontId="0" fillId="5" borderId="0" xfId="0" applyFill="1">
      <alignment vertical="center"/>
    </xf>
    <xf numFmtId="0" fontId="53" fillId="0" borderId="0" xfId="18" applyFill="1"/>
    <xf numFmtId="0" fontId="0" fillId="0" borderId="0" xfId="0" applyFill="1">
      <alignment vertical="center"/>
    </xf>
    <xf numFmtId="0" fontId="95" fillId="0" borderId="9" xfId="0" applyNumberFormat="1" applyFont="1" applyFill="1" applyBorder="1" applyAlignment="1" applyProtection="1">
      <alignment horizontal="center" vertical="center" wrapText="1"/>
      <protection locked="0"/>
    </xf>
    <xf numFmtId="49" fontId="36" fillId="0" borderId="0" xfId="0" applyNumberFormat="1" applyFont="1" applyAlignment="1">
      <alignment horizontal="center" vertical="center"/>
    </xf>
    <xf numFmtId="0" fontId="139" fillId="0" borderId="43" xfId="0" applyFont="1" applyBorder="1" applyAlignment="1">
      <alignment horizontal="center" vertical="center"/>
    </xf>
    <xf numFmtId="0" fontId="139" fillId="0" borderId="42" xfId="0" applyFont="1" applyBorder="1" applyAlignment="1">
      <alignment horizontal="center" vertical="center"/>
    </xf>
    <xf numFmtId="0" fontId="125" fillId="0" borderId="43" xfId="0" applyFont="1" applyBorder="1" applyAlignment="1">
      <alignment horizontal="center" vertical="center"/>
    </xf>
    <xf numFmtId="0" fontId="125" fillId="0" borderId="56" xfId="0" applyFont="1" applyBorder="1" applyAlignment="1">
      <alignment horizontal="center" vertical="center"/>
    </xf>
    <xf numFmtId="0" fontId="125" fillId="0" borderId="65" xfId="0" applyFont="1" applyBorder="1" applyAlignment="1">
      <alignment horizontal="center" vertical="center"/>
    </xf>
    <xf numFmtId="0" fontId="258" fillId="0" borderId="43" xfId="0" applyFont="1" applyBorder="1">
      <alignment vertical="center"/>
    </xf>
    <xf numFmtId="177" fontId="131" fillId="0" borderId="1" xfId="1" applyNumberFormat="1" applyFont="1" applyFill="1" applyBorder="1" applyAlignment="1" applyProtection="1">
      <alignment vertical="center"/>
      <protection locked="0"/>
    </xf>
    <xf numFmtId="186" fontId="47" fillId="17"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20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82" fontId="61" fillId="0" borderId="5" xfId="0" applyNumberFormat="1" applyFont="1" applyFill="1" applyBorder="1" applyAlignment="1" applyProtection="1">
      <alignment horizontal="center" vertical="center" wrapText="1"/>
    </xf>
    <xf numFmtId="182" fontId="61" fillId="0" borderId="54" xfId="0" applyNumberFormat="1" applyFont="1" applyFill="1" applyBorder="1" applyAlignment="1" applyProtection="1">
      <alignment horizontal="center" vertical="center" wrapText="1"/>
    </xf>
    <xf numFmtId="182" fontId="61" fillId="0" borderId="3" xfId="0" applyNumberFormat="1"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182" fontId="61" fillId="0" borderId="78"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wrapText="1"/>
    </xf>
    <xf numFmtId="0" fontId="47" fillId="17"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39" fillId="0" borderId="63" xfId="0" applyFont="1" applyBorder="1" applyAlignment="1">
      <alignment horizontal="center" vertical="center"/>
    </xf>
    <xf numFmtId="0" fontId="139" fillId="0" borderId="65" xfId="0" applyFont="1" applyBorder="1" applyAlignment="1">
      <alignment horizontal="center" vertical="center"/>
    </xf>
    <xf numFmtId="0" fontId="139" fillId="0" borderId="159" xfId="0" applyFont="1" applyBorder="1" applyAlignment="1">
      <alignment horizontal="center" vertical="center"/>
    </xf>
    <xf numFmtId="0" fontId="125" fillId="0" borderId="27" xfId="0" applyFont="1" applyBorder="1" applyAlignment="1">
      <alignment horizontal="center" vertical="center"/>
    </xf>
    <xf numFmtId="0" fontId="125" fillId="0" borderId="80" xfId="0" applyFont="1" applyBorder="1" applyAlignment="1">
      <alignment horizontal="center" vertical="center"/>
    </xf>
    <xf numFmtId="0" fontId="125" fillId="0" borderId="158" xfId="0" applyFont="1" applyBorder="1" applyAlignment="1">
      <alignment horizontal="center" vertical="center"/>
    </xf>
    <xf numFmtId="0" fontId="125" fillId="0" borderId="81" xfId="0" applyFont="1" applyBorder="1" applyAlignment="1">
      <alignment horizontal="center" vertical="center"/>
    </xf>
    <xf numFmtId="49" fontId="138" fillId="0" borderId="13" xfId="17" applyNumberFormat="1" applyFont="1" applyBorder="1" applyAlignment="1">
      <alignment horizontal="center" vertical="center" wrapText="1"/>
    </xf>
    <xf numFmtId="49" fontId="251" fillId="0" borderId="2" xfId="17" applyNumberFormat="1" applyFont="1" applyBorder="1" applyAlignment="1">
      <alignment horizontal="center" vertical="center" wrapText="1"/>
    </xf>
    <xf numFmtId="0" fontId="123" fillId="0" borderId="4" xfId="0" applyFont="1" applyBorder="1" applyAlignment="1">
      <alignment horizontal="center" vertical="center"/>
    </xf>
    <xf numFmtId="0" fontId="123" fillId="0" borderId="60" xfId="0" applyFont="1" applyBorder="1" applyAlignment="1">
      <alignment horizontal="center" vertical="center"/>
    </xf>
    <xf numFmtId="0" fontId="138" fillId="0" borderId="13" xfId="17" applyFont="1" applyBorder="1" applyAlignment="1">
      <alignment horizontal="center" vertical="center"/>
    </xf>
    <xf numFmtId="0" fontId="251" fillId="0" borderId="2" xfId="17" applyFont="1" applyBorder="1" applyAlignment="1">
      <alignment horizontal="center" vertical="center"/>
    </xf>
    <xf numFmtId="0" fontId="138" fillId="0" borderId="22" xfId="17" applyFont="1" applyBorder="1" applyAlignment="1">
      <alignment horizontal="center" vertical="center"/>
    </xf>
    <xf numFmtId="0" fontId="251" fillId="0" borderId="7" xfId="17" applyFont="1" applyBorder="1" applyAlignment="1">
      <alignment horizontal="center" vertical="center"/>
    </xf>
    <xf numFmtId="0" fontId="136" fillId="0" borderId="13" xfId="17" applyFont="1" applyBorder="1" applyAlignment="1">
      <alignment horizontal="center" vertical="center"/>
    </xf>
    <xf numFmtId="0" fontId="252" fillId="0" borderId="2" xfId="17" applyFont="1" applyBorder="1" applyAlignment="1">
      <alignment horizontal="center" vertical="center"/>
    </xf>
    <xf numFmtId="176" fontId="138" fillId="0" borderId="13" xfId="0" applyNumberFormat="1" applyFont="1" applyBorder="1" applyAlignment="1" applyProtection="1">
      <alignment horizontal="center" vertical="center"/>
      <protection locked="0"/>
    </xf>
    <xf numFmtId="176" fontId="251" fillId="0" borderId="2" xfId="0" applyNumberFormat="1" applyFont="1" applyBorder="1" applyAlignment="1" applyProtection="1">
      <alignment horizontal="center"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182" fontId="44" fillId="6" borderId="5" xfId="0" applyNumberFormat="1" applyFont="1" applyFill="1" applyBorder="1" applyAlignment="1" applyProtection="1">
      <alignment horizontal="left" vertical="center" wrapText="1"/>
    </xf>
    <xf numFmtId="182" fontId="44" fillId="6" borderId="3" xfId="0" applyNumberFormat="1" applyFont="1" applyFill="1" applyBorder="1" applyAlignment="1" applyProtection="1">
      <alignment horizontal="left" vertical="center" wrapText="1"/>
    </xf>
    <xf numFmtId="182" fontId="44" fillId="6" borderId="54"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6"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6" fontId="50" fillId="19"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00" fillId="6" borderId="23" xfId="0" applyFont="1" applyFill="1" applyBorder="1" applyAlignment="1" applyProtection="1">
      <alignment horizontal="center"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36" fillId="6" borderId="37" xfId="0" applyFont="1" applyFill="1" applyBorder="1" applyAlignment="1">
      <alignment horizontal="left" vertical="center"/>
    </xf>
    <xf numFmtId="0" fontId="136" fillId="6" borderId="54" xfId="0" applyFont="1" applyFill="1" applyBorder="1" applyAlignment="1">
      <alignment horizontal="left" vertical="center"/>
    </xf>
    <xf numFmtId="0" fontId="136" fillId="6" borderId="3" xfId="0" applyFont="1" applyFill="1" applyBorder="1" applyAlignment="1">
      <alignment horizontal="left" vertical="center"/>
    </xf>
    <xf numFmtId="0" fontId="138" fillId="6" borderId="1" xfId="0" applyFont="1" applyFill="1" applyBorder="1" applyAlignment="1">
      <alignment horizontal="center" vertical="center"/>
    </xf>
    <xf numFmtId="0" fontId="138" fillId="6" borderId="24" xfId="0" applyFont="1" applyFill="1" applyBorder="1" applyAlignment="1">
      <alignment horizontal="center" vertical="center"/>
    </xf>
    <xf numFmtId="0" fontId="81"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1" fillId="0" borderId="1" xfId="0" applyFont="1" applyFill="1" applyBorder="1" applyAlignment="1">
      <alignment horizontal="center" vertical="center"/>
    </xf>
    <xf numFmtId="0" fontId="19" fillId="0" borderId="1" xfId="0" applyFont="1" applyBorder="1" applyAlignment="1"/>
    <xf numFmtId="0" fontId="81" fillId="6" borderId="1" xfId="0" applyFont="1" applyFill="1" applyBorder="1" applyAlignment="1">
      <alignment horizontal="left" vertical="center" wrapText="1"/>
    </xf>
    <xf numFmtId="0" fontId="139" fillId="6" borderId="55" xfId="0" applyFont="1" applyFill="1" applyBorder="1" applyAlignment="1">
      <alignment vertical="center"/>
    </xf>
    <xf numFmtId="0" fontId="139" fillId="6" borderId="36" xfId="0" applyFont="1" applyFill="1" applyBorder="1" applyAlignment="1">
      <alignment vertical="center"/>
    </xf>
    <xf numFmtId="0" fontId="139" fillId="6" borderId="22" xfId="0" applyFont="1" applyFill="1" applyBorder="1" applyAlignment="1">
      <alignment vertical="center"/>
    </xf>
    <xf numFmtId="0" fontId="139" fillId="6" borderId="42" xfId="0" applyFont="1" applyFill="1" applyBorder="1" applyAlignment="1">
      <alignment vertical="center"/>
    </xf>
    <xf numFmtId="0" fontId="139" fillId="6" borderId="47" xfId="0" applyFont="1" applyFill="1" applyBorder="1" applyAlignment="1">
      <alignment vertical="center"/>
    </xf>
    <xf numFmtId="0" fontId="139" fillId="6" borderId="73" xfId="0" applyFont="1" applyFill="1" applyBorder="1" applyAlignment="1">
      <alignment vertical="center"/>
    </xf>
    <xf numFmtId="0" fontId="81" fillId="11" borderId="1" xfId="0" applyFont="1" applyFill="1" applyBorder="1" applyAlignment="1">
      <alignment horizontal="center" vertical="center"/>
    </xf>
    <xf numFmtId="0" fontId="19" fillId="0" borderId="1" xfId="0" applyFont="1" applyBorder="1" applyAlignment="1">
      <alignment horizontal="center"/>
    </xf>
    <xf numFmtId="0" fontId="139" fillId="11" borderId="5" xfId="0" applyFont="1" applyFill="1" applyBorder="1" applyAlignment="1">
      <alignment horizontal="left" vertical="center"/>
    </xf>
    <xf numFmtId="0" fontId="139" fillId="11" borderId="54" xfId="0" applyFont="1" applyFill="1" applyBorder="1" applyAlignment="1">
      <alignment horizontal="left" vertical="center"/>
    </xf>
    <xf numFmtId="0" fontId="139" fillId="11" borderId="3" xfId="0" applyFont="1" applyFill="1" applyBorder="1" applyAlignment="1">
      <alignment horizontal="left" vertical="center"/>
    </xf>
    <xf numFmtId="0" fontId="50" fillId="19"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center" vertical="center"/>
    </xf>
    <xf numFmtId="0" fontId="100" fillId="0" borderId="0" xfId="0" applyFont="1" applyAlignment="1" applyProtection="1">
      <alignment horizontal="left" vertical="center"/>
    </xf>
    <xf numFmtId="0" fontId="100" fillId="6" borderId="1" xfId="0" applyFont="1" applyFill="1" applyBorder="1" applyAlignment="1" applyProtection="1">
      <alignment horizontal="center" vertical="center"/>
    </xf>
    <xf numFmtId="0" fontId="100" fillId="6" borderId="13" xfId="0" applyFont="1" applyFill="1" applyBorder="1" applyAlignment="1" applyProtection="1">
      <alignment horizontal="center" vertical="center"/>
    </xf>
    <xf numFmtId="0" fontId="100" fillId="6" borderId="15" xfId="0" applyFont="1" applyFill="1" applyBorder="1" applyAlignment="1" applyProtection="1">
      <alignment horizontal="center" vertical="center"/>
    </xf>
    <xf numFmtId="0" fontId="100" fillId="6" borderId="2" xfId="0" applyFont="1" applyFill="1" applyBorder="1" applyAlignment="1" applyProtection="1">
      <alignment horizontal="center" vertical="center"/>
    </xf>
    <xf numFmtId="0" fontId="100" fillId="6" borderId="1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2" fillId="6" borderId="2" xfId="0" applyFont="1" applyFill="1" applyBorder="1" applyAlignment="1" applyProtection="1">
      <alignment vertical="center" wrapText="1"/>
    </xf>
    <xf numFmtId="0" fontId="53" fillId="6" borderId="29"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141" fillId="6" borderId="13" xfId="0" applyFont="1" applyFill="1" applyBorder="1" applyAlignment="1" applyProtection="1">
      <alignment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53" fillId="6" borderId="14" xfId="0" applyNumberFormat="1" applyFont="1" applyFill="1" applyBorder="1" applyAlignment="1" applyProtection="1">
      <alignment horizontal="center" vertical="center" wrapText="1"/>
    </xf>
    <xf numFmtId="49" fontId="99" fillId="6" borderId="18" xfId="0" applyNumberFormat="1" applyFont="1" applyFill="1" applyBorder="1" applyAlignment="1" applyProtection="1">
      <alignment horizontal="center" vertical="center" wrapText="1"/>
    </xf>
    <xf numFmtId="49" fontId="99" fillId="6" borderId="12"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39" fillId="0" borderId="0" xfId="9" applyFont="1" applyAlignment="1">
      <alignment horizontal="left" vertical="center"/>
    </xf>
    <xf numFmtId="0" fontId="103" fillId="0" borderId="0" xfId="9" applyFont="1" applyAlignment="1">
      <alignment horizontal="left" vertical="center"/>
    </xf>
    <xf numFmtId="0" fontId="146" fillId="12" borderId="131" xfId="9" applyFont="1" applyFill="1" applyBorder="1" applyAlignment="1" applyProtection="1">
      <alignment horizontal="left" vertical="center" wrapText="1"/>
    </xf>
    <xf numFmtId="0" fontId="146" fillId="12" borderId="125" xfId="9" applyFont="1" applyFill="1" applyBorder="1" applyAlignment="1" applyProtection="1">
      <alignment horizontal="left" vertical="center" wrapText="1"/>
    </xf>
    <xf numFmtId="0" fontId="146" fillId="12"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2" borderId="122" xfId="9" applyFont="1" applyFill="1" applyBorder="1" applyAlignment="1" applyProtection="1">
      <alignment horizontal="left" vertical="center" wrapText="1"/>
    </xf>
    <xf numFmtId="0" fontId="100" fillId="12" borderId="131" xfId="9" applyFont="1" applyFill="1" applyBorder="1" applyAlignment="1" applyProtection="1">
      <alignment horizontal="left" vertical="center" wrapText="1"/>
    </xf>
    <xf numFmtId="0" fontId="100" fillId="12" borderId="125" xfId="9" applyFont="1" applyFill="1" applyBorder="1" applyAlignment="1" applyProtection="1">
      <alignment horizontal="left" vertical="center" wrapText="1"/>
    </xf>
    <xf numFmtId="0" fontId="100" fillId="12" borderId="127" xfId="9" applyFont="1" applyFill="1" applyBorder="1" applyAlignment="1" applyProtection="1">
      <alignment horizontal="left" vertical="center" wrapText="1"/>
    </xf>
    <xf numFmtId="0" fontId="146" fillId="12" borderId="153" xfId="9"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24" fillId="6" borderId="0" xfId="0" applyFont="1" applyFill="1" applyAlignment="1" applyProtection="1">
      <alignment horizontal="center" vertical="center"/>
    </xf>
    <xf numFmtId="0" fontId="113" fillId="6" borderId="0" xfId="0" applyFont="1" applyFill="1" applyBorder="1" applyAlignment="1" applyProtection="1">
      <alignment horizontal="left" vertical="center"/>
    </xf>
    <xf numFmtId="0" fontId="112" fillId="6" borderId="6" xfId="0" applyFont="1" applyFill="1" applyBorder="1" applyAlignment="1" applyProtection="1">
      <alignment horizontal="center" vertical="center" wrapText="1"/>
    </xf>
    <xf numFmtId="0" fontId="112" fillId="6" borderId="25" xfId="0" applyFont="1" applyFill="1" applyBorder="1" applyAlignment="1" applyProtection="1">
      <alignment horizontal="center" vertical="center" wrapText="1"/>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7"/>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151440</xdr:colOff>
      <xdr:row>0</xdr:row>
      <xdr:rowOff>0</xdr:rowOff>
    </xdr:from>
    <xdr:to>
      <xdr:col>12</xdr:col>
      <xdr:colOff>101600</xdr:colOff>
      <xdr:row>16</xdr:row>
      <xdr:rowOff>128786</xdr:rowOff>
    </xdr:to>
    <xdr:pic>
      <xdr:nvPicPr>
        <xdr:cNvPr id="2" name="图片 1">
          <a:extLst>
            <a:ext uri="{FF2B5EF4-FFF2-40B4-BE49-F238E27FC236}">
              <a16:creationId xmlns:a16="http://schemas.microsoft.com/office/drawing/2014/main" xmlns="" id="{274E1C60-9F82-43D0-AE17-F5791431952D}"/>
            </a:ext>
          </a:extLst>
        </xdr:cNvPr>
        <xdr:cNvPicPr>
          <a:picLocks noChangeAspect="1"/>
        </xdr:cNvPicPr>
      </xdr:nvPicPr>
      <xdr:blipFill>
        <a:blip xmlns:r="http://schemas.openxmlformats.org/officeDocument/2006/relationships" r:embed="rId1"/>
        <a:stretch>
          <a:fillRect/>
        </a:stretch>
      </xdr:blipFill>
      <xdr:spPr>
        <a:xfrm>
          <a:off x="151440" y="0"/>
          <a:ext cx="7265360" cy="2973586"/>
        </a:xfrm>
        <a:prstGeom prst="rect">
          <a:avLst/>
        </a:prstGeom>
      </xdr:spPr>
    </xdr:pic>
    <xdr:clientData/>
  </xdr:twoCellAnchor>
  <xdr:twoCellAnchor editAs="oneCell">
    <xdr:from>
      <xdr:col>0</xdr:col>
      <xdr:colOff>190501</xdr:colOff>
      <xdr:row>17</xdr:row>
      <xdr:rowOff>6350</xdr:rowOff>
    </xdr:from>
    <xdr:to>
      <xdr:col>12</xdr:col>
      <xdr:colOff>285751</xdr:colOff>
      <xdr:row>33</xdr:row>
      <xdr:rowOff>117403</xdr:rowOff>
    </xdr:to>
    <xdr:pic>
      <xdr:nvPicPr>
        <xdr:cNvPr id="3" name="图片 2">
          <a:extLst>
            <a:ext uri="{FF2B5EF4-FFF2-40B4-BE49-F238E27FC236}">
              <a16:creationId xmlns:a16="http://schemas.microsoft.com/office/drawing/2014/main" xmlns="" id="{5D34E4B4-5B41-4AA8-AA96-0B966363321F}"/>
            </a:ext>
          </a:extLst>
        </xdr:cNvPr>
        <xdr:cNvPicPr>
          <a:picLocks noChangeAspect="1"/>
        </xdr:cNvPicPr>
      </xdr:nvPicPr>
      <xdr:blipFill>
        <a:blip xmlns:r="http://schemas.openxmlformats.org/officeDocument/2006/relationships" r:embed="rId2"/>
        <a:stretch>
          <a:fillRect/>
        </a:stretch>
      </xdr:blipFill>
      <xdr:spPr>
        <a:xfrm>
          <a:off x="190501" y="3028950"/>
          <a:ext cx="7410450" cy="2955853"/>
        </a:xfrm>
        <a:prstGeom prst="rect">
          <a:avLst/>
        </a:prstGeom>
      </xdr:spPr>
    </xdr:pic>
    <xdr:clientData/>
  </xdr:twoCellAnchor>
  <xdr:twoCellAnchor editAs="oneCell">
    <xdr:from>
      <xdr:col>0</xdr:col>
      <xdr:colOff>159402</xdr:colOff>
      <xdr:row>34</xdr:row>
      <xdr:rowOff>25400</xdr:rowOff>
    </xdr:from>
    <xdr:to>
      <xdr:col>13</xdr:col>
      <xdr:colOff>36214</xdr:colOff>
      <xdr:row>52</xdr:row>
      <xdr:rowOff>139700</xdr:rowOff>
    </xdr:to>
    <xdr:pic>
      <xdr:nvPicPr>
        <xdr:cNvPr id="4" name="图片 3">
          <a:extLst>
            <a:ext uri="{FF2B5EF4-FFF2-40B4-BE49-F238E27FC236}">
              <a16:creationId xmlns:a16="http://schemas.microsoft.com/office/drawing/2014/main" xmlns="" id="{6EA6721B-4054-4B11-9E1B-A301A355F52E}"/>
            </a:ext>
          </a:extLst>
        </xdr:cNvPr>
        <xdr:cNvPicPr>
          <a:picLocks noChangeAspect="1"/>
        </xdr:cNvPicPr>
      </xdr:nvPicPr>
      <xdr:blipFill>
        <a:blip xmlns:r="http://schemas.openxmlformats.org/officeDocument/2006/relationships" r:embed="rId3"/>
        <a:stretch>
          <a:fillRect/>
        </a:stretch>
      </xdr:blipFill>
      <xdr:spPr>
        <a:xfrm>
          <a:off x="159402" y="6070600"/>
          <a:ext cx="7801612" cy="3314700"/>
        </a:xfrm>
        <a:prstGeom prst="rect">
          <a:avLst/>
        </a:prstGeom>
      </xdr:spPr>
    </xdr:pic>
    <xdr:clientData/>
  </xdr:twoCellAnchor>
  <xdr:twoCellAnchor editAs="oneCell">
    <xdr:from>
      <xdr:col>12</xdr:col>
      <xdr:colOff>444500</xdr:colOff>
      <xdr:row>15</xdr:row>
      <xdr:rowOff>31750</xdr:rowOff>
    </xdr:from>
    <xdr:to>
      <xdr:col>25</xdr:col>
      <xdr:colOff>5083</xdr:colOff>
      <xdr:row>28</xdr:row>
      <xdr:rowOff>140436</xdr:rowOff>
    </xdr:to>
    <xdr:pic>
      <xdr:nvPicPr>
        <xdr:cNvPr id="5" name="图片 4">
          <a:extLst>
            <a:ext uri="{FF2B5EF4-FFF2-40B4-BE49-F238E27FC236}">
              <a16:creationId xmlns:a16="http://schemas.microsoft.com/office/drawing/2014/main" xmlns="" id="{4A21B936-3FD9-42F9-9B9C-2BCFCC7E13C3}"/>
            </a:ext>
          </a:extLst>
        </xdr:cNvPr>
        <xdr:cNvPicPr>
          <a:picLocks noChangeAspect="1"/>
        </xdr:cNvPicPr>
      </xdr:nvPicPr>
      <xdr:blipFill>
        <a:blip xmlns:r="http://schemas.openxmlformats.org/officeDocument/2006/relationships" r:embed="rId4"/>
        <a:stretch>
          <a:fillRect/>
        </a:stretch>
      </xdr:blipFill>
      <xdr:spPr>
        <a:xfrm>
          <a:off x="7759700" y="2698750"/>
          <a:ext cx="7485383" cy="2420086"/>
        </a:xfrm>
        <a:prstGeom prst="rect">
          <a:avLst/>
        </a:prstGeom>
      </xdr:spPr>
    </xdr:pic>
    <xdr:clientData/>
  </xdr:twoCellAnchor>
  <xdr:twoCellAnchor editAs="oneCell">
    <xdr:from>
      <xdr:col>12</xdr:col>
      <xdr:colOff>482600</xdr:colOff>
      <xdr:row>22</xdr:row>
      <xdr:rowOff>133350</xdr:rowOff>
    </xdr:from>
    <xdr:to>
      <xdr:col>22</xdr:col>
      <xdr:colOff>297076</xdr:colOff>
      <xdr:row>40</xdr:row>
      <xdr:rowOff>41839</xdr:rowOff>
    </xdr:to>
    <xdr:pic>
      <xdr:nvPicPr>
        <xdr:cNvPr id="6" name="图片 5">
          <a:extLst>
            <a:ext uri="{FF2B5EF4-FFF2-40B4-BE49-F238E27FC236}">
              <a16:creationId xmlns:a16="http://schemas.microsoft.com/office/drawing/2014/main" xmlns="" id="{16B51763-9C23-4FD2-8A1B-88A931444E5B}"/>
            </a:ext>
          </a:extLst>
        </xdr:cNvPr>
        <xdr:cNvPicPr>
          <a:picLocks noChangeAspect="1"/>
        </xdr:cNvPicPr>
      </xdr:nvPicPr>
      <xdr:blipFill>
        <a:blip xmlns:r="http://schemas.openxmlformats.org/officeDocument/2006/relationships" r:embed="rId5"/>
        <a:stretch>
          <a:fillRect/>
        </a:stretch>
      </xdr:blipFill>
      <xdr:spPr>
        <a:xfrm>
          <a:off x="7797800" y="4044950"/>
          <a:ext cx="5910476" cy="3108889"/>
        </a:xfrm>
        <a:prstGeom prst="rect">
          <a:avLst/>
        </a:prstGeom>
      </xdr:spPr>
    </xdr:pic>
    <xdr:clientData/>
  </xdr:twoCellAnchor>
  <xdr:twoCellAnchor editAs="oneCell">
    <xdr:from>
      <xdr:col>0</xdr:col>
      <xdr:colOff>234950</xdr:colOff>
      <xdr:row>53</xdr:row>
      <xdr:rowOff>57150</xdr:rowOff>
    </xdr:from>
    <xdr:to>
      <xdr:col>15</xdr:col>
      <xdr:colOff>112521</xdr:colOff>
      <xdr:row>80</xdr:row>
      <xdr:rowOff>8877</xdr:rowOff>
    </xdr:to>
    <xdr:pic>
      <xdr:nvPicPr>
        <xdr:cNvPr id="7" name="图片 6">
          <a:extLst>
            <a:ext uri="{FF2B5EF4-FFF2-40B4-BE49-F238E27FC236}">
              <a16:creationId xmlns:a16="http://schemas.microsoft.com/office/drawing/2014/main" xmlns="" id="{7522DE94-6F6A-4BB6-AF30-F8D0A50A8086}"/>
            </a:ext>
          </a:extLst>
        </xdr:cNvPr>
        <xdr:cNvPicPr>
          <a:picLocks noChangeAspect="1"/>
        </xdr:cNvPicPr>
      </xdr:nvPicPr>
      <xdr:blipFill>
        <a:blip xmlns:r="http://schemas.openxmlformats.org/officeDocument/2006/relationships" r:embed="rId6"/>
        <a:stretch>
          <a:fillRect/>
        </a:stretch>
      </xdr:blipFill>
      <xdr:spPr>
        <a:xfrm>
          <a:off x="234950" y="9480550"/>
          <a:ext cx="9021571" cy="4752327"/>
        </a:xfrm>
        <a:prstGeom prst="rect">
          <a:avLst/>
        </a:prstGeom>
      </xdr:spPr>
    </xdr:pic>
    <xdr:clientData/>
  </xdr:twoCellAnchor>
  <xdr:twoCellAnchor editAs="oneCell">
    <xdr:from>
      <xdr:col>0</xdr:col>
      <xdr:colOff>245808</xdr:colOff>
      <xdr:row>80</xdr:row>
      <xdr:rowOff>82550</xdr:rowOff>
    </xdr:from>
    <xdr:to>
      <xdr:col>14</xdr:col>
      <xdr:colOff>552450</xdr:colOff>
      <xdr:row>106</xdr:row>
      <xdr:rowOff>122041</xdr:rowOff>
    </xdr:to>
    <xdr:pic>
      <xdr:nvPicPr>
        <xdr:cNvPr id="8" name="图片 7">
          <a:extLst>
            <a:ext uri="{FF2B5EF4-FFF2-40B4-BE49-F238E27FC236}">
              <a16:creationId xmlns:a16="http://schemas.microsoft.com/office/drawing/2014/main" xmlns="" id="{68D76F5D-88F3-4707-8A03-74498E48659B}"/>
            </a:ext>
          </a:extLst>
        </xdr:cNvPr>
        <xdr:cNvPicPr>
          <a:picLocks noChangeAspect="1"/>
        </xdr:cNvPicPr>
      </xdr:nvPicPr>
      <xdr:blipFill>
        <a:blip xmlns:r="http://schemas.openxmlformats.org/officeDocument/2006/relationships" r:embed="rId7"/>
        <a:stretch>
          <a:fillRect/>
        </a:stretch>
      </xdr:blipFill>
      <xdr:spPr>
        <a:xfrm>
          <a:off x="245808" y="14306550"/>
          <a:ext cx="8841042" cy="46622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1163</v>
      </c>
      <c r="B1" s="1354" t="s">
        <v>1242</v>
      </c>
    </row>
    <row r="2" spans="1:2" s="1359" customFormat="1" ht="15" thickTop="1">
      <c r="A2" s="1357" t="s">
        <v>1164</v>
      </c>
      <c r="B2" s="1358" t="str">
        <f>'预评函-封皮'!B37:I37</f>
        <v>出让国有建设用地使用权及在建建筑物预评估</v>
      </c>
    </row>
    <row r="3" spans="1:2" s="1362" customFormat="1">
      <c r="A3" s="1360" t="s">
        <v>1165</v>
      </c>
      <c r="B3" s="1361">
        <f>'预评函-封皮'!B40</f>
        <v>0</v>
      </c>
    </row>
    <row r="4" spans="1:2" s="1362" customFormat="1">
      <c r="A4" s="1360" t="s">
        <v>1166</v>
      </c>
      <c r="B4" s="1361" t="str">
        <f>'预评函-封皮'!B46</f>
        <v>（注册号：0)、（注册号：0)</v>
      </c>
    </row>
    <row r="5" spans="1:2" s="1356" customFormat="1" ht="15" thickBot="1">
      <c r="A5" s="1363" t="s">
        <v>1167</v>
      </c>
      <c r="B5" s="1364" t="str">
        <f>'预评函-封皮'!B49</f>
        <v>康正预评字号</v>
      </c>
    </row>
    <row r="6" spans="1:2" s="1359" customFormat="1" ht="15" thickTop="1">
      <c r="A6" s="1357" t="s">
        <v>1168</v>
      </c>
      <c r="B6" s="1358" t="str">
        <f>'预评函-1'!A4</f>
        <v>受贵公司委托，我公司对出让国有建设用地使用权及在建建筑物房地产抵押价值进行了预评估。</v>
      </c>
    </row>
    <row r="7" spans="1:2" s="1362" customFormat="1">
      <c r="A7" s="1360" t="s">
        <v>1208</v>
      </c>
      <c r="B7" s="1361" t="str">
        <f>'预评函-1'!A7</f>
        <v>估价对象为出让国有建设用地使用权及在建建筑物房地产，为所有。根据《国有土地使用证》[]，估价对象（分摊）出让国有建设用地使用权面积为71942平方米，建筑面积为125203.41平方米。</v>
      </c>
    </row>
    <row r="8" spans="1:2" s="1362" customFormat="1">
      <c r="A8" s="1360" t="s">
        <v>1209</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1210</v>
      </c>
      <c r="B9" s="1361" t="str">
        <f>'预评函-1'!A10</f>
        <v>估价对象为出让国有建设用地使用权及在建建筑物房地产,属开发建设的，该项目尚在开发建设中。根据《国有土地使用证》[]，估价对象（分摊）出让国有建设用地使用权面积为71942平方米，规划建筑面积为125203.41平方米。</v>
      </c>
    </row>
    <row r="10" spans="1:2" s="1362" customFormat="1">
      <c r="A10" s="1360" t="s">
        <v>1211</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1169</v>
      </c>
      <c r="B11" s="1361" t="str">
        <f>'预评函-1'!A13</f>
        <v>为估价委托人了解估价对象房地产市场价值提供参考依据。</v>
      </c>
    </row>
    <row r="12" spans="1:2" s="1362" customFormat="1">
      <c r="A12" s="1360" t="s">
        <v>1170</v>
      </c>
      <c r="B12" s="1361" t="str">
        <f>'预评函-1'!A15</f>
        <v>2021年2月9日</v>
      </c>
    </row>
    <row r="13" spans="1:2" s="1362" customFormat="1">
      <c r="A13" s="1360" t="s">
        <v>1171</v>
      </c>
      <c r="B13" s="1361" t="str">
        <f>'预评函-1'!A18</f>
        <v>本次估价的“房地产价值”是指在正常市场情况下，在价值时点2021年2月9日，估价对象规划用途为，土地取得方式为出让，出让国有建设用地使用权剩余土地使用年限为，假定未设立法定优先受偿款下的房地产市场价值。</v>
      </c>
    </row>
    <row r="14" spans="1:2" s="1362" customFormat="1">
      <c r="A14" s="1360" t="s">
        <v>1172</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1173</v>
      </c>
      <c r="B15" s="13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1174</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1175</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1176</v>
      </c>
      <c r="B18" s="1364" t="str">
        <f>'预评函-1'!A24</f>
        <v>本次评估采用的主估价方法为成本法和假设开发法。</v>
      </c>
    </row>
    <row r="19" spans="1:2" s="1359" customFormat="1" ht="15" thickTop="1">
      <c r="A19" s="1357" t="s">
        <v>1177</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1178</v>
      </c>
      <c r="B20" s="1361">
        <f ca="1">'预评函-2'!D5</f>
        <v>168952</v>
      </c>
    </row>
    <row r="21" spans="1:2" s="1362" customFormat="1">
      <c r="A21" s="1360" t="s">
        <v>1179</v>
      </c>
      <c r="B21" s="1361">
        <f ca="1">'预评函-2'!D7</f>
        <v>13494</v>
      </c>
    </row>
    <row r="22" spans="1:2" s="1362" customFormat="1">
      <c r="A22" s="1360" t="s">
        <v>1180</v>
      </c>
      <c r="B22" s="1361" t="str">
        <f ca="1">'预评函-2'!D6</f>
        <v>壹拾陆亿捌仟玖佰伍拾贰万元整</v>
      </c>
    </row>
    <row r="23" spans="1:2" s="1362" customFormat="1">
      <c r="A23" s="1360" t="s">
        <v>1231</v>
      </c>
      <c r="B23" s="1361" t="str">
        <f>'预评函-2'!B8</f>
        <v>2.估价师知悉的法定优先受偿款</v>
      </c>
    </row>
    <row r="24" spans="1:2" s="1362" customFormat="1">
      <c r="A24" s="1360" t="s">
        <v>1237</v>
      </c>
      <c r="B24" s="1361">
        <f>'预评函-2'!D8</f>
        <v>0</v>
      </c>
    </row>
    <row r="25" spans="1:2" s="1362" customFormat="1">
      <c r="A25" s="1360" t="s">
        <v>1181</v>
      </c>
      <c r="B25" s="1361" t="str">
        <f>'预评函-2'!D9</f>
        <v>零元整</v>
      </c>
    </row>
    <row r="26" spans="1:2" s="1362" customFormat="1">
      <c r="A26" s="1360" t="s">
        <v>1182</v>
      </c>
      <c r="B26" s="1361">
        <f>'预评函-2'!D10</f>
        <v>0</v>
      </c>
    </row>
    <row r="27" spans="1:2" s="1362" customFormat="1">
      <c r="A27" s="1360" t="s">
        <v>1183</v>
      </c>
      <c r="B27" s="1361">
        <f>'预评函-2'!D11</f>
        <v>0</v>
      </c>
    </row>
    <row r="28" spans="1:2" s="1362" customFormat="1">
      <c r="A28" s="1360" t="s">
        <v>1184</v>
      </c>
      <c r="B28" s="1361">
        <f>'预评函-2'!D12</f>
        <v>0</v>
      </c>
    </row>
    <row r="29" spans="1:2" s="1362" customFormat="1">
      <c r="A29" s="1360" t="s">
        <v>1235</v>
      </c>
      <c r="B29" s="1361" t="str">
        <f>'预评函-2'!B13</f>
        <v>3.房地产抵押价值</v>
      </c>
    </row>
    <row r="30" spans="1:2" s="1362" customFormat="1">
      <c r="A30" s="1360" t="s">
        <v>1236</v>
      </c>
      <c r="B30" s="1361">
        <f ca="1">'预评函-2'!D13</f>
        <v>168952</v>
      </c>
    </row>
    <row r="31" spans="1:2" s="1362" customFormat="1">
      <c r="A31" s="1360" t="s">
        <v>1218</v>
      </c>
      <c r="B31" s="1361">
        <f ca="1">'预评函-2'!D15</f>
        <v>13494</v>
      </c>
    </row>
    <row r="32" spans="1:2" s="1362" customFormat="1">
      <c r="A32" s="1360" t="s">
        <v>1185</v>
      </c>
      <c r="B32" s="1361" t="str">
        <f ca="1">'预评函-2'!D14</f>
        <v>壹拾陆亿捌仟玖佰伍拾贰万元整</v>
      </c>
    </row>
    <row r="33" spans="1:2" s="1362" customFormat="1">
      <c r="A33" s="1360" t="s">
        <v>1220</v>
      </c>
      <c r="B33" s="1361" t="str">
        <f>'预评函-2'!B16</f>
        <v>——</v>
      </c>
    </row>
    <row r="34" spans="1:2" s="1362" customFormat="1">
      <c r="A34" s="1360" t="s">
        <v>1238</v>
      </c>
      <c r="B34" s="1361" t="str">
        <f>'预评函-2'!D16</f>
        <v>——</v>
      </c>
    </row>
    <row r="35" spans="1:2" s="1362" customFormat="1">
      <c r="A35" s="1360" t="s">
        <v>1219</v>
      </c>
      <c r="B35" s="1361" t="str">
        <f>'预评函-2'!D18</f>
        <v>——</v>
      </c>
    </row>
    <row r="36" spans="1:2" s="1362" customFormat="1">
      <c r="A36" s="1360" t="s">
        <v>1186</v>
      </c>
      <c r="B36" s="1361" t="e">
        <f>'预评函-2'!D17</f>
        <v>#VALUE!</v>
      </c>
    </row>
    <row r="37" spans="1:2" s="1362" customFormat="1">
      <c r="A37" s="1360" t="s">
        <v>1221</v>
      </c>
      <c r="B37" s="1361" t="str">
        <f>'预评函-2'!B19</f>
        <v>——</v>
      </c>
    </row>
    <row r="38" spans="1:2" s="1362" customFormat="1">
      <c r="A38" s="1360" t="s">
        <v>1239</v>
      </c>
      <c r="B38" s="1361" t="str">
        <f>'预评函-2'!D19</f>
        <v>——</v>
      </c>
    </row>
    <row r="39" spans="1:2" s="1362" customFormat="1">
      <c r="A39" s="1360" t="s">
        <v>1187</v>
      </c>
      <c r="B39" s="1361" t="str">
        <f>'预评函-2'!D21</f>
        <v>——</v>
      </c>
    </row>
    <row r="40" spans="1:2" s="1362" customFormat="1">
      <c r="A40" s="1360" t="s">
        <v>1188</v>
      </c>
      <c r="B40" s="1361" t="e">
        <f>'预评函-2'!D20</f>
        <v>#VALUE!</v>
      </c>
    </row>
    <row r="41" spans="1:2" s="1362" customFormat="1">
      <c r="A41" s="1360" t="s">
        <v>1234</v>
      </c>
      <c r="B41" s="1361" t="str">
        <f>'预评函-3'!A4</f>
        <v>出让国有建设用地使用权及在建建筑物房地产</v>
      </c>
    </row>
    <row r="42" spans="1:2" s="1362" customFormat="1">
      <c r="A42" s="1360" t="s">
        <v>1232</v>
      </c>
      <c r="B42" s="1361" t="str">
        <f>'预评函-3'!B2</f>
        <v>建筑面积</v>
      </c>
    </row>
    <row r="43" spans="1:2" s="1362" customFormat="1">
      <c r="A43" s="1360" t="s">
        <v>1233</v>
      </c>
      <c r="B43" s="1361">
        <f>'预评函-3'!B4</f>
        <v>125203.41</v>
      </c>
    </row>
    <row r="44" spans="1:2" s="1362" customFormat="1">
      <c r="A44" s="1360" t="s">
        <v>1217</v>
      </c>
      <c r="B44" s="1361" t="str">
        <f>'预评函-3'!C2</f>
        <v>(分摊)土地面积</v>
      </c>
    </row>
    <row r="45" spans="1:2" s="1362" customFormat="1">
      <c r="A45" s="1360" t="s">
        <v>1189</v>
      </c>
      <c r="B45" s="1361">
        <f>'预评函-3'!C4</f>
        <v>71942</v>
      </c>
    </row>
    <row r="46" spans="1:2" s="1362" customFormat="1">
      <c r="A46" s="1360" t="s">
        <v>1215</v>
      </c>
      <c r="B46" s="1361" t="str">
        <f>'预评函-3'!D2</f>
        <v>出让国有建设用地使用权价值</v>
      </c>
    </row>
    <row r="47" spans="1:2" s="1362" customFormat="1">
      <c r="A47" s="1360" t="s">
        <v>1190</v>
      </c>
      <c r="B47" s="1361">
        <f ca="1">'预评函-3'!D4</f>
        <v>160673</v>
      </c>
    </row>
    <row r="48" spans="1:2" s="1362" customFormat="1">
      <c r="A48" s="1360" t="s">
        <v>1191</v>
      </c>
      <c r="B48" s="1361">
        <f ca="1">'预评函-3'!E4</f>
        <v>12833</v>
      </c>
    </row>
    <row r="49" spans="1:2" s="1362" customFormat="1">
      <c r="A49" s="1360" t="s">
        <v>1192</v>
      </c>
      <c r="B49" s="1361" t="str">
        <f ca="1">'预评函-3'!D5</f>
        <v>壹拾陆亿零陆佰柒拾叁万元整</v>
      </c>
    </row>
    <row r="50" spans="1:2" s="1362" customFormat="1">
      <c r="A50" s="1360" t="s">
        <v>1216</v>
      </c>
      <c r="B50" s="1361" t="str">
        <f>'预评函-3'!F2</f>
        <v>在建建筑物价值</v>
      </c>
    </row>
    <row r="51" spans="1:2" s="1362" customFormat="1">
      <c r="A51" s="1360" t="s">
        <v>1193</v>
      </c>
      <c r="B51" s="1361">
        <f ca="1">'预评函-3'!F4</f>
        <v>8279</v>
      </c>
    </row>
    <row r="52" spans="1:2" s="1362" customFormat="1">
      <c r="A52" s="1360" t="s">
        <v>1194</v>
      </c>
      <c r="B52" s="1361">
        <f ca="1">'预评函-3'!G4</f>
        <v>661</v>
      </c>
    </row>
    <row r="53" spans="1:2" s="1362" customFormat="1">
      <c r="A53" s="1360" t="s">
        <v>1222</v>
      </c>
      <c r="B53" s="1361" t="str">
        <f ca="1">'预评函-3'!F5</f>
        <v>捌仟贰佰柒拾玖万元整</v>
      </c>
    </row>
    <row r="54" spans="1:2" s="1362" customFormat="1">
      <c r="A54" s="1360" t="s">
        <v>1240</v>
      </c>
      <c r="B54" s="1361" t="str">
        <f>'预评函-3'!A8</f>
        <v>房地产抵押价值</v>
      </c>
    </row>
    <row r="55" spans="1:2" s="1362" customFormat="1">
      <c r="A55" s="1360" t="s">
        <v>1223</v>
      </c>
      <c r="B55" s="1361" t="str">
        <f>'预评函-3'!A10</f>
        <v/>
      </c>
    </row>
    <row r="56" spans="1:2" s="1362" customFormat="1">
      <c r="A56" s="1360" t="s">
        <v>1224</v>
      </c>
      <c r="B56" s="1361" t="str">
        <f>'预评函-3'!A12</f>
        <v/>
      </c>
    </row>
    <row r="57" spans="1:2" s="1356" customFormat="1" ht="15" thickBot="1">
      <c r="A57" s="1363" t="s">
        <v>1241</v>
      </c>
      <c r="B57" s="1364" t="str">
        <f>'预评函-3'!A6</f>
        <v>估价师知悉的法定优先受偿款</v>
      </c>
    </row>
    <row r="58" spans="1:2" s="1359" customFormat="1" ht="15" thickTop="1">
      <c r="A58" s="1357" t="s">
        <v>1195</v>
      </c>
      <c r="B58" s="1358" t="str">
        <f>'预评函-4'!A12</f>
        <v>2.本次评估设定估价对象房地产权属无争议，未被查封或者以其他形式限制其房地产权利，未设定抵押权等他项权利，不涉及第三方权利义务。</v>
      </c>
    </row>
    <row r="59" spans="1:2" s="1362" customFormat="1">
      <c r="A59" s="1360" t="s">
        <v>1196</v>
      </c>
      <c r="B59" s="1361" t="str">
        <f>'预评函-4'!A13</f>
        <v>——</v>
      </c>
    </row>
    <row r="60" spans="1:2" s="1362" customFormat="1">
      <c r="A60" s="1360" t="s">
        <v>1197</v>
      </c>
      <c r="B60" s="1361" t="str">
        <f>'预评函-4'!A14</f>
        <v>——</v>
      </c>
    </row>
    <row r="61" spans="1:2" s="1362" customFormat="1">
      <c r="A61" s="1360" t="s">
        <v>1198</v>
      </c>
      <c r="B61" s="1361" t="str">
        <f>'预评函-4'!A15</f>
        <v>——</v>
      </c>
    </row>
    <row r="62" spans="1:2" s="1362" customFormat="1">
      <c r="A62" s="1360" t="s">
        <v>1199</v>
      </c>
      <c r="B62" s="1361" t="str">
        <f>'预评函-4'!A16</f>
        <v>（2）根据《工程款支付情况说明》，截至价值时点，估价对象不存在应付未付工程款项。（只要没有施工方盖章的，均“设定”进行表述）</v>
      </c>
    </row>
    <row r="63" spans="1:2" s="1362" customFormat="1">
      <c r="A63" s="1360" t="s">
        <v>1200</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1212</v>
      </c>
      <c r="B64" s="1361" t="str">
        <f>'预评函-4'!A18</f>
        <v>——</v>
      </c>
    </row>
    <row r="65" spans="1:2" s="1362" customFormat="1">
      <c r="A65" s="1360" t="s">
        <v>1201</v>
      </c>
      <c r="B65" s="13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1202</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1213</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1214</v>
      </c>
      <c r="B68" s="1361" t="str">
        <f>'预评函-4'!A22</f>
        <v>8.其他需特殊说明事项：无（注意调整序号）</v>
      </c>
    </row>
    <row r="69" spans="1:2" s="1356" customFormat="1" ht="15" thickBot="1">
      <c r="A69" s="1363" t="s">
        <v>1203</v>
      </c>
      <c r="B69" s="1365">
        <f>'预评函-4'!C31</f>
        <v>42551</v>
      </c>
    </row>
    <row r="70" spans="1:2" ht="15" thickTop="1">
      <c r="A70" s="1366" t="s">
        <v>1204</v>
      </c>
      <c r="B70" s="1367">
        <f>'预评函-4'!A4</f>
        <v>0</v>
      </c>
    </row>
    <row r="71" spans="1:2">
      <c r="A71" s="1360" t="s">
        <v>1205</v>
      </c>
      <c r="B71" s="1361">
        <f>'预评函-4'!B4</f>
        <v>0</v>
      </c>
    </row>
    <row r="72" spans="1:2">
      <c r="A72" s="1360" t="s">
        <v>1206</v>
      </c>
      <c r="B72" s="1369">
        <f>'预评函-4'!A5</f>
        <v>0</v>
      </c>
    </row>
    <row r="73" spans="1:2" s="1356" customFormat="1" ht="15" thickBot="1">
      <c r="A73" s="1363" t="s">
        <v>1207</v>
      </c>
      <c r="B73" s="1364">
        <f>'预评函-4'!B5</f>
        <v>0</v>
      </c>
    </row>
    <row r="74" spans="1:2" ht="15" thickTop="1">
      <c r="A74" s="1353" t="s">
        <v>1243</v>
      </c>
      <c r="B74" s="1370"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125" style="1690" customWidth="1"/>
    <col min="3" max="3" width="13" style="1734" customWidth="1"/>
    <col min="4" max="4" width="5.8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48</v>
      </c>
      <c r="B1" s="1723" t="s">
        <v>1632</v>
      </c>
      <c r="C1" s="1724" t="s">
        <v>736</v>
      </c>
      <c r="D1" s="1725" t="s">
        <v>1633</v>
      </c>
      <c r="E1" s="1725" t="s">
        <v>1634</v>
      </c>
      <c r="F1" s="1725" t="s">
        <v>1635</v>
      </c>
      <c r="G1" s="1725" t="s">
        <v>1636</v>
      </c>
      <c r="H1" s="1725" t="s">
        <v>1637</v>
      </c>
      <c r="I1" s="1725" t="s">
        <v>1638</v>
      </c>
      <c r="J1" s="1725" t="s">
        <v>1639</v>
      </c>
      <c r="K1" s="1725" t="s">
        <v>1640</v>
      </c>
      <c r="L1" s="1725" t="s">
        <v>1641</v>
      </c>
      <c r="M1" s="1725" t="s">
        <v>1642</v>
      </c>
      <c r="N1" s="1725" t="s">
        <v>1643</v>
      </c>
      <c r="O1" s="1725" t="s">
        <v>1644</v>
      </c>
      <c r="P1" s="1726" t="s">
        <v>730</v>
      </c>
      <c r="Q1" s="1726" t="s">
        <v>1089</v>
      </c>
      <c r="R1" s="1725" t="s">
        <v>1083</v>
      </c>
      <c r="S1" s="1725" t="s">
        <v>1645</v>
      </c>
      <c r="T1" s="1727" t="s">
        <v>1646</v>
      </c>
      <c r="U1" s="1725" t="s">
        <v>1647</v>
      </c>
      <c r="V1" s="1725" t="s">
        <v>1648</v>
      </c>
      <c r="W1" s="1725" t="s">
        <v>732</v>
      </c>
    </row>
    <row r="2" spans="1:23">
      <c r="A2" s="1729" t="s">
        <v>19</v>
      </c>
      <c r="B2" s="1729" t="s">
        <v>1649</v>
      </c>
      <c r="C2" s="1730" t="s">
        <v>737</v>
      </c>
      <c r="D2" s="1731" t="s">
        <v>1650</v>
      </c>
      <c r="E2" s="1731" t="s">
        <v>1651</v>
      </c>
      <c r="F2" s="1731" t="s">
        <v>1652</v>
      </c>
      <c r="G2" s="1731">
        <v>40</v>
      </c>
      <c r="H2" s="1731" t="s">
        <v>1652</v>
      </c>
      <c r="I2" s="1731" t="s">
        <v>1653</v>
      </c>
      <c r="J2" s="1731" t="s">
        <v>1654</v>
      </c>
      <c r="K2" s="1731" t="s">
        <v>1655</v>
      </c>
      <c r="L2" s="1731" t="s">
        <v>1655</v>
      </c>
      <c r="M2" s="1731" t="s">
        <v>1655</v>
      </c>
      <c r="N2" s="1731" t="s">
        <v>1655</v>
      </c>
      <c r="O2" s="1731" t="s">
        <v>1655</v>
      </c>
      <c r="P2" s="1731" t="s">
        <v>1655</v>
      </c>
      <c r="Q2" s="1731" t="s">
        <v>1655</v>
      </c>
      <c r="R2" s="1731" t="s">
        <v>1085</v>
      </c>
      <c r="S2" s="1731" t="s">
        <v>1655</v>
      </c>
      <c r="T2" s="1731" t="s">
        <v>1656</v>
      </c>
      <c r="U2" s="1731" t="s">
        <v>1655</v>
      </c>
      <c r="V2" s="1731" t="s">
        <v>1657</v>
      </c>
      <c r="W2" s="1731" t="s">
        <v>1655</v>
      </c>
    </row>
    <row r="3" spans="1:23">
      <c r="A3" s="1729" t="s">
        <v>1658</v>
      </c>
      <c r="B3" s="1732" t="s">
        <v>1090</v>
      </c>
      <c r="C3" s="1733" t="s">
        <v>738</v>
      </c>
      <c r="D3" s="1731" t="s">
        <v>1659</v>
      </c>
      <c r="E3" s="1731" t="s">
        <v>13</v>
      </c>
      <c r="F3" s="1731" t="s">
        <v>1660</v>
      </c>
      <c r="G3" s="1731">
        <v>50</v>
      </c>
      <c r="H3" s="1731" t="s">
        <v>1660</v>
      </c>
      <c r="I3" s="1731" t="s">
        <v>1661</v>
      </c>
      <c r="J3" s="1731" t="s">
        <v>1662</v>
      </c>
      <c r="K3" s="1731" t="s">
        <v>1663</v>
      </c>
      <c r="L3" s="1731" t="s">
        <v>1663</v>
      </c>
      <c r="M3" s="1731" t="s">
        <v>1663</v>
      </c>
      <c r="N3" s="1731" t="s">
        <v>1663</v>
      </c>
      <c r="O3" s="1731" t="s">
        <v>1663</v>
      </c>
      <c r="P3" s="1731" t="s">
        <v>1663</v>
      </c>
      <c r="Q3" s="1731" t="s">
        <v>1663</v>
      </c>
      <c r="R3" s="1731" t="s">
        <v>1084</v>
      </c>
      <c r="S3" s="1731" t="s">
        <v>1663</v>
      </c>
      <c r="T3" s="1731" t="s">
        <v>1664</v>
      </c>
      <c r="U3" s="1731" t="s">
        <v>1663</v>
      </c>
      <c r="V3" s="1731" t="s">
        <v>1665</v>
      </c>
      <c r="W3" s="1731" t="s">
        <v>1663</v>
      </c>
    </row>
    <row r="4" spans="1:23">
      <c r="A4" s="1729" t="s">
        <v>1666</v>
      </c>
      <c r="B4" s="1729" t="s">
        <v>1667</v>
      </c>
      <c r="C4" s="1730" t="s">
        <v>739</v>
      </c>
      <c r="D4" s="1731" t="s">
        <v>813</v>
      </c>
      <c r="E4" s="1731" t="s">
        <v>1668</v>
      </c>
      <c r="F4" s="1731" t="s">
        <v>1669</v>
      </c>
      <c r="G4" s="1731">
        <v>70</v>
      </c>
      <c r="H4" s="1731" t="s">
        <v>1669</v>
      </c>
      <c r="I4" s="1731" t="s">
        <v>1670</v>
      </c>
      <c r="K4" s="1731" t="s">
        <v>1671</v>
      </c>
      <c r="L4" s="1731" t="s">
        <v>1671</v>
      </c>
      <c r="M4" s="1731" t="s">
        <v>1671</v>
      </c>
      <c r="N4" s="1731" t="s">
        <v>1671</v>
      </c>
      <c r="O4" s="1731" t="s">
        <v>1671</v>
      </c>
      <c r="P4" s="1731" t="s">
        <v>1671</v>
      </c>
      <c r="Q4" s="1731" t="s">
        <v>1671</v>
      </c>
      <c r="R4" s="1731" t="s">
        <v>1086</v>
      </c>
      <c r="S4" s="1731" t="s">
        <v>1671</v>
      </c>
      <c r="T4" s="1731" t="s">
        <v>1672</v>
      </c>
      <c r="U4" s="1731" t="s">
        <v>1671</v>
      </c>
      <c r="W4" s="1731" t="s">
        <v>1671</v>
      </c>
    </row>
    <row r="5" spans="1:23">
      <c r="A5" s="1729" t="s">
        <v>1673</v>
      </c>
      <c r="B5" s="1729" t="s">
        <v>1674</v>
      </c>
      <c r="C5" s="1730" t="s">
        <v>740</v>
      </c>
      <c r="F5" s="1731" t="s">
        <v>1675</v>
      </c>
      <c r="H5" s="1731" t="s">
        <v>1676</v>
      </c>
      <c r="I5" s="1731" t="s">
        <v>1677</v>
      </c>
      <c r="K5" s="1731" t="s">
        <v>1678</v>
      </c>
      <c r="L5" s="1731" t="s">
        <v>1678</v>
      </c>
      <c r="M5" s="1731" t="s">
        <v>1678</v>
      </c>
      <c r="N5" s="1731" t="s">
        <v>1678</v>
      </c>
      <c r="O5" s="1731" t="s">
        <v>1678</v>
      </c>
      <c r="P5" s="1731" t="s">
        <v>1678</v>
      </c>
      <c r="Q5" s="1731" t="s">
        <v>1678</v>
      </c>
      <c r="R5" s="1731" t="s">
        <v>1087</v>
      </c>
      <c r="S5" s="1731" t="s">
        <v>1678</v>
      </c>
      <c r="T5" s="1731" t="s">
        <v>1679</v>
      </c>
      <c r="U5" s="1731" t="s">
        <v>1678</v>
      </c>
      <c r="W5" s="1731" t="s">
        <v>1678</v>
      </c>
    </row>
    <row r="6" spans="1:23">
      <c r="A6" s="1729" t="s">
        <v>1680</v>
      </c>
      <c r="B6" s="1732" t="s">
        <v>1091</v>
      </c>
      <c r="C6" s="1735" t="s">
        <v>27</v>
      </c>
      <c r="F6" s="1731" t="s">
        <v>1676</v>
      </c>
      <c r="H6" s="1731" t="s">
        <v>1681</v>
      </c>
      <c r="I6" s="1731" t="s">
        <v>1682</v>
      </c>
      <c r="K6" s="1731" t="s">
        <v>1683</v>
      </c>
      <c r="L6" s="1731" t="s">
        <v>1683</v>
      </c>
      <c r="M6" s="1731" t="s">
        <v>1683</v>
      </c>
      <c r="N6" s="1731" t="s">
        <v>1683</v>
      </c>
      <c r="O6" s="1731" t="s">
        <v>1683</v>
      </c>
      <c r="P6" s="1731" t="s">
        <v>1683</v>
      </c>
      <c r="Q6" s="1731" t="s">
        <v>1683</v>
      </c>
      <c r="R6" s="1731" t="s">
        <v>1088</v>
      </c>
      <c r="S6" s="1731" t="s">
        <v>1683</v>
      </c>
      <c r="T6" s="1731"/>
      <c r="U6" s="1731" t="s">
        <v>1683</v>
      </c>
      <c r="W6" s="1731" t="s">
        <v>1683</v>
      </c>
    </row>
    <row r="7" spans="1:23">
      <c r="A7" s="1729" t="s">
        <v>1684</v>
      </c>
      <c r="B7" s="1732" t="s">
        <v>1092</v>
      </c>
      <c r="C7" s="1730" t="s">
        <v>28</v>
      </c>
      <c r="F7" s="1731" t="s">
        <v>1685</v>
      </c>
      <c r="H7" s="1731" t="s">
        <v>1686</v>
      </c>
      <c r="I7" s="1731" t="s">
        <v>1687</v>
      </c>
    </row>
    <row r="8" spans="1:23">
      <c r="A8" s="1729" t="s">
        <v>1688</v>
      </c>
      <c r="B8" s="1729" t="s">
        <v>1689</v>
      </c>
      <c r="C8" s="1730" t="s">
        <v>741</v>
      </c>
      <c r="F8" s="1731" t="s">
        <v>1690</v>
      </c>
      <c r="H8" s="1731"/>
      <c r="I8" s="1731" t="s">
        <v>1691</v>
      </c>
    </row>
    <row r="9" spans="1:23">
      <c r="A9" s="1729" t="s">
        <v>1692</v>
      </c>
      <c r="B9" s="1729" t="s">
        <v>1693</v>
      </c>
      <c r="C9" s="1730" t="s">
        <v>742</v>
      </c>
      <c r="F9" s="1731" t="s">
        <v>1694</v>
      </c>
      <c r="H9" s="1731"/>
    </row>
    <row r="10" spans="1:23">
      <c r="A10" s="1729" t="s">
        <v>1695</v>
      </c>
      <c r="B10" s="1729" t="s">
        <v>1696</v>
      </c>
      <c r="C10" s="1730" t="s">
        <v>743</v>
      </c>
      <c r="F10" s="1731" t="s">
        <v>13</v>
      </c>
    </row>
    <row r="11" spans="1:23">
      <c r="A11" s="1729" t="s">
        <v>1697</v>
      </c>
      <c r="B11" s="1729" t="s">
        <v>1698</v>
      </c>
      <c r="C11" s="1730" t="s">
        <v>744</v>
      </c>
    </row>
    <row r="12" spans="1:23">
      <c r="A12" s="1729" t="s">
        <v>1699</v>
      </c>
      <c r="B12" s="1729" t="s">
        <v>1700</v>
      </c>
      <c r="C12" s="1730" t="s">
        <v>745</v>
      </c>
    </row>
    <row r="13" spans="1:23">
      <c r="A13" s="1729" t="s">
        <v>1701</v>
      </c>
      <c r="B13" s="1729" t="s">
        <v>1702</v>
      </c>
      <c r="C13" s="1730" t="s">
        <v>746</v>
      </c>
    </row>
    <row r="14" spans="1:23">
      <c r="A14" s="1729" t="s">
        <v>1703</v>
      </c>
      <c r="B14" s="1729" t="s">
        <v>1704</v>
      </c>
      <c r="C14" s="1731" t="s">
        <v>13</v>
      </c>
    </row>
    <row r="15" spans="1:23">
      <c r="A15" s="1729" t="s">
        <v>1705</v>
      </c>
      <c r="B15" s="1729" t="s">
        <v>1706</v>
      </c>
      <c r="C15" s="1730"/>
    </row>
    <row r="16" spans="1:23">
      <c r="A16" s="1729" t="s">
        <v>1707</v>
      </c>
      <c r="B16" s="1729" t="s">
        <v>733</v>
      </c>
      <c r="C16" s="1730"/>
    </row>
    <row r="17" spans="1:3">
      <c r="A17" s="1729" t="s">
        <v>1708</v>
      </c>
      <c r="B17" s="1729" t="s">
        <v>3015</v>
      </c>
      <c r="C17" s="1730"/>
    </row>
    <row r="18" spans="1:3">
      <c r="A18" s="1729" t="s">
        <v>1709</v>
      </c>
      <c r="B18" s="1729" t="s">
        <v>734</v>
      </c>
      <c r="C18" s="1730"/>
    </row>
    <row r="19" spans="1:3">
      <c r="A19" s="1729" t="s">
        <v>1710</v>
      </c>
      <c r="B19" s="1729" t="s">
        <v>734</v>
      </c>
      <c r="C19" s="1730"/>
    </row>
    <row r="20" spans="1:3">
      <c r="A20" s="1729" t="s">
        <v>1711</v>
      </c>
      <c r="B20" s="1729" t="s">
        <v>734</v>
      </c>
      <c r="C20" s="1730"/>
    </row>
    <row r="21" spans="1:3">
      <c r="A21" s="1729" t="s">
        <v>1712</v>
      </c>
      <c r="B21" s="1729" t="s">
        <v>734</v>
      </c>
      <c r="C21" s="1730"/>
    </row>
    <row r="22" spans="1:3">
      <c r="A22" s="1729" t="s">
        <v>1713</v>
      </c>
      <c r="B22" s="1729" t="s">
        <v>734</v>
      </c>
      <c r="C22" s="1730"/>
    </row>
    <row r="23" spans="1:3">
      <c r="A23" s="1729" t="s">
        <v>1714</v>
      </c>
      <c r="B23" s="1729" t="s">
        <v>734</v>
      </c>
      <c r="C23" s="1730"/>
    </row>
    <row r="24" spans="1:3">
      <c r="A24" s="1729" t="s">
        <v>1715</v>
      </c>
      <c r="B24" s="1729" t="s">
        <v>734</v>
      </c>
      <c r="C24" s="1730"/>
    </row>
    <row r="25" spans="1:3">
      <c r="A25" s="1729" t="s">
        <v>1716</v>
      </c>
      <c r="B25" s="1729" t="s">
        <v>734</v>
      </c>
      <c r="C25" s="1730"/>
    </row>
    <row r="26" spans="1:3">
      <c r="A26" s="1729" t="s">
        <v>1717</v>
      </c>
      <c r="B26" s="1729" t="s">
        <v>734</v>
      </c>
      <c r="C26" s="1730"/>
    </row>
    <row r="27" spans="1:3">
      <c r="A27" s="1729" t="s">
        <v>734</v>
      </c>
      <c r="B27" s="1729" t="s">
        <v>734</v>
      </c>
      <c r="C27" s="1730"/>
    </row>
    <row r="28" spans="1:3">
      <c r="A28" s="1729" t="s">
        <v>734</v>
      </c>
      <c r="B28" s="1729" t="s">
        <v>734</v>
      </c>
      <c r="C28" s="1730"/>
    </row>
    <row r="29" spans="1:3">
      <c r="A29" s="1729" t="s">
        <v>734</v>
      </c>
      <c r="B29" s="1729" t="s">
        <v>734</v>
      </c>
      <c r="C29" s="1730"/>
    </row>
    <row r="30" spans="1:3">
      <c r="A30" s="1729" t="s">
        <v>734</v>
      </c>
      <c r="B30" s="1729" t="s">
        <v>734</v>
      </c>
      <c r="C30" s="1730"/>
    </row>
    <row r="31" spans="1:3">
      <c r="A31" s="1729" t="s">
        <v>734</v>
      </c>
      <c r="B31" s="1729" t="s">
        <v>734</v>
      </c>
      <c r="C31" s="1730"/>
    </row>
    <row r="32" spans="1:3">
      <c r="A32" s="1729" t="s">
        <v>734</v>
      </c>
      <c r="B32" s="1729" t="s">
        <v>734</v>
      </c>
      <c r="C32" s="1730"/>
    </row>
    <row r="33" spans="1:3">
      <c r="A33" s="1729" t="s">
        <v>734</v>
      </c>
      <c r="B33" s="1729" t="s">
        <v>734</v>
      </c>
      <c r="C33" s="1730"/>
    </row>
    <row r="34" spans="1:3">
      <c r="A34" s="1729" t="s">
        <v>734</v>
      </c>
      <c r="B34" s="1729" t="s">
        <v>734</v>
      </c>
      <c r="C34" s="1730"/>
    </row>
    <row r="35" spans="1:3">
      <c r="A35" s="1729" t="s">
        <v>734</v>
      </c>
      <c r="B35" s="1729" t="s">
        <v>734</v>
      </c>
      <c r="C35" s="1730"/>
    </row>
    <row r="36" spans="1:3">
      <c r="A36" s="1729" t="s">
        <v>734</v>
      </c>
      <c r="B36" s="1729" t="s">
        <v>734</v>
      </c>
      <c r="C36" s="1730"/>
    </row>
    <row r="37" spans="1:3">
      <c r="A37" s="1729" t="s">
        <v>734</v>
      </c>
      <c r="B37" s="1729" t="s">
        <v>734</v>
      </c>
      <c r="C37" s="1730"/>
    </row>
    <row r="38" spans="1:3">
      <c r="A38" s="1729" t="s">
        <v>734</v>
      </c>
      <c r="B38" s="1729" t="s">
        <v>734</v>
      </c>
      <c r="C38" s="1730"/>
    </row>
    <row r="39" spans="1:3">
      <c r="A39" s="1729" t="s">
        <v>734</v>
      </c>
      <c r="B39" s="1729" t="s">
        <v>734</v>
      </c>
      <c r="C39" s="1730"/>
    </row>
    <row r="40" spans="1:3">
      <c r="A40" s="1729" t="s">
        <v>734</v>
      </c>
      <c r="B40" s="1729" t="s">
        <v>734</v>
      </c>
      <c r="C40" s="1730"/>
    </row>
    <row r="41" spans="1:3">
      <c r="A41" s="1729" t="s">
        <v>734</v>
      </c>
      <c r="B41" s="1729" t="s">
        <v>734</v>
      </c>
      <c r="C41" s="1730"/>
    </row>
    <row r="42" spans="1:3">
      <c r="A42" s="1729" t="s">
        <v>734</v>
      </c>
      <c r="B42" s="1729" t="s">
        <v>734</v>
      </c>
      <c r="C42" s="1730"/>
    </row>
    <row r="43" spans="1:3">
      <c r="A43" s="1729" t="s">
        <v>734</v>
      </c>
      <c r="B43" s="1729" t="s">
        <v>734</v>
      </c>
      <c r="C43" s="1730"/>
    </row>
    <row r="44" spans="1:3">
      <c r="A44" s="1729" t="s">
        <v>734</v>
      </c>
      <c r="B44" s="1729" t="s">
        <v>734</v>
      </c>
      <c r="C44" s="1730"/>
    </row>
    <row r="45" spans="1:3">
      <c r="A45" s="1729" t="s">
        <v>734</v>
      </c>
      <c r="B45" s="1729" t="s">
        <v>734</v>
      </c>
      <c r="C45" s="1730"/>
    </row>
    <row r="46" spans="1:3">
      <c r="A46" s="1729" t="s">
        <v>734</v>
      </c>
      <c r="B46" s="1729" t="s">
        <v>734</v>
      </c>
      <c r="C46" s="1730"/>
    </row>
    <row r="47" spans="1:3">
      <c r="A47" s="1729" t="s">
        <v>734</v>
      </c>
      <c r="B47" s="1729" t="s">
        <v>734</v>
      </c>
      <c r="C47" s="1730"/>
    </row>
    <row r="48" spans="1:3">
      <c r="A48" s="1729" t="s">
        <v>734</v>
      </c>
      <c r="B48" s="1729" t="s">
        <v>734</v>
      </c>
      <c r="C48" s="1730"/>
    </row>
    <row r="49" spans="1:4">
      <c r="A49" s="1729" t="s">
        <v>734</v>
      </c>
      <c r="B49" s="1729" t="s">
        <v>734</v>
      </c>
      <c r="C49" s="1730"/>
    </row>
    <row r="50" spans="1:4">
      <c r="A50" s="1729" t="s">
        <v>734</v>
      </c>
      <c r="B50" s="1729" t="s">
        <v>734</v>
      </c>
      <c r="C50" s="1730"/>
    </row>
    <row r="51" spans="1:4">
      <c r="A51" s="1736" t="s">
        <v>802</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37" t="s">
        <v>1228</v>
      </c>
    </row>
    <row r="52" spans="1:4">
      <c r="A52" s="1736" t="s">
        <v>803</v>
      </c>
      <c r="B52" s="1736" t="s">
        <v>804</v>
      </c>
      <c r="C52" s="1734" t="s">
        <v>805</v>
      </c>
      <c r="D52" s="1734" t="s">
        <v>806</v>
      </c>
    </row>
    <row r="53" spans="1:4">
      <c r="A53" s="3135" t="s">
        <v>807</v>
      </c>
      <c r="B53" s="1737" t="s">
        <v>808</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5"/>
      <c r="B54" s="1737" t="s">
        <v>809</v>
      </c>
      <c r="C54" s="1734" t="s">
        <v>1225</v>
      </c>
    </row>
    <row r="55" spans="1:4">
      <c r="A55" s="3135"/>
      <c r="B55" s="1737" t="s">
        <v>810</v>
      </c>
      <c r="C55" s="1734" t="s">
        <v>1226</v>
      </c>
    </row>
    <row r="56" spans="1:4">
      <c r="A56" s="3135"/>
      <c r="B56" s="1737" t="s">
        <v>811</v>
      </c>
      <c r="C56" s="1734" t="s">
        <v>1230</v>
      </c>
    </row>
    <row r="57" spans="1:4">
      <c r="A57" s="3135"/>
      <c r="B57" s="1737" t="s">
        <v>812</v>
      </c>
      <c r="C57" s="1734" t="s">
        <v>1227</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8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9" customWidth="1"/>
    <col min="16" max="17" width="10" style="1926"/>
    <col min="18" max="18" width="10" style="1926" customWidth="1"/>
    <col min="19" max="30" width="10" style="1926"/>
    <col min="31" max="16384" width="10" style="1928"/>
  </cols>
  <sheetData>
    <row r="1" spans="1:28" ht="13.5" thickBot="1">
      <c r="A1" s="2587" t="s">
        <v>2890</v>
      </c>
      <c r="B1" s="3136" t="str">
        <f>IF(B10="北京市","北京市",C10)&amp;F10&amp;IF(结果表!G1="在建","出让国有建设用地使用权及在建建筑物",IF(结果表!G1="土地","出让国有建设用地使用权",))&amp;B9&amp;"预评估"</f>
        <v>出让国有建设用地使用权及在建建筑物预评估</v>
      </c>
      <c r="C1" s="3137"/>
      <c r="D1" s="3137"/>
      <c r="E1" s="3137"/>
      <c r="F1" s="3137"/>
      <c r="G1" s="3137"/>
      <c r="H1" s="3137"/>
      <c r="I1" s="3138"/>
      <c r="J1" s="2694"/>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28"/>
      <c r="U1" s="1928"/>
      <c r="V1" s="1928"/>
      <c r="W1" s="1928"/>
      <c r="X1" s="1928"/>
      <c r="Y1" s="1928"/>
      <c r="Z1" s="1928"/>
      <c r="AA1" s="1928"/>
      <c r="AB1" s="1928"/>
    </row>
    <row r="2" spans="1:28">
      <c r="A2" s="2588" t="s">
        <v>2891</v>
      </c>
      <c r="B2" s="2592"/>
      <c r="C2" s="2593"/>
      <c r="D2" s="2896"/>
      <c r="E2" s="2886"/>
      <c r="F2" s="2886"/>
      <c r="G2" s="2887"/>
      <c r="H2" s="2887"/>
      <c r="I2" s="2887"/>
      <c r="J2" s="2694"/>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出让国有建设用地使用权及在建建筑物房地产</v>
      </c>
      <c r="T2" s="1928"/>
      <c r="U2" s="1928"/>
      <c r="V2" s="1928"/>
      <c r="W2" s="1928"/>
      <c r="X2" s="1928"/>
      <c r="Y2" s="1928"/>
      <c r="Z2" s="1928"/>
      <c r="AA2" s="1928"/>
      <c r="AB2" s="1928"/>
    </row>
    <row r="3" spans="1:28">
      <c r="A3" s="305" t="s">
        <v>2892</v>
      </c>
      <c r="B3" s="2594"/>
      <c r="C3" s="2595" t="s">
        <v>2893</v>
      </c>
      <c r="D3" s="2594">
        <v>44236</v>
      </c>
      <c r="E3" s="2887"/>
      <c r="F3" s="2887"/>
      <c r="G3" s="2887"/>
      <c r="H3" s="2887"/>
      <c r="I3" s="2887"/>
      <c r="J3" s="2694"/>
      <c r="K3" s="2589"/>
      <c r="L3" s="2590"/>
      <c r="M3" s="2590"/>
      <c r="N3" s="2591"/>
      <c r="O3" s="1759"/>
      <c r="P3" s="2591"/>
      <c r="Q3" s="2591"/>
      <c r="R3" s="2591"/>
      <c r="S3" s="1865"/>
      <c r="T3" s="1928"/>
      <c r="U3" s="1928"/>
      <c r="V3" s="1928"/>
      <c r="W3" s="1928"/>
      <c r="X3" s="1928"/>
      <c r="Y3" s="1928"/>
      <c r="Z3" s="1928"/>
      <c r="AA3" s="1928"/>
      <c r="AB3" s="1928"/>
    </row>
    <row r="4" spans="1:28" ht="13.5" thickBot="1">
      <c r="A4" s="1247" t="s">
        <v>2894</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59"/>
      <c r="P4" s="2591"/>
      <c r="Q4" s="2591"/>
      <c r="R4" s="2591"/>
      <c r="S4" s="1865"/>
      <c r="T4" s="1928"/>
      <c r="U4" s="1928"/>
      <c r="V4" s="1928"/>
      <c r="W4" s="1928"/>
      <c r="X4" s="1928"/>
      <c r="Y4" s="1928"/>
      <c r="Z4" s="1928"/>
      <c r="AA4" s="1928"/>
      <c r="AB4" s="1928"/>
    </row>
    <row r="5" spans="1:28" ht="13.5" thickTop="1">
      <c r="A5" s="2600" t="s">
        <v>2895</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2896</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2897</v>
      </c>
      <c r="B7" s="2608"/>
      <c r="C7" s="2606"/>
      <c r="D7" s="2607"/>
      <c r="E7" s="2886"/>
      <c r="F7" s="2888"/>
      <c r="G7" s="2888"/>
      <c r="H7" s="2888"/>
      <c r="I7" s="2888"/>
      <c r="J7" s="2662"/>
      <c r="K7" s="2839"/>
      <c r="L7" s="2836"/>
      <c r="M7" s="2836"/>
      <c r="N7" s="2662"/>
      <c r="O7" s="2673"/>
      <c r="P7" s="2662"/>
      <c r="Q7" s="2662"/>
      <c r="R7" s="2662"/>
    </row>
    <row r="8" spans="1:28">
      <c r="A8" s="2609" t="s">
        <v>2898</v>
      </c>
      <c r="B8" s="2610"/>
      <c r="C8" s="2611"/>
      <c r="D8" s="3139" t="s">
        <v>2899</v>
      </c>
      <c r="E8" s="2612"/>
      <c r="F8" s="2613"/>
      <c r="G8" s="2887"/>
      <c r="H8" s="2887"/>
      <c r="I8" s="2887"/>
      <c r="J8" s="2662"/>
      <c r="K8" s="2837"/>
      <c r="L8" s="2836"/>
      <c r="M8" s="2836"/>
      <c r="N8" s="2662"/>
      <c r="O8" s="2673"/>
      <c r="P8" s="2662"/>
      <c r="Q8" s="2662"/>
      <c r="R8" s="2662"/>
    </row>
    <row r="9" spans="1:28" ht="13.5" thickBot="1">
      <c r="A9" s="2614" t="s">
        <v>2900</v>
      </c>
      <c r="B9" s="2615"/>
      <c r="C9" s="2616"/>
      <c r="D9" s="3140"/>
      <c r="E9" s="2615"/>
      <c r="F9" s="2617"/>
      <c r="G9" s="2889"/>
      <c r="H9" s="2889"/>
      <c r="I9" s="2889"/>
      <c r="J9" s="2662"/>
      <c r="K9" s="2839"/>
      <c r="L9" s="2836"/>
      <c r="M9" s="2836"/>
      <c r="N9" s="2662"/>
      <c r="O9" s="2673"/>
      <c r="P9" s="2662"/>
      <c r="Q9" s="2662"/>
      <c r="R9" s="2662"/>
    </row>
    <row r="10" spans="1:28" ht="13.5" thickTop="1">
      <c r="A10" s="2618" t="s">
        <v>2901</v>
      </c>
      <c r="B10" s="2619"/>
      <c r="C10" s="2620"/>
      <c r="D10" s="2603"/>
      <c r="E10" s="2621" t="s">
        <v>2902</v>
      </c>
      <c r="F10" s="2890"/>
      <c r="G10" s="2891"/>
      <c r="H10" s="2892"/>
      <c r="I10" s="2893"/>
      <c r="J10" s="2662"/>
      <c r="K10" s="2839"/>
      <c r="L10" s="2836"/>
      <c r="M10" s="2836"/>
      <c r="N10" s="2662"/>
      <c r="O10" s="2673"/>
      <c r="P10" s="2662"/>
      <c r="Q10" s="2662"/>
      <c r="R10" s="2662"/>
    </row>
    <row r="11" spans="1:28">
      <c r="A11" s="2622" t="s">
        <v>2903</v>
      </c>
      <c r="B11" s="2623"/>
      <c r="C11" s="2624"/>
      <c r="D11" s="2625"/>
      <c r="E11" s="2591"/>
      <c r="F11" s="2591"/>
      <c r="G11" s="2591"/>
      <c r="H11" s="2591"/>
      <c r="I11" s="2591"/>
      <c r="J11" s="2662"/>
      <c r="K11" s="2839"/>
      <c r="L11" s="2836"/>
      <c r="M11" s="2836"/>
      <c r="N11" s="2662"/>
      <c r="O11" s="2673"/>
      <c r="P11" s="2662"/>
      <c r="Q11" s="2662"/>
      <c r="R11" s="2662"/>
    </row>
    <row r="12" spans="1:28">
      <c r="A12" s="2626" t="s">
        <v>2904</v>
      </c>
      <c r="B12" s="2623" t="s">
        <v>3064</v>
      </c>
      <c r="C12" s="326" t="s">
        <v>2905</v>
      </c>
      <c r="D12" s="2627" t="s">
        <v>2906</v>
      </c>
      <c r="E12" s="2627" t="s">
        <v>2907</v>
      </c>
      <c r="F12" s="2627" t="s">
        <v>2908</v>
      </c>
      <c r="G12" s="2627" t="s">
        <v>2909</v>
      </c>
      <c r="H12" s="2627" t="s">
        <v>2910</v>
      </c>
      <c r="I12" s="2627" t="s">
        <v>2911</v>
      </c>
      <c r="J12" s="2662"/>
      <c r="K12" s="2839"/>
      <c r="L12" s="2836"/>
      <c r="M12" s="2836"/>
      <c r="N12" s="2662"/>
      <c r="O12" s="2673"/>
      <c r="P12" s="2662"/>
      <c r="Q12" s="2662"/>
      <c r="R12" s="2662"/>
    </row>
    <row r="13" spans="1:28">
      <c r="A13" s="1238"/>
      <c r="B13" s="2628"/>
      <c r="C13" s="2629" t="s">
        <v>2912</v>
      </c>
      <c r="D13" s="962">
        <v>66581</v>
      </c>
      <c r="E13" s="962"/>
      <c r="F13" s="962"/>
      <c r="G13" s="962"/>
      <c r="H13" s="962"/>
      <c r="I13" s="962"/>
      <c r="J13" s="2662"/>
      <c r="K13" s="2839"/>
      <c r="L13" s="2836"/>
      <c r="M13" s="2836"/>
      <c r="N13" s="2662"/>
      <c r="O13" s="2673"/>
      <c r="P13" s="2662"/>
      <c r="Q13" s="2662"/>
      <c r="R13" s="2662"/>
    </row>
    <row r="14" spans="1:28">
      <c r="A14" s="1238"/>
      <c r="B14" s="2628"/>
      <c r="C14" s="2629" t="s">
        <v>2913</v>
      </c>
      <c r="D14" s="2630">
        <v>70</v>
      </c>
      <c r="E14" s="2630"/>
      <c r="F14" s="2630"/>
      <c r="G14" s="2630"/>
      <c r="H14" s="2630"/>
      <c r="I14" s="2630"/>
      <c r="J14" s="2662"/>
      <c r="K14" s="2840"/>
      <c r="L14" s="2836"/>
      <c r="M14" s="2836"/>
      <c r="N14" s="2662"/>
      <c r="O14" s="2673"/>
      <c r="P14" s="2662"/>
      <c r="Q14" s="2662"/>
      <c r="R14" s="2662"/>
    </row>
    <row r="15" spans="1:28">
      <c r="A15" s="323"/>
      <c r="B15" s="2631"/>
      <c r="C15" s="2632" t="s">
        <v>2914</v>
      </c>
      <c r="D15" s="2633">
        <f>IF(B12="出让",IF(D13="","",ROUNDDOWN(MIN((D13-$D$3)/365,D14),2)),D14)</f>
        <v>61.21</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2915</v>
      </c>
      <c r="B16" s="3146"/>
      <c r="C16" s="3147"/>
      <c r="D16" s="3148"/>
      <c r="E16" s="2636" t="s">
        <v>2916</v>
      </c>
      <c r="F16" s="3149"/>
      <c r="G16" s="3150"/>
      <c r="H16" s="3150"/>
      <c r="I16" s="3151"/>
      <c r="J16" s="2662"/>
      <c r="K16" s="2841"/>
      <c r="L16" s="2674"/>
      <c r="M16" s="2674"/>
      <c r="N16" s="2732"/>
      <c r="O16" s="2674"/>
      <c r="P16" s="2732"/>
      <c r="Q16" s="2662"/>
      <c r="R16" s="2662"/>
    </row>
    <row r="17" spans="1:28">
      <c r="A17" s="316" t="s">
        <v>2917</v>
      </c>
      <c r="B17" s="305" t="s">
        <v>2918</v>
      </c>
      <c r="C17" s="8">
        <f>'数据-汇总表'!E3</f>
        <v>125203.41</v>
      </c>
      <c r="D17" s="2542" t="s">
        <v>2919</v>
      </c>
      <c r="E17" s="3152" t="s">
        <v>2920</v>
      </c>
      <c r="F17" s="3153"/>
      <c r="G17" s="3153"/>
      <c r="H17" s="3153"/>
      <c r="I17" s="3154"/>
      <c r="J17" s="2662"/>
      <c r="K17" s="2842"/>
      <c r="L17" s="2674"/>
      <c r="M17" s="2674"/>
      <c r="N17" s="2732"/>
      <c r="O17" s="2674"/>
      <c r="P17" s="2732"/>
      <c r="Q17" s="2662"/>
      <c r="R17" s="2662"/>
      <c r="S17" s="2662"/>
      <c r="T17" s="2662"/>
      <c r="U17" s="2662"/>
      <c r="V17" s="2662"/>
    </row>
    <row r="18" spans="1:28" ht="24.75" thickBot="1">
      <c r="A18" s="2637" t="s">
        <v>2921</v>
      </c>
      <c r="B18" s="1247" t="s">
        <v>2922</v>
      </c>
      <c r="C18" s="2638">
        <f>'数据-汇总表'!D3</f>
        <v>71942</v>
      </c>
      <c r="D18" s="1249" t="s">
        <v>2923</v>
      </c>
      <c r="E18" s="3155" t="s">
        <v>2924</v>
      </c>
      <c r="F18" s="3156"/>
      <c r="G18" s="3156"/>
      <c r="H18" s="3156"/>
      <c r="I18" s="3157"/>
      <c r="J18" s="2662"/>
      <c r="K18" s="2842"/>
      <c r="L18" s="2674"/>
      <c r="M18" s="2674"/>
      <c r="N18" s="2732"/>
      <c r="O18" s="2674"/>
      <c r="P18" s="2732"/>
      <c r="Q18" s="2662"/>
      <c r="R18" s="2662"/>
      <c r="S18" s="2662"/>
      <c r="T18" s="2662"/>
      <c r="U18" s="2662"/>
      <c r="V18" s="2662"/>
    </row>
    <row r="19" spans="1:28" ht="37.5" thickTop="1" thickBot="1">
      <c r="A19" s="330" t="s">
        <v>1718</v>
      </c>
      <c r="B19" s="310" t="s">
        <v>2925</v>
      </c>
      <c r="C19" s="1746"/>
      <c r="D19" s="1747" t="s">
        <v>2926</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2927</v>
      </c>
      <c r="B20" s="3142" t="s">
        <v>2928</v>
      </c>
      <c r="C20" s="3143"/>
      <c r="D20" s="3144" t="s">
        <v>2929</v>
      </c>
      <c r="E20" s="3145"/>
      <c r="F20" s="2871" t="s">
        <v>1719</v>
      </c>
      <c r="G20" s="2888"/>
      <c r="H20" s="2888"/>
      <c r="I20" s="2888"/>
      <c r="J20" s="2662"/>
      <c r="K20" s="3141" t="s">
        <v>2930</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2931</v>
      </c>
      <c r="C21" s="2858" t="s">
        <v>1720</v>
      </c>
      <c r="D21" s="1751" t="s">
        <v>2932</v>
      </c>
      <c r="E21" s="2859" t="s">
        <v>1720</v>
      </c>
      <c r="F21" s="2872"/>
      <c r="G21" s="2888"/>
      <c r="H21" s="2888"/>
      <c r="I21" s="2888"/>
      <c r="J21" s="2662"/>
      <c r="K21" s="3141"/>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2933</v>
      </c>
      <c r="C22" s="2858" t="s">
        <v>1721</v>
      </c>
      <c r="D22" s="2887"/>
      <c r="E22" s="2887"/>
      <c r="F22" s="2887"/>
      <c r="G22" s="2888"/>
      <c r="H22" s="2888"/>
      <c r="I22" s="2888"/>
      <c r="J22" s="2662"/>
      <c r="K22" s="3141"/>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2934</v>
      </c>
      <c r="B23" s="2725" t="s">
        <v>2935</v>
      </c>
      <c r="C23" s="2862"/>
      <c r="D23" s="2863" t="s">
        <v>2935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1722</v>
      </c>
      <c r="C24" s="2865"/>
      <c r="D24" s="2861" t="s">
        <v>1722</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1723</v>
      </c>
      <c r="C25" s="2865"/>
      <c r="D25" s="2861" t="s">
        <v>1723</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1724</v>
      </c>
      <c r="C26" s="2869"/>
      <c r="D26" s="2867" t="s">
        <v>1724</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59" t="s">
        <v>2936</v>
      </c>
      <c r="B27" s="323" t="s">
        <v>2937</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59"/>
      <c r="B28" s="305" t="s">
        <v>2938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59"/>
      <c r="B29" s="305" t="s">
        <v>2939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60"/>
      <c r="B30" s="305" t="s">
        <v>2940</v>
      </c>
      <c r="C30" s="3161"/>
      <c r="D30" s="3162"/>
      <c r="E30" s="2888"/>
      <c r="F30" s="2888"/>
      <c r="G30" s="2888"/>
      <c r="H30" s="2888"/>
      <c r="I30" s="2888"/>
      <c r="J30" s="2662"/>
      <c r="K30" s="2839"/>
      <c r="L30" s="2836"/>
      <c r="M30" s="2836"/>
      <c r="N30" s="2662"/>
      <c r="O30" s="2673"/>
      <c r="P30" s="2662"/>
      <c r="Q30" s="2662"/>
      <c r="R30" s="2662"/>
      <c r="S30" s="2662"/>
      <c r="T30" s="2662"/>
      <c r="U30" s="2662"/>
      <c r="V30" s="2662"/>
    </row>
    <row r="31" spans="1:28">
      <c r="A31" s="3163" t="s">
        <v>2941</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64"/>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64"/>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5" t="s">
        <v>2942</v>
      </c>
      <c r="B34" s="2211"/>
      <c r="C34" s="2211"/>
      <c r="D34" s="2211"/>
      <c r="E34" s="2211"/>
      <c r="F34" s="2211"/>
      <c r="G34" s="2211"/>
      <c r="H34" s="2211"/>
      <c r="I34" s="2888"/>
      <c r="J34" s="2662"/>
      <c r="K34" s="2650">
        <f>COUNTIF(B34:H34,"——")</f>
        <v>0</v>
      </c>
      <c r="L34" s="326" t="s">
        <v>2943</v>
      </c>
      <c r="M34" s="326" t="s">
        <v>2944</v>
      </c>
      <c r="N34" s="326" t="s">
        <v>2945</v>
      </c>
      <c r="O34" s="326" t="s">
        <v>2946</v>
      </c>
      <c r="P34" s="326" t="s">
        <v>2947</v>
      </c>
      <c r="Q34" s="326" t="s">
        <v>2948</v>
      </c>
      <c r="R34" s="326" t="s">
        <v>2949</v>
      </c>
      <c r="S34" s="3158" t="s">
        <v>2950</v>
      </c>
      <c r="T34" s="2651" t="str">
        <f>NUMBERSTRING(7-K34,1)&amp;"通"</f>
        <v>七通</v>
      </c>
      <c r="U34" s="2662"/>
      <c r="V34" s="2662"/>
    </row>
    <row r="35" spans="1:30">
      <c r="A35" s="2652"/>
      <c r="B35" s="3165" t="s">
        <v>2951</v>
      </c>
      <c r="C35" s="3165"/>
      <c r="D35" s="3165"/>
      <c r="E35" s="3165"/>
      <c r="F35" s="670">
        <f>C10</f>
        <v>0</v>
      </c>
      <c r="G35" s="2888"/>
      <c r="H35" s="2888"/>
      <c r="I35" s="2888"/>
      <c r="J35" s="2662"/>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58"/>
      <c r="T35" s="332" t="str">
        <f>IF(T34="一通",L35,IF(T34="二通",M35,IF(T34="三通",N35,IF(T34="四通",O35,IF(T34="五通",P35,IF(T34="六通",Q35,R35))))))</f>
        <v>、、、、、、</v>
      </c>
      <c r="U35" s="2662"/>
      <c r="V35" s="2662"/>
    </row>
    <row r="36" spans="1:30">
      <c r="A36" s="2653"/>
      <c r="B36" s="670" t="s">
        <v>2907</v>
      </c>
      <c r="C36" s="670" t="s">
        <v>2908</v>
      </c>
      <c r="D36" s="670" t="s">
        <v>2906</v>
      </c>
      <c r="E36" s="670" t="s">
        <v>2911</v>
      </c>
      <c r="F36" s="2894"/>
      <c r="G36" s="2888"/>
      <c r="H36" s="2888"/>
      <c r="I36" s="2888"/>
      <c r="J36" s="2662"/>
      <c r="K36" s="2839"/>
      <c r="L36" s="2836"/>
      <c r="M36" s="2836"/>
      <c r="N36" s="2662"/>
      <c r="O36" s="2673"/>
      <c r="P36" s="2662"/>
      <c r="Q36" s="2662"/>
      <c r="R36" s="2662"/>
      <c r="S36" s="2662"/>
      <c r="T36" s="2662"/>
      <c r="U36" s="2662"/>
      <c r="V36" s="2662"/>
    </row>
    <row r="37" spans="1:30">
      <c r="A37" s="2854" t="s">
        <v>2952</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2953</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2954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2955</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6" t="s">
        <v>2956</v>
      </c>
      <c r="B42" s="8" t="s">
        <v>2957</v>
      </c>
      <c r="C42" s="8" t="s">
        <v>2958</v>
      </c>
      <c r="D42" s="8" t="s">
        <v>2959</v>
      </c>
      <c r="E42" s="8" t="s">
        <v>2960</v>
      </c>
      <c r="F42" s="8" t="s">
        <v>2961</v>
      </c>
      <c r="G42" s="8" t="s">
        <v>2962</v>
      </c>
      <c r="H42" s="8" t="s">
        <v>2963</v>
      </c>
      <c r="I42" s="8" t="s">
        <v>2964</v>
      </c>
      <c r="J42" s="2850" t="s">
        <v>2965</v>
      </c>
      <c r="K42" s="2851" t="s">
        <v>2966</v>
      </c>
      <c r="L42" s="2851" t="s">
        <v>2967</v>
      </c>
      <c r="M42" s="2851" t="s">
        <v>2968</v>
      </c>
      <c r="N42" s="2844" t="s">
        <v>2969</v>
      </c>
      <c r="O42" s="2844" t="s">
        <v>2970</v>
      </c>
      <c r="P42" s="2844" t="s">
        <v>2971</v>
      </c>
      <c r="Q42" s="2845" t="s">
        <v>2972</v>
      </c>
      <c r="R42" s="2845" t="s">
        <v>2973</v>
      </c>
      <c r="S42" s="2662"/>
      <c r="T42" s="2662"/>
      <c r="U42" s="2662"/>
      <c r="V42" s="2662"/>
    </row>
    <row r="43" spans="1:30" s="1926" customFormat="1">
      <c r="A43" s="1753"/>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3"/>
      <c r="B44" s="1753"/>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3"/>
      <c r="B45" s="1753"/>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3"/>
      <c r="B46" s="1753"/>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3"/>
      <c r="B47" s="1753"/>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3"/>
      <c r="B48" s="1753"/>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3"/>
      <c r="B49" s="1753"/>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3"/>
      <c r="B50" s="1753"/>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3"/>
      <c r="B51" s="1753"/>
      <c r="C51" s="1179"/>
      <c r="D51" s="1179"/>
      <c r="E51" s="1179"/>
      <c r="F51" s="1179"/>
      <c r="G51" s="1179"/>
      <c r="H51" s="1179"/>
      <c r="I51" s="1179"/>
      <c r="J51" s="2660"/>
      <c r="K51" s="2661"/>
      <c r="L51" s="2661"/>
      <c r="M51" s="1179"/>
      <c r="N51" s="1179"/>
      <c r="O51" s="1179"/>
      <c r="P51" s="1179"/>
      <c r="Q51" s="1179"/>
      <c r="R51" s="1179"/>
    </row>
    <row r="52" spans="1:22" s="1926" customFormat="1">
      <c r="A52" s="1753"/>
      <c r="B52" s="1753"/>
      <c r="C52" s="1753"/>
      <c r="D52" s="1753"/>
      <c r="E52" s="1753"/>
      <c r="F52" s="1179"/>
      <c r="G52" s="1753"/>
      <c r="H52" s="1753"/>
      <c r="I52" s="1753"/>
      <c r="J52" s="2663"/>
      <c r="K52" s="2661"/>
      <c r="L52" s="2661"/>
      <c r="M52" s="2661"/>
      <c r="N52" s="1753"/>
      <c r="O52" s="1753"/>
      <c r="P52" s="1753"/>
      <c r="Q52" s="1753"/>
      <c r="R52" s="1753"/>
    </row>
    <row r="53" spans="1:22" s="1926" customFormat="1">
      <c r="A53" s="1753"/>
      <c r="B53" s="1753"/>
      <c r="C53" s="1753"/>
      <c r="D53" s="1753"/>
      <c r="E53" s="1753"/>
      <c r="F53" s="1179"/>
      <c r="G53" s="1753"/>
      <c r="H53" s="1753"/>
      <c r="I53" s="1753"/>
      <c r="J53" s="2663"/>
      <c r="K53" s="2661"/>
      <c r="L53" s="2661"/>
      <c r="M53" s="2661"/>
      <c r="N53" s="1753"/>
      <c r="O53" s="1753"/>
      <c r="P53" s="1753"/>
      <c r="Q53" s="1753"/>
      <c r="R53" s="1753"/>
    </row>
    <row r="54" spans="1:22" s="1926" customFormat="1">
      <c r="A54" s="1753"/>
      <c r="B54" s="1753"/>
      <c r="C54" s="1753"/>
      <c r="D54" s="1753"/>
      <c r="E54" s="1753"/>
      <c r="F54" s="1179"/>
      <c r="G54" s="1753"/>
      <c r="H54" s="1753"/>
      <c r="I54" s="1753"/>
      <c r="J54" s="2663"/>
      <c r="K54" s="2661"/>
      <c r="L54" s="2661"/>
      <c r="M54" s="2661"/>
      <c r="N54" s="1753"/>
      <c r="O54" s="1753"/>
      <c r="P54" s="1753"/>
      <c r="Q54" s="1753"/>
      <c r="R54" s="1753"/>
    </row>
    <row r="55" spans="1:22" s="1926" customFormat="1">
      <c r="A55" s="1753"/>
      <c r="B55" s="1753"/>
      <c r="C55" s="1753"/>
      <c r="D55" s="1753"/>
      <c r="E55" s="1753"/>
      <c r="F55" s="1179"/>
      <c r="G55" s="1753"/>
      <c r="H55" s="1753"/>
      <c r="I55" s="1753"/>
      <c r="J55" s="2663"/>
      <c r="K55" s="2661"/>
      <c r="L55" s="2661"/>
      <c r="M55" s="2661"/>
      <c r="N55" s="1753"/>
      <c r="O55" s="1753"/>
      <c r="P55" s="1753"/>
      <c r="Q55" s="1753"/>
      <c r="R55" s="1753"/>
    </row>
    <row r="56" spans="1:22" s="1926" customFormat="1">
      <c r="A56" s="1753"/>
      <c r="B56" s="1753"/>
      <c r="C56" s="1753"/>
      <c r="D56" s="1753"/>
      <c r="E56" s="1753"/>
      <c r="F56" s="1179"/>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6" width="9.875" style="1756" customWidth="1"/>
    <col min="17" max="17" width="9.375" style="1756" customWidth="1"/>
    <col min="18" max="18" width="9.125" style="1756" customWidth="1"/>
    <col min="19" max="28" width="10.875" style="1756" customWidth="1"/>
    <col min="29" max="29" width="11" style="1756" bestFit="1" customWidth="1"/>
    <col min="30" max="30" width="10" style="1756" bestFit="1" customWidth="1"/>
    <col min="31" max="31" width="9.875" style="1756" customWidth="1"/>
    <col min="32" max="46" width="9.5" style="1756" customWidth="1"/>
    <col min="47" max="47" width="18.125" style="1756" customWidth="1"/>
    <col min="48" max="50" width="9.8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1725</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1726</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8" t="s">
        <v>1727</v>
      </c>
      <c r="B2" s="8" t="s">
        <v>1728</v>
      </c>
      <c r="C2" s="8" t="s">
        <v>1729</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1730</v>
      </c>
      <c r="AZ2" s="1177" t="s">
        <v>1731</v>
      </c>
      <c r="BA2" s="8" t="s">
        <v>1732</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0">
        <f>'06地块指标'!D3</f>
        <v>71942</v>
      </c>
      <c r="B3" s="11">
        <f>IF(C3="否",G5-AT5,G5)</f>
        <v>125203.40999999999</v>
      </c>
      <c r="C3" s="1763" t="s">
        <v>1733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2" t="s">
        <v>1734</v>
      </c>
      <c r="B5" s="1529"/>
      <c r="C5" s="1529"/>
      <c r="D5" s="1531"/>
      <c r="E5" s="13" t="s">
        <v>0</v>
      </c>
      <c r="F5" s="13">
        <f>SUM(F13:F587)</f>
        <v>0</v>
      </c>
      <c r="G5" s="13">
        <f>SUM(G13:G587)</f>
        <v>131838.74</v>
      </c>
      <c r="H5" s="13">
        <f t="shared" ref="H5:AT5" si="0">SUM(H13:H656)</f>
        <v>68161.440000000002</v>
      </c>
      <c r="I5" s="13">
        <f t="shared" si="0"/>
        <v>68161.440000000002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57041.97</v>
      </c>
      <c r="AD5" s="13">
        <f t="shared" si="0"/>
        <v>0</v>
      </c>
      <c r="AE5" s="13">
        <f t="shared" si="0"/>
        <v>0</v>
      </c>
      <c r="AF5" s="13">
        <f t="shared" si="0"/>
        <v>0</v>
      </c>
      <c r="AG5" s="13">
        <f t="shared" si="0"/>
        <v>0</v>
      </c>
      <c r="AH5" s="13">
        <f t="shared" si="0"/>
        <v>1834.54</v>
      </c>
      <c r="AI5" s="13">
        <f t="shared" si="0"/>
        <v>0</v>
      </c>
      <c r="AJ5" s="13">
        <f t="shared" si="0"/>
        <v>0</v>
      </c>
      <c r="AK5" s="13">
        <f t="shared" si="0"/>
        <v>0</v>
      </c>
      <c r="AL5" s="13">
        <f t="shared" si="0"/>
        <v>0</v>
      </c>
      <c r="AM5" s="13">
        <f t="shared" si="0"/>
        <v>0</v>
      </c>
      <c r="AN5" s="13">
        <f t="shared" si="0"/>
        <v>55207.43</v>
      </c>
      <c r="AO5" s="13">
        <f t="shared" si="0"/>
        <v>0</v>
      </c>
      <c r="AP5" s="13">
        <f t="shared" si="0"/>
        <v>0</v>
      </c>
      <c r="AQ5" s="13">
        <f t="shared" si="0"/>
        <v>0</v>
      </c>
      <c r="AR5" s="13">
        <f t="shared" si="0"/>
        <v>0</v>
      </c>
      <c r="AS5" s="13">
        <f t="shared" si="0"/>
        <v>0</v>
      </c>
      <c r="AT5" s="13">
        <f t="shared" si="0"/>
        <v>6635.33</v>
      </c>
      <c r="AU5" s="1528"/>
      <c r="AV5" s="12" t="s">
        <v>1734</v>
      </c>
      <c r="AW5" s="1529"/>
      <c r="AX5" s="1529"/>
      <c r="AY5" s="14" t="s">
        <v>2</v>
      </c>
      <c r="AZ5" s="15">
        <f t="shared" ref="AZ5:BT5" si="1">SUM(AZ13:AZ656)</f>
        <v>125203.41</v>
      </c>
      <c r="BA5" s="15">
        <f t="shared" si="1"/>
        <v>68161.440000000002</v>
      </c>
      <c r="BB5" s="15">
        <f t="shared" si="1"/>
        <v>68161.440000000002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57041.97</v>
      </c>
      <c r="BM5" s="15">
        <f t="shared" si="1"/>
        <v>0</v>
      </c>
      <c r="BN5" s="15">
        <f t="shared" si="1"/>
        <v>0</v>
      </c>
      <c r="BO5" s="15">
        <f t="shared" si="1"/>
        <v>1834.54</v>
      </c>
      <c r="BP5" s="15">
        <f t="shared" si="1"/>
        <v>0</v>
      </c>
      <c r="BQ5" s="15">
        <f t="shared" si="1"/>
        <v>0</v>
      </c>
      <c r="BR5" s="15">
        <f t="shared" si="1"/>
        <v>55207.43</v>
      </c>
      <c r="BS5" s="15">
        <f t="shared" si="1"/>
        <v>0</v>
      </c>
      <c r="BT5" s="16">
        <f t="shared" si="1"/>
        <v>0</v>
      </c>
    </row>
    <row r="6" spans="1:72" s="1772" customFormat="1" ht="12.75">
      <c r="A6" s="12" t="s">
        <v>1735</v>
      </c>
      <c r="B6" s="1769"/>
      <c r="C6" s="1769"/>
      <c r="D6" s="1770"/>
      <c r="E6" s="13">
        <f>H6+AC6+AT6</f>
        <v>71942</v>
      </c>
      <c r="F6" s="13" t="s">
        <v>0</v>
      </c>
      <c r="G6" s="13" t="s">
        <v>1</v>
      </c>
      <c r="H6" s="17">
        <f>SUMIF(I$12:AB$12,"总值",I6:AB6)</f>
        <v>39165.629999999997</v>
      </c>
      <c r="I6" s="13">
        <f t="shared" ref="I6:AB6" si="2">ROUND($A$3*I5/$B$3,2)</f>
        <v>39165.629999999997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32776.370000000003</v>
      </c>
      <c r="AD6" s="13">
        <f t="shared" ref="AD6:AS6" si="3">ROUND($A$3*AD5/$B$3,2)</f>
        <v>0</v>
      </c>
      <c r="AE6" s="13">
        <f t="shared" si="3"/>
        <v>0</v>
      </c>
      <c r="AF6" s="13">
        <f t="shared" si="3"/>
        <v>0</v>
      </c>
      <c r="AG6" s="13">
        <f t="shared" si="3"/>
        <v>0</v>
      </c>
      <c r="AH6" s="13">
        <f t="shared" si="3"/>
        <v>1054.1300000000001</v>
      </c>
      <c r="AI6" s="13">
        <f t="shared" si="3"/>
        <v>0</v>
      </c>
      <c r="AJ6" s="13">
        <f t="shared" si="3"/>
        <v>0</v>
      </c>
      <c r="AK6" s="13">
        <f t="shared" si="3"/>
        <v>0</v>
      </c>
      <c r="AL6" s="13">
        <f t="shared" si="3"/>
        <v>0</v>
      </c>
      <c r="AM6" s="13">
        <f t="shared" si="3"/>
        <v>0</v>
      </c>
      <c r="AN6" s="13">
        <f t="shared" si="3"/>
        <v>31722.240000000002</v>
      </c>
      <c r="AO6" s="13">
        <f t="shared" si="3"/>
        <v>0</v>
      </c>
      <c r="AP6" s="13">
        <f t="shared" si="3"/>
        <v>0</v>
      </c>
      <c r="AQ6" s="13">
        <f t="shared" si="3"/>
        <v>0</v>
      </c>
      <c r="AR6" s="13">
        <f t="shared" si="3"/>
        <v>0</v>
      </c>
      <c r="AS6" s="13">
        <f t="shared" si="3"/>
        <v>0</v>
      </c>
      <c r="AT6" s="17">
        <f>IF(C3="是",ROUND($A$3*AT5/$B$3,2),0)</f>
        <v>0</v>
      </c>
      <c r="AU6" s="1771"/>
      <c r="AV6" s="12" t="s">
        <v>1735</v>
      </c>
      <c r="AW6" s="1769"/>
      <c r="AX6" s="1769"/>
      <c r="AY6" s="18">
        <f>IF(AY3&gt;0,AY3,ROUND($A$3*AZ5/$B$3,2))</f>
        <v>71942</v>
      </c>
      <c r="AZ6" s="13" t="s">
        <v>2</v>
      </c>
      <c r="BA6" s="13">
        <f>ROUND($AY$6*BA5/$AZ$5,2)</f>
        <v>39165.629999999997</v>
      </c>
      <c r="BB6" s="13">
        <f>ROUND($AY$6*BB5/$AZ$5,2)</f>
        <v>39165.629999999997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32776.370000000003</v>
      </c>
      <c r="BM6" s="13">
        <f t="shared" si="5"/>
        <v>0</v>
      </c>
      <c r="BN6" s="13">
        <f t="shared" si="5"/>
        <v>0</v>
      </c>
      <c r="BO6" s="13">
        <f t="shared" si="5"/>
        <v>1054.1300000000001</v>
      </c>
      <c r="BP6" s="13">
        <f t="shared" si="5"/>
        <v>0</v>
      </c>
      <c r="BQ6" s="13">
        <f t="shared" si="5"/>
        <v>0</v>
      </c>
      <c r="BR6" s="13">
        <f t="shared" si="5"/>
        <v>31722.240000000002</v>
      </c>
      <c r="BS6" s="13">
        <f t="shared" si="5"/>
        <v>0</v>
      </c>
      <c r="BT6" s="19">
        <f t="shared" si="5"/>
        <v>0</v>
      </c>
    </row>
    <row r="7" spans="1:72" s="1762" customFormat="1" ht="24.75">
      <c r="A7" s="1752" t="s">
        <v>1736</v>
      </c>
      <c r="B7" s="1752" t="s">
        <v>1737</v>
      </c>
      <c r="C7" s="1752" t="s">
        <v>1738</v>
      </c>
      <c r="D7" s="1752" t="s">
        <v>1739</v>
      </c>
      <c r="E7" s="1752" t="s">
        <v>1740</v>
      </c>
      <c r="F7" s="1752" t="s">
        <v>1741</v>
      </c>
      <c r="G7" s="1773" t="s">
        <v>1742</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1743</v>
      </c>
      <c r="AV7" s="20" t="s">
        <v>1744</v>
      </c>
      <c r="AW7" s="1761" t="s">
        <v>1745</v>
      </c>
      <c r="AX7" s="20" t="s">
        <v>1738</v>
      </c>
      <c r="AY7" s="1529" t="s">
        <v>1746</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1747</v>
      </c>
      <c r="H8" s="1779" t="s">
        <v>1748</v>
      </c>
      <c r="I8" s="1780"/>
      <c r="J8" s="1542"/>
      <c r="K8" s="1542"/>
      <c r="L8" s="1542"/>
      <c r="M8" s="1542"/>
      <c r="N8" s="1542"/>
      <c r="O8" s="1542"/>
      <c r="P8" s="1542"/>
      <c r="Q8" s="1542"/>
      <c r="R8" s="1542"/>
      <c r="S8" s="1542"/>
      <c r="T8" s="1542"/>
      <c r="U8" s="1542"/>
      <c r="V8" s="1781"/>
      <c r="W8" s="1542"/>
      <c r="X8" s="1542"/>
      <c r="Y8" s="1542"/>
      <c r="Z8" s="1542"/>
      <c r="AA8" s="1781"/>
      <c r="AB8" s="1782"/>
      <c r="AC8" s="915" t="s">
        <v>1749</v>
      </c>
      <c r="AD8" s="1783"/>
      <c r="AE8" s="1775"/>
      <c r="AF8" s="1542"/>
      <c r="AG8" s="1542"/>
      <c r="AH8" s="1542"/>
      <c r="AI8" s="1542"/>
      <c r="AJ8" s="1542"/>
      <c r="AK8" s="1542"/>
      <c r="AL8" s="1542"/>
      <c r="AM8" s="1542"/>
      <c r="AN8" s="1542"/>
      <c r="AO8" s="1542"/>
      <c r="AP8" s="1542"/>
      <c r="AQ8" s="1542"/>
      <c r="AR8" s="1542"/>
      <c r="AS8" s="1542"/>
      <c r="AT8" s="1199" t="s">
        <v>1750</v>
      </c>
      <c r="AU8" s="1777" t="s">
        <v>1751</v>
      </c>
      <c r="AV8" s="1199"/>
      <c r="AW8" s="1760"/>
      <c r="AX8" s="1199"/>
      <c r="AY8" s="1761" t="s">
        <v>1752</v>
      </c>
      <c r="AZ8" s="1541" t="s">
        <v>1753</v>
      </c>
      <c r="BA8" s="1542"/>
      <c r="BB8" s="1542"/>
      <c r="BC8" s="1542"/>
      <c r="BD8" s="1542"/>
      <c r="BE8" s="1542"/>
      <c r="BF8" s="1542"/>
      <c r="BG8" s="1542"/>
      <c r="BH8" s="1542"/>
      <c r="BI8" s="1542"/>
      <c r="BJ8" s="1542"/>
      <c r="BK8" s="1542"/>
      <c r="BL8" s="1542"/>
      <c r="BM8" s="1542"/>
      <c r="BN8" s="1542"/>
      <c r="BO8" s="1542"/>
      <c r="BP8" s="1542"/>
      <c r="BQ8" s="1542"/>
      <c r="BR8" s="1542"/>
      <c r="BS8" s="1542"/>
      <c r="BT8" s="23"/>
    </row>
    <row r="9" spans="1:72" s="1784" customFormat="1" ht="12.75">
      <c r="A9" s="1777"/>
      <c r="B9" s="1777"/>
      <c r="C9" s="1777"/>
      <c r="D9" s="1777"/>
      <c r="E9" s="1777"/>
      <c r="F9" s="1777"/>
      <c r="G9" s="1199"/>
      <c r="H9" s="1785" t="s">
        <v>1754</v>
      </c>
      <c r="I9" s="1786" t="s">
        <v>3058</v>
      </c>
      <c r="J9" s="915"/>
      <c r="K9" s="1786"/>
      <c r="L9" s="915"/>
      <c r="M9" s="1786"/>
      <c r="N9" s="915"/>
      <c r="O9" s="1786"/>
      <c r="P9" s="915"/>
      <c r="Q9" s="1786"/>
      <c r="R9" s="915"/>
      <c r="S9" s="1786"/>
      <c r="T9" s="915"/>
      <c r="U9" s="1786"/>
      <c r="V9" s="915"/>
      <c r="W9" s="1786"/>
      <c r="X9" s="1787"/>
      <c r="Y9" s="1786"/>
      <c r="Z9" s="915"/>
      <c r="AA9" s="1786"/>
      <c r="AB9" s="915"/>
      <c r="AC9" s="1778" t="s">
        <v>1754</v>
      </c>
      <c r="AD9" s="12" t="s">
        <v>1755</v>
      </c>
      <c r="AE9" s="1205"/>
      <c r="AF9" s="12" t="s">
        <v>1756</v>
      </c>
      <c r="AG9" s="1205"/>
      <c r="AH9" s="12" t="s">
        <v>1755</v>
      </c>
      <c r="AI9" s="1205"/>
      <c r="AJ9" s="12" t="s">
        <v>1756</v>
      </c>
      <c r="AK9" s="1205"/>
      <c r="AL9" s="12" t="s">
        <v>1755</v>
      </c>
      <c r="AM9" s="1205"/>
      <c r="AN9" s="12" t="s">
        <v>1756</v>
      </c>
      <c r="AO9" s="1205"/>
      <c r="AP9" s="12" t="s">
        <v>1755</v>
      </c>
      <c r="AQ9" s="1205"/>
      <c r="AR9" s="12" t="s">
        <v>1756</v>
      </c>
      <c r="AS9" s="1788"/>
      <c r="AT9" s="1777"/>
      <c r="AU9" s="1777" t="s">
        <v>1757</v>
      </c>
      <c r="AV9" s="1199"/>
      <c r="AW9" s="1760"/>
      <c r="AX9" s="1199"/>
      <c r="AY9" s="25"/>
      <c r="AZ9" s="25" t="s">
        <v>1747</v>
      </c>
      <c r="BA9" s="1789" t="s">
        <v>1758</v>
      </c>
      <c r="BB9" s="1790"/>
      <c r="BC9" s="1245"/>
      <c r="BD9" s="1245"/>
      <c r="BE9" s="1245"/>
      <c r="BF9" s="1245"/>
      <c r="BG9" s="1245"/>
      <c r="BH9" s="1245"/>
      <c r="BI9" s="1245"/>
      <c r="BJ9" s="1245"/>
      <c r="BK9" s="1791"/>
      <c r="BL9" s="12" t="s">
        <v>1759</v>
      </c>
      <c r="BM9" s="1542"/>
      <c r="BN9" s="1780"/>
      <c r="BO9" s="1542"/>
      <c r="BP9" s="1542"/>
      <c r="BQ9" s="1542"/>
      <c r="BR9" s="1542"/>
      <c r="BS9" s="1542"/>
      <c r="BT9" s="23"/>
    </row>
    <row r="10" spans="1:72" s="1784" customFormat="1" ht="12.75">
      <c r="A10" s="1777"/>
      <c r="B10" s="1777"/>
      <c r="C10" s="1777"/>
      <c r="D10" s="1777"/>
      <c r="E10" s="1777"/>
      <c r="F10" s="1777"/>
      <c r="G10" s="1199"/>
      <c r="H10" s="25"/>
      <c r="I10" s="1786" t="s">
        <v>3059</v>
      </c>
      <c r="J10" s="915"/>
      <c r="K10" s="1792"/>
      <c r="L10" s="915"/>
      <c r="M10" s="1792"/>
      <c r="N10" s="915"/>
      <c r="O10" s="1792"/>
      <c r="P10" s="915"/>
      <c r="Q10" s="1792"/>
      <c r="R10" s="915"/>
      <c r="S10" s="1792"/>
      <c r="T10" s="915"/>
      <c r="U10" s="1792"/>
      <c r="V10" s="915"/>
      <c r="W10" s="1792"/>
      <c r="X10" s="915"/>
      <c r="Y10" s="1792"/>
      <c r="Z10" s="915"/>
      <c r="AA10" s="1792"/>
      <c r="AB10" s="915"/>
      <c r="AC10" s="1199"/>
      <c r="AD10" s="12" t="s">
        <v>1760</v>
      </c>
      <c r="AE10" s="1793"/>
      <c r="AF10" s="12" t="s">
        <v>1760</v>
      </c>
      <c r="AG10" s="1793"/>
      <c r="AH10" s="12" t="s">
        <v>1761</v>
      </c>
      <c r="AI10" s="1793"/>
      <c r="AJ10" s="12" t="s">
        <v>1761</v>
      </c>
      <c r="AK10" s="1793"/>
      <c r="AL10" s="12" t="s">
        <v>1762</v>
      </c>
      <c r="AM10" s="1205"/>
      <c r="AN10" s="12" t="s">
        <v>1762</v>
      </c>
      <c r="AO10" s="1205"/>
      <c r="AP10" s="12" t="s">
        <v>1763</v>
      </c>
      <c r="AQ10" s="1205"/>
      <c r="AR10" s="12" t="s">
        <v>1763</v>
      </c>
      <c r="AS10" s="1205"/>
      <c r="AT10" s="1777"/>
      <c r="AU10" s="1777"/>
      <c r="AV10" s="1199"/>
      <c r="AW10" s="1760"/>
      <c r="AX10" s="1199"/>
      <c r="AY10" s="25"/>
      <c r="AZ10" s="25"/>
      <c r="BA10" s="1794" t="s">
        <v>1754</v>
      </c>
      <c r="BB10" s="1795" t="str">
        <f>I9</f>
        <v>地上</v>
      </c>
      <c r="BC10" s="26">
        <f>K9</f>
        <v>0</v>
      </c>
      <c r="BD10" s="26">
        <f>M9</f>
        <v>0</v>
      </c>
      <c r="BE10" s="26">
        <f>O9</f>
        <v>0</v>
      </c>
      <c r="BF10" s="26">
        <f>Q9</f>
        <v>0</v>
      </c>
      <c r="BG10" s="26">
        <f>S9</f>
        <v>0</v>
      </c>
      <c r="BH10" s="26">
        <f>U9</f>
        <v>0</v>
      </c>
      <c r="BI10" s="26">
        <f>W9</f>
        <v>0</v>
      </c>
      <c r="BJ10" s="26">
        <f>Y9</f>
        <v>0</v>
      </c>
      <c r="BK10" s="26">
        <f>AA9</f>
        <v>0</v>
      </c>
      <c r="BL10" s="22" t="s">
        <v>1754</v>
      </c>
      <c r="BM10" s="1541" t="str">
        <f>AD9</f>
        <v>地上</v>
      </c>
      <c r="BN10" s="26" t="str">
        <f>AF9</f>
        <v>地下</v>
      </c>
      <c r="BO10" s="1541" t="str">
        <f>AH9</f>
        <v>地上</v>
      </c>
      <c r="BP10" s="26" t="str">
        <f>AJ9</f>
        <v>地下</v>
      </c>
      <c r="BQ10" s="1541" t="str">
        <f>AL9</f>
        <v>地上</v>
      </c>
      <c r="BR10" s="26" t="str">
        <f>AN9</f>
        <v>地下</v>
      </c>
      <c r="BS10" s="1541" t="str">
        <f>AP9</f>
        <v>地上</v>
      </c>
      <c r="BT10" s="1796" t="str">
        <f>AR9</f>
        <v>地下</v>
      </c>
    </row>
    <row r="11" spans="1:72" s="1784" customFormat="1" ht="12.75">
      <c r="A11" s="1777"/>
      <c r="B11" s="1777"/>
      <c r="C11" s="1777"/>
      <c r="D11" s="1777"/>
      <c r="E11" s="1777"/>
      <c r="F11" s="1777"/>
      <c r="G11" s="1199"/>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9"/>
      <c r="AD11" s="1799" t="s">
        <v>1764</v>
      </c>
      <c r="AE11" s="1543"/>
      <c r="AF11" s="1799" t="s">
        <v>1764</v>
      </c>
      <c r="AG11" s="1543"/>
      <c r="AH11" s="1799" t="s">
        <v>1765</v>
      </c>
      <c r="AI11" s="1800"/>
      <c r="AJ11" s="1799" t="s">
        <v>1765</v>
      </c>
      <c r="AK11" s="1543"/>
      <c r="AL11" s="1541"/>
      <c r="AM11" s="1543"/>
      <c r="AN11" s="1541"/>
      <c r="AO11" s="1543"/>
      <c r="AP11" s="1541"/>
      <c r="AQ11" s="1543"/>
      <c r="AR11" s="1541"/>
      <c r="AS11" s="1543"/>
      <c r="AT11" s="1760"/>
      <c r="AU11" s="1777"/>
      <c r="AV11" s="1199"/>
      <c r="AW11" s="1760"/>
      <c r="AX11" s="1199"/>
      <c r="AY11" s="25"/>
      <c r="AZ11" s="25"/>
      <c r="BA11" s="25"/>
      <c r="BB11" s="1782" t="str">
        <f>I10</f>
        <v>住宅</v>
      </c>
      <c r="BC11" s="1782">
        <f>K10</f>
        <v>0</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1" t="str">
        <f>AH10</f>
        <v>物业管理用房</v>
      </c>
      <c r="BP11" s="21" t="str">
        <f>AJ10</f>
        <v>物业管理用房</v>
      </c>
      <c r="BQ11" s="21" t="str">
        <f>AL10</f>
        <v>设备及其他</v>
      </c>
      <c r="BR11" s="21" t="str">
        <f>AN10</f>
        <v>设备及其他</v>
      </c>
      <c r="BS11" s="22" t="str">
        <f>AP10</f>
        <v>未注明</v>
      </c>
      <c r="BT11" s="1801" t="str">
        <f>AR10</f>
        <v>未注明</v>
      </c>
    </row>
    <row r="12" spans="1:72" s="1762" customFormat="1" ht="12.75">
      <c r="A12" s="1802"/>
      <c r="B12" s="1802"/>
      <c r="C12" s="1802"/>
      <c r="D12" s="1802"/>
      <c r="E12" s="1802"/>
      <c r="F12" s="1802"/>
      <c r="G12" s="27"/>
      <c r="H12" s="1803"/>
      <c r="I12" s="1531" t="s">
        <v>1766</v>
      </c>
      <c r="J12" s="8" t="s">
        <v>1767</v>
      </c>
      <c r="K12" s="8" t="s">
        <v>1766</v>
      </c>
      <c r="L12" s="8" t="s">
        <v>1767</v>
      </c>
      <c r="M12" s="8" t="s">
        <v>1766</v>
      </c>
      <c r="N12" s="8" t="s">
        <v>1767</v>
      </c>
      <c r="O12" s="8" t="s">
        <v>1766</v>
      </c>
      <c r="P12" s="8" t="s">
        <v>1767</v>
      </c>
      <c r="Q12" s="8" t="s">
        <v>1766</v>
      </c>
      <c r="R12" s="8" t="s">
        <v>1767</v>
      </c>
      <c r="S12" s="8" t="s">
        <v>1766</v>
      </c>
      <c r="T12" s="8" t="s">
        <v>1767</v>
      </c>
      <c r="U12" s="8" t="s">
        <v>1766</v>
      </c>
      <c r="V12" s="1528" t="s">
        <v>1767</v>
      </c>
      <c r="W12" s="8" t="s">
        <v>1766</v>
      </c>
      <c r="X12" s="8" t="s">
        <v>1767</v>
      </c>
      <c r="Y12" s="8" t="s">
        <v>1766</v>
      </c>
      <c r="Z12" s="8" t="s">
        <v>1767</v>
      </c>
      <c r="AA12" s="8" t="s">
        <v>1766</v>
      </c>
      <c r="AB12" s="8" t="s">
        <v>1767</v>
      </c>
      <c r="AC12" s="1804"/>
      <c r="AD12" s="1531" t="s">
        <v>1766</v>
      </c>
      <c r="AE12" s="8" t="s">
        <v>1767</v>
      </c>
      <c r="AF12" s="8" t="s">
        <v>1766</v>
      </c>
      <c r="AG12" s="8" t="s">
        <v>1767</v>
      </c>
      <c r="AH12" s="8" t="s">
        <v>1766</v>
      </c>
      <c r="AI12" s="8" t="s">
        <v>1767</v>
      </c>
      <c r="AJ12" s="8" t="s">
        <v>1766</v>
      </c>
      <c r="AK12" s="8" t="s">
        <v>1767</v>
      </c>
      <c r="AL12" s="8" t="s">
        <v>1766</v>
      </c>
      <c r="AM12" s="8" t="s">
        <v>1767</v>
      </c>
      <c r="AN12" s="8" t="s">
        <v>1766</v>
      </c>
      <c r="AO12" s="8" t="s">
        <v>1767</v>
      </c>
      <c r="AP12" s="8" t="s">
        <v>1766</v>
      </c>
      <c r="AQ12" s="8" t="s">
        <v>1767</v>
      </c>
      <c r="AR12" s="27" t="s">
        <v>1766</v>
      </c>
      <c r="AS12" s="1802" t="s">
        <v>1767</v>
      </c>
      <c r="AT12" s="1805"/>
      <c r="AU12" s="1802"/>
      <c r="AV12" s="28"/>
      <c r="AW12" s="1761"/>
      <c r="AX12" s="28"/>
      <c r="AY12" s="1806"/>
      <c r="AZ12" s="25"/>
      <c r="BA12" s="1794"/>
      <c r="BB12" s="21">
        <f>I11</f>
        <v>0</v>
      </c>
      <c r="BC12" s="1807">
        <f>K11</f>
        <v>0</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1" t="str">
        <f>AH11</f>
        <v>（住宅、计出让金）</v>
      </c>
      <c r="BP12" s="21" t="str">
        <f>AJ11</f>
        <v>（住宅、计出让金）</v>
      </c>
      <c r="BQ12" s="21">
        <f>AL11</f>
        <v>0</v>
      </c>
      <c r="BR12" s="21">
        <f>AN11</f>
        <v>0</v>
      </c>
      <c r="BS12" s="22">
        <f>AP11</f>
        <v>0</v>
      </c>
      <c r="BT12" s="1801">
        <f>AR11</f>
        <v>0</v>
      </c>
    </row>
    <row r="13" spans="1:72" s="1762" customFormat="1" ht="12.75">
      <c r="A13" s="1179"/>
      <c r="B13" s="1179"/>
      <c r="C13" s="1179"/>
      <c r="D13" s="1808" t="s">
        <v>3060</v>
      </c>
      <c r="E13" s="13">
        <f>IF($C$3="是",ROUND($A$3*G13/$B$3,2),ROUND($A$3*(G13-AT13)/$B$3,2))</f>
        <v>71942</v>
      </c>
      <c r="F13" s="29"/>
      <c r="G13" s="30">
        <f>H13+AC13+AT13</f>
        <v>131838.74</v>
      </c>
      <c r="H13" s="17">
        <f>SUMIF(I$12:AB$12,"总值",I13:AB13)</f>
        <v>68161.440000000002</v>
      </c>
      <c r="I13" s="1809">
        <f>'06地块指标'!D5+'06地块指标'!D6+'06地块指标'!D7+'06地块指标'!D8</f>
        <v>68161.440000000002</v>
      </c>
      <c r="J13" s="1809"/>
      <c r="K13" s="1809"/>
      <c r="L13" s="1809"/>
      <c r="M13" s="1809"/>
      <c r="N13" s="1809"/>
      <c r="O13" s="1809"/>
      <c r="P13" s="1809"/>
      <c r="Q13" s="1809"/>
      <c r="R13" s="1809"/>
      <c r="S13" s="1809"/>
      <c r="T13" s="1809"/>
      <c r="U13" s="1809"/>
      <c r="V13" s="1809"/>
      <c r="W13" s="1809"/>
      <c r="X13" s="1809"/>
      <c r="Y13" s="1809"/>
      <c r="Z13" s="1809"/>
      <c r="AA13" s="1809"/>
      <c r="AB13" s="1809"/>
      <c r="AC13" s="13">
        <f>SUMIF(AD$12:AS$12,"总值",AD13:AS13)</f>
        <v>57041.97</v>
      </c>
      <c r="AD13" s="1810"/>
      <c r="AE13" s="1810"/>
      <c r="AF13" s="1810"/>
      <c r="AG13" s="1810"/>
      <c r="AH13" s="1810">
        <f>'06地块指标'!D9</f>
        <v>1834.54</v>
      </c>
      <c r="AI13" s="1810"/>
      <c r="AJ13" s="1810"/>
      <c r="AK13" s="1810"/>
      <c r="AL13" s="1810"/>
      <c r="AM13" s="1810"/>
      <c r="AN13" s="1810">
        <f>'06地块指标'!D11+'06地块指标'!D12</f>
        <v>55207.43</v>
      </c>
      <c r="AO13" s="1810"/>
      <c r="AP13" s="1810"/>
      <c r="AQ13" s="1810"/>
      <c r="AR13" s="1810"/>
      <c r="AS13" s="1810"/>
      <c r="AT13" s="1811">
        <f>'06地块指标'!D15</f>
        <v>6635.33</v>
      </c>
      <c r="AU13" s="1812"/>
      <c r="AV13" s="8">
        <f t="shared" ref="AV13:AX17" si="6">A13</f>
        <v>0</v>
      </c>
      <c r="AW13" s="8">
        <f t="shared" si="6"/>
        <v>0</v>
      </c>
      <c r="AX13" s="8">
        <f t="shared" si="6"/>
        <v>0</v>
      </c>
      <c r="AY13" s="1531">
        <f>ROUND($AY$6*AZ13/$AZ$5,2)</f>
        <v>71942</v>
      </c>
      <c r="AZ13" s="13">
        <f>BA13+BL13</f>
        <v>125203.41</v>
      </c>
      <c r="BA13" s="13">
        <f>SUM(BB13:BK13)</f>
        <v>68161.440000000002</v>
      </c>
      <c r="BB13" s="13">
        <f>IF($D13="是",I13-J13,0)</f>
        <v>68161.440000000002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57041.97</v>
      </c>
      <c r="BM13" s="13">
        <f>IF($D13="是",AD13-AE13,0)</f>
        <v>0</v>
      </c>
      <c r="BN13" s="13">
        <f>IF($D13="是",AF13-AG13,0)</f>
        <v>0</v>
      </c>
      <c r="BO13" s="13">
        <f>IF($D13="是",AH13-AI13,0)</f>
        <v>1834.54</v>
      </c>
      <c r="BP13" s="13">
        <f>IF($D13="是",AJ13-AK13,0)</f>
        <v>0</v>
      </c>
      <c r="BQ13" s="13">
        <f>IF($D13="是",AL13-AM13,0)</f>
        <v>0</v>
      </c>
      <c r="BR13" s="13">
        <f>IF($D13="是",AN13-AO13,0)</f>
        <v>55207.43</v>
      </c>
      <c r="BS13" s="13">
        <f>IF($D13="是",AP13-AQ13,0)</f>
        <v>0</v>
      </c>
      <c r="BT13" s="19">
        <f>IF($D13="是",AR13-AS13,0)</f>
        <v>0</v>
      </c>
    </row>
    <row r="14" spans="1:72" s="1762" customFormat="1" ht="12.75">
      <c r="A14" s="1179"/>
      <c r="B14" s="1179"/>
      <c r="C14" s="1753"/>
      <c r="D14" s="1808"/>
      <c r="E14" s="13">
        <f>IF($C$3="是",ROUND($A$3*G14/$B$3,2),ROUND($A$3*(G14-AT14)/$B$3,2))</f>
        <v>0</v>
      </c>
      <c r="F14" s="29"/>
      <c r="G14" s="30">
        <f>H14+AC14+AT14</f>
        <v>0</v>
      </c>
      <c r="H14" s="17">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3">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8">
        <f t="shared" si="6"/>
        <v>0</v>
      </c>
      <c r="AW14" s="8">
        <f t="shared" si="6"/>
        <v>0</v>
      </c>
      <c r="AX14" s="8">
        <f t="shared" si="6"/>
        <v>0</v>
      </c>
      <c r="AY14" s="1531">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762" customFormat="1" ht="12.75">
      <c r="A15" s="1179"/>
      <c r="B15" s="1179"/>
      <c r="C15" s="1753"/>
      <c r="D15" s="1808"/>
      <c r="E15" s="13">
        <f>IF($C$3="是",ROUND($A$3*G15/$B$3,2),ROUND($A$3*(G15-AT15)/$B$3,2))</f>
        <v>0</v>
      </c>
      <c r="F15" s="29"/>
      <c r="G15" s="30">
        <f>H15+AC15+AT15</f>
        <v>0</v>
      </c>
      <c r="H15" s="17">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3">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8">
        <f t="shared" si="6"/>
        <v>0</v>
      </c>
      <c r="AW15" s="8">
        <f t="shared" si="6"/>
        <v>0</v>
      </c>
      <c r="AX15" s="8">
        <f t="shared" si="6"/>
        <v>0</v>
      </c>
      <c r="AY15" s="1531">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762" customFormat="1" ht="12.75">
      <c r="A16" s="1179"/>
      <c r="B16" s="1179"/>
      <c r="C16" s="1753"/>
      <c r="D16" s="1808"/>
      <c r="E16" s="13">
        <f>IF($C$3="是",ROUND($A$3*G16/$B$3,2),ROUND($A$3*(G16-AT16)/$B$3,2))</f>
        <v>0</v>
      </c>
      <c r="F16" s="29"/>
      <c r="G16" s="30">
        <f>H16+AC16+AT16</f>
        <v>0</v>
      </c>
      <c r="H16" s="17">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3">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8">
        <f t="shared" si="6"/>
        <v>0</v>
      </c>
      <c r="AW16" s="8">
        <f t="shared" si="6"/>
        <v>0</v>
      </c>
      <c r="AX16" s="8">
        <f t="shared" si="6"/>
        <v>0</v>
      </c>
      <c r="AY16" s="153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762" customFormat="1" ht="12.75">
      <c r="A17" s="1179"/>
      <c r="B17" s="1179"/>
      <c r="C17" s="1753"/>
      <c r="D17" s="1808"/>
      <c r="E17" s="13">
        <f>IF($C$3="是",ROUND($A$3*G17/$B$3,2),ROUND($A$3*(G17-AT17)/$B$3,2))</f>
        <v>0</v>
      </c>
      <c r="F17" s="29"/>
      <c r="G17" s="30">
        <f>H17+AC17+AT17</f>
        <v>0</v>
      </c>
      <c r="H17" s="17">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3">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8">
        <f t="shared" si="6"/>
        <v>0</v>
      </c>
      <c r="AW17" s="8">
        <f t="shared" si="6"/>
        <v>0</v>
      </c>
      <c r="AX17" s="8">
        <f t="shared" si="6"/>
        <v>0</v>
      </c>
      <c r="AY17" s="153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8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814"/>
      <c r="AV18" s="1525">
        <f t="shared" ref="AV18:AV112" si="11">A18</f>
        <v>0</v>
      </c>
      <c r="AW18" s="1525">
        <f t="shared" ref="AW18:AW112" si="12">B18</f>
        <v>0</v>
      </c>
      <c r="AX18" s="152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8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814"/>
      <c r="AV19" s="1525">
        <f t="shared" si="11"/>
        <v>0</v>
      </c>
      <c r="AW19" s="1525">
        <f t="shared" si="12"/>
        <v>0</v>
      </c>
      <c r="AX19" s="152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8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814"/>
      <c r="AV20" s="1525">
        <f t="shared" si="11"/>
        <v>0</v>
      </c>
      <c r="AW20" s="1525">
        <f t="shared" si="12"/>
        <v>0</v>
      </c>
      <c r="AX20" s="152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8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814"/>
      <c r="AV21" s="1525">
        <f t="shared" si="11"/>
        <v>0</v>
      </c>
      <c r="AW21" s="1525">
        <f t="shared" si="12"/>
        <v>0</v>
      </c>
      <c r="AX21" s="152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8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814"/>
      <c r="AV22" s="1525">
        <f t="shared" si="11"/>
        <v>0</v>
      </c>
      <c r="AW22" s="1525">
        <f t="shared" si="12"/>
        <v>0</v>
      </c>
      <c r="AX22" s="152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8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814"/>
      <c r="AV23" s="1525">
        <f t="shared" si="11"/>
        <v>0</v>
      </c>
      <c r="AW23" s="1525">
        <f t="shared" si="12"/>
        <v>0</v>
      </c>
      <c r="AX23" s="152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8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814"/>
      <c r="AV24" s="1525">
        <f t="shared" si="11"/>
        <v>0</v>
      </c>
      <c r="AW24" s="1525">
        <f t="shared" si="12"/>
        <v>0</v>
      </c>
      <c r="AX24" s="152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8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814"/>
      <c r="AV25" s="1525">
        <f t="shared" si="11"/>
        <v>0</v>
      </c>
      <c r="AW25" s="1525">
        <f t="shared" si="12"/>
        <v>0</v>
      </c>
      <c r="AX25" s="152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8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814"/>
      <c r="AV26" s="1525">
        <f t="shared" si="11"/>
        <v>0</v>
      </c>
      <c r="AW26" s="1525">
        <f t="shared" si="12"/>
        <v>0</v>
      </c>
      <c r="AX26" s="152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8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814"/>
      <c r="AV27" s="1525">
        <f t="shared" si="11"/>
        <v>0</v>
      </c>
      <c r="AW27" s="1525">
        <f t="shared" si="12"/>
        <v>0</v>
      </c>
      <c r="AX27" s="152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8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814"/>
      <c r="AV28" s="1525">
        <f t="shared" si="11"/>
        <v>0</v>
      </c>
      <c r="AW28" s="1525">
        <f t="shared" si="12"/>
        <v>0</v>
      </c>
      <c r="AX28" s="152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8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814"/>
      <c r="AV29" s="1525">
        <f t="shared" si="11"/>
        <v>0</v>
      </c>
      <c r="AW29" s="1525">
        <f t="shared" si="12"/>
        <v>0</v>
      </c>
      <c r="AX29" s="152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8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814"/>
      <c r="AV30" s="1525">
        <f t="shared" si="11"/>
        <v>0</v>
      </c>
      <c r="AW30" s="1525">
        <f t="shared" si="12"/>
        <v>0</v>
      </c>
      <c r="AX30" s="152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8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814"/>
      <c r="AV31" s="1525">
        <f t="shared" si="11"/>
        <v>0</v>
      </c>
      <c r="AW31" s="1525">
        <f t="shared" si="12"/>
        <v>0</v>
      </c>
      <c r="AX31" s="152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8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814"/>
      <c r="AV32" s="1525">
        <f t="shared" si="11"/>
        <v>0</v>
      </c>
      <c r="AW32" s="1525">
        <f t="shared" si="12"/>
        <v>0</v>
      </c>
      <c r="AX32" s="152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8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814"/>
      <c r="AV33" s="1525">
        <f t="shared" si="11"/>
        <v>0</v>
      </c>
      <c r="AW33" s="1525">
        <f t="shared" si="12"/>
        <v>0</v>
      </c>
      <c r="AX33" s="152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8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814"/>
      <c r="AV34" s="1525">
        <f t="shared" si="11"/>
        <v>0</v>
      </c>
      <c r="AW34" s="1525">
        <f t="shared" si="12"/>
        <v>0</v>
      </c>
      <c r="AX34" s="152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8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814"/>
      <c r="AV35" s="1525">
        <f t="shared" si="11"/>
        <v>0</v>
      </c>
      <c r="AW35" s="1525">
        <f t="shared" si="12"/>
        <v>0</v>
      </c>
      <c r="AX35" s="152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8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814"/>
      <c r="AV36" s="1525">
        <f t="shared" si="11"/>
        <v>0</v>
      </c>
      <c r="AW36" s="1525">
        <f t="shared" si="12"/>
        <v>0</v>
      </c>
      <c r="AX36" s="152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8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814"/>
      <c r="AV37" s="1525">
        <f t="shared" si="11"/>
        <v>0</v>
      </c>
      <c r="AW37" s="1525">
        <f t="shared" si="12"/>
        <v>0</v>
      </c>
      <c r="AX37" s="152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8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814"/>
      <c r="AV38" s="1525">
        <f t="shared" si="11"/>
        <v>0</v>
      </c>
      <c r="AW38" s="1525">
        <f t="shared" si="12"/>
        <v>0</v>
      </c>
      <c r="AX38" s="152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8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814"/>
      <c r="AV39" s="1525">
        <f t="shared" si="11"/>
        <v>0</v>
      </c>
      <c r="AW39" s="1525">
        <f t="shared" si="12"/>
        <v>0</v>
      </c>
      <c r="AX39" s="152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8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814"/>
      <c r="AV40" s="1525">
        <f t="shared" si="11"/>
        <v>0</v>
      </c>
      <c r="AW40" s="1525">
        <f t="shared" si="12"/>
        <v>0</v>
      </c>
      <c r="AX40" s="152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8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814"/>
      <c r="AV41" s="1525">
        <f t="shared" si="11"/>
        <v>0</v>
      </c>
      <c r="AW41" s="1525">
        <f t="shared" si="12"/>
        <v>0</v>
      </c>
      <c r="AX41" s="152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8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814"/>
      <c r="AV42" s="1525">
        <f t="shared" si="11"/>
        <v>0</v>
      </c>
      <c r="AW42" s="1525">
        <f t="shared" si="12"/>
        <v>0</v>
      </c>
      <c r="AX42" s="152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8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814"/>
      <c r="AV43" s="1525">
        <f t="shared" si="11"/>
        <v>0</v>
      </c>
      <c r="AW43" s="1525">
        <f t="shared" si="12"/>
        <v>0</v>
      </c>
      <c r="AX43" s="152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8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814"/>
      <c r="AV44" s="1525">
        <f t="shared" si="11"/>
        <v>0</v>
      </c>
      <c r="AW44" s="1525">
        <f t="shared" si="12"/>
        <v>0</v>
      </c>
      <c r="AX44" s="152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8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814"/>
      <c r="AV45" s="1525">
        <f t="shared" si="11"/>
        <v>0</v>
      </c>
      <c r="AW45" s="1525">
        <f t="shared" si="12"/>
        <v>0</v>
      </c>
      <c r="AX45" s="152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8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814"/>
      <c r="AV46" s="1525">
        <f t="shared" si="11"/>
        <v>0</v>
      </c>
      <c r="AW46" s="1525">
        <f t="shared" si="12"/>
        <v>0</v>
      </c>
      <c r="AX46" s="152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8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814"/>
      <c r="AV47" s="1525">
        <f t="shared" si="11"/>
        <v>0</v>
      </c>
      <c r="AW47" s="1525">
        <f t="shared" si="12"/>
        <v>0</v>
      </c>
      <c r="AX47" s="152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8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814"/>
      <c r="AV48" s="1525">
        <f t="shared" si="11"/>
        <v>0</v>
      </c>
      <c r="AW48" s="1525">
        <f t="shared" si="12"/>
        <v>0</v>
      </c>
      <c r="AX48" s="152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8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814"/>
      <c r="AV49" s="1525">
        <f t="shared" si="11"/>
        <v>0</v>
      </c>
      <c r="AW49" s="1525">
        <f t="shared" si="12"/>
        <v>0</v>
      </c>
      <c r="AX49" s="152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8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814"/>
      <c r="AV50" s="1525">
        <f t="shared" si="11"/>
        <v>0</v>
      </c>
      <c r="AW50" s="1525">
        <f t="shared" si="12"/>
        <v>0</v>
      </c>
      <c r="AX50" s="152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8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814"/>
      <c r="AV51" s="1525">
        <f t="shared" si="11"/>
        <v>0</v>
      </c>
      <c r="AW51" s="1525">
        <f t="shared" si="12"/>
        <v>0</v>
      </c>
      <c r="AX51" s="152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8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814"/>
      <c r="AV52" s="1525">
        <f t="shared" si="11"/>
        <v>0</v>
      </c>
      <c r="AW52" s="1525">
        <f t="shared" si="12"/>
        <v>0</v>
      </c>
      <c r="AX52" s="152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8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814"/>
      <c r="AV53" s="1525">
        <f t="shared" si="11"/>
        <v>0</v>
      </c>
      <c r="AW53" s="1525">
        <f t="shared" si="12"/>
        <v>0</v>
      </c>
      <c r="AX53" s="152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8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814"/>
      <c r="AV54" s="1525">
        <f t="shared" si="11"/>
        <v>0</v>
      </c>
      <c r="AW54" s="1525">
        <f t="shared" si="12"/>
        <v>0</v>
      </c>
      <c r="AX54" s="152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8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814"/>
      <c r="AV55" s="1525">
        <f t="shared" si="11"/>
        <v>0</v>
      </c>
      <c r="AW55" s="1525">
        <f t="shared" si="12"/>
        <v>0</v>
      </c>
      <c r="AX55" s="152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8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814"/>
      <c r="AV56" s="1525">
        <f t="shared" si="11"/>
        <v>0</v>
      </c>
      <c r="AW56" s="1525">
        <f t="shared" si="12"/>
        <v>0</v>
      </c>
      <c r="AX56" s="152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8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814"/>
      <c r="AV57" s="1525">
        <f t="shared" si="11"/>
        <v>0</v>
      </c>
      <c r="AW57" s="1525">
        <f t="shared" si="12"/>
        <v>0</v>
      </c>
      <c r="AX57" s="152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8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814"/>
      <c r="AV58" s="1525">
        <f t="shared" si="11"/>
        <v>0</v>
      </c>
      <c r="AW58" s="1525">
        <f t="shared" si="12"/>
        <v>0</v>
      </c>
      <c r="AX58" s="152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8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814"/>
      <c r="AV59" s="1525">
        <f t="shared" si="11"/>
        <v>0</v>
      </c>
      <c r="AW59" s="1525">
        <f t="shared" si="12"/>
        <v>0</v>
      </c>
      <c r="AX59" s="152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8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814"/>
      <c r="AV60" s="1525">
        <f t="shared" si="11"/>
        <v>0</v>
      </c>
      <c r="AW60" s="1525">
        <f t="shared" si="12"/>
        <v>0</v>
      </c>
      <c r="AX60" s="152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8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814"/>
      <c r="AV61" s="1525">
        <f t="shared" si="11"/>
        <v>0</v>
      </c>
      <c r="AW61" s="1525">
        <f t="shared" si="12"/>
        <v>0</v>
      </c>
      <c r="AX61" s="152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8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814"/>
      <c r="AV62" s="1525">
        <f t="shared" si="11"/>
        <v>0</v>
      </c>
      <c r="AW62" s="1525">
        <f t="shared" si="12"/>
        <v>0</v>
      </c>
      <c r="AX62" s="152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8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814"/>
      <c r="AV63" s="1525">
        <f t="shared" si="11"/>
        <v>0</v>
      </c>
      <c r="AW63" s="1525">
        <f t="shared" si="12"/>
        <v>0</v>
      </c>
      <c r="AX63" s="152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8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814"/>
      <c r="AV64" s="1525">
        <f t="shared" si="11"/>
        <v>0</v>
      </c>
      <c r="AW64" s="1525">
        <f t="shared" si="12"/>
        <v>0</v>
      </c>
      <c r="AX64" s="152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8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814"/>
      <c r="AV65" s="1525">
        <f t="shared" si="11"/>
        <v>0</v>
      </c>
      <c r="AW65" s="1525">
        <f t="shared" si="12"/>
        <v>0</v>
      </c>
      <c r="AX65" s="152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8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814"/>
      <c r="AV66" s="1525">
        <f t="shared" si="11"/>
        <v>0</v>
      </c>
      <c r="AW66" s="1525">
        <f t="shared" si="12"/>
        <v>0</v>
      </c>
      <c r="AX66" s="152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8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814"/>
      <c r="AV67" s="1525">
        <f t="shared" si="11"/>
        <v>0</v>
      </c>
      <c r="AW67" s="1525">
        <f t="shared" si="12"/>
        <v>0</v>
      </c>
      <c r="AX67" s="152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8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814"/>
      <c r="AV68" s="1525">
        <f t="shared" si="11"/>
        <v>0</v>
      </c>
      <c r="AW68" s="1525">
        <f t="shared" si="12"/>
        <v>0</v>
      </c>
      <c r="AX68" s="152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8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814"/>
      <c r="AV69" s="1525">
        <f t="shared" si="11"/>
        <v>0</v>
      </c>
      <c r="AW69" s="1525">
        <f t="shared" si="12"/>
        <v>0</v>
      </c>
      <c r="AX69" s="152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8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814"/>
      <c r="AV70" s="1525">
        <f t="shared" si="11"/>
        <v>0</v>
      </c>
      <c r="AW70" s="1525">
        <f t="shared" si="12"/>
        <v>0</v>
      </c>
      <c r="AX70" s="152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8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814"/>
      <c r="AV71" s="1525">
        <f t="shared" si="11"/>
        <v>0</v>
      </c>
      <c r="AW71" s="1525">
        <f t="shared" si="12"/>
        <v>0</v>
      </c>
      <c r="AX71" s="152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8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814"/>
      <c r="AV72" s="1525">
        <f t="shared" si="11"/>
        <v>0</v>
      </c>
      <c r="AW72" s="1525">
        <f t="shared" si="12"/>
        <v>0</v>
      </c>
      <c r="AX72" s="152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8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814"/>
      <c r="AV73" s="1525">
        <f t="shared" si="11"/>
        <v>0</v>
      </c>
      <c r="AW73" s="1525">
        <f t="shared" si="12"/>
        <v>0</v>
      </c>
      <c r="AX73" s="152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8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814"/>
      <c r="AV74" s="1525">
        <f t="shared" si="11"/>
        <v>0</v>
      </c>
      <c r="AW74" s="1525">
        <f t="shared" si="12"/>
        <v>0</v>
      </c>
      <c r="AX74" s="152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8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814"/>
      <c r="AV75" s="1525">
        <f t="shared" si="11"/>
        <v>0</v>
      </c>
      <c r="AW75" s="1525">
        <f t="shared" si="12"/>
        <v>0</v>
      </c>
      <c r="AX75" s="152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8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814"/>
      <c r="AV76" s="1525">
        <f t="shared" si="11"/>
        <v>0</v>
      </c>
      <c r="AW76" s="1525">
        <f t="shared" si="12"/>
        <v>0</v>
      </c>
      <c r="AX76" s="152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8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814"/>
      <c r="AV77" s="1525">
        <f t="shared" si="11"/>
        <v>0</v>
      </c>
      <c r="AW77" s="1525">
        <f t="shared" si="12"/>
        <v>0</v>
      </c>
      <c r="AX77" s="152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8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814"/>
      <c r="AV78" s="1525">
        <f t="shared" si="11"/>
        <v>0</v>
      </c>
      <c r="AW78" s="1525">
        <f t="shared" si="12"/>
        <v>0</v>
      </c>
      <c r="AX78" s="152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8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814"/>
      <c r="AV79" s="1525">
        <f t="shared" si="11"/>
        <v>0</v>
      </c>
      <c r="AW79" s="1525">
        <f t="shared" si="12"/>
        <v>0</v>
      </c>
      <c r="AX79" s="152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8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814"/>
      <c r="AV80" s="1525">
        <f t="shared" si="11"/>
        <v>0</v>
      </c>
      <c r="AW80" s="1525">
        <f t="shared" si="12"/>
        <v>0</v>
      </c>
      <c r="AX80" s="152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8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814"/>
      <c r="AV81" s="1525">
        <f t="shared" si="11"/>
        <v>0</v>
      </c>
      <c r="AW81" s="1525">
        <f t="shared" si="12"/>
        <v>0</v>
      </c>
      <c r="AX81" s="152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8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814"/>
      <c r="AV82" s="1525">
        <f t="shared" si="11"/>
        <v>0</v>
      </c>
      <c r="AW82" s="1525">
        <f t="shared" si="12"/>
        <v>0</v>
      </c>
      <c r="AX82" s="152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8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814"/>
      <c r="AV83" s="1525">
        <f t="shared" si="11"/>
        <v>0</v>
      </c>
      <c r="AW83" s="1525">
        <f t="shared" si="12"/>
        <v>0</v>
      </c>
      <c r="AX83" s="152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8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814"/>
      <c r="AV84" s="1525">
        <f t="shared" si="11"/>
        <v>0</v>
      </c>
      <c r="AW84" s="1525">
        <f t="shared" si="12"/>
        <v>0</v>
      </c>
      <c r="AX84" s="152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8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814"/>
      <c r="AV85" s="1525">
        <f t="shared" si="11"/>
        <v>0</v>
      </c>
      <c r="AW85" s="1525">
        <f t="shared" si="12"/>
        <v>0</v>
      </c>
      <c r="AX85" s="152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8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814"/>
      <c r="AV86" s="1525">
        <f t="shared" si="11"/>
        <v>0</v>
      </c>
      <c r="AW86" s="1525">
        <f t="shared" si="12"/>
        <v>0</v>
      </c>
      <c r="AX86" s="152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8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814"/>
      <c r="AV87" s="1525">
        <f t="shared" si="11"/>
        <v>0</v>
      </c>
      <c r="AW87" s="1525">
        <f t="shared" si="12"/>
        <v>0</v>
      </c>
      <c r="AX87" s="152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8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814"/>
      <c r="AV88" s="1525">
        <f t="shared" si="11"/>
        <v>0</v>
      </c>
      <c r="AW88" s="1525">
        <f t="shared" si="12"/>
        <v>0</v>
      </c>
      <c r="AX88" s="152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8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814"/>
      <c r="AV89" s="1525">
        <f t="shared" si="11"/>
        <v>0</v>
      </c>
      <c r="AW89" s="1525">
        <f t="shared" si="12"/>
        <v>0</v>
      </c>
      <c r="AX89" s="152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8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814"/>
      <c r="AV90" s="1525">
        <f t="shared" si="11"/>
        <v>0</v>
      </c>
      <c r="AW90" s="1525">
        <f t="shared" si="12"/>
        <v>0</v>
      </c>
      <c r="AX90" s="152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8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814"/>
      <c r="AV91" s="1525">
        <f t="shared" si="11"/>
        <v>0</v>
      </c>
      <c r="AW91" s="1525">
        <f t="shared" si="12"/>
        <v>0</v>
      </c>
      <c r="AX91" s="152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8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814"/>
      <c r="AV92" s="1525">
        <f t="shared" si="11"/>
        <v>0</v>
      </c>
      <c r="AW92" s="1525">
        <f t="shared" si="12"/>
        <v>0</v>
      </c>
      <c r="AX92" s="152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8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814"/>
      <c r="AV93" s="1525">
        <f t="shared" si="11"/>
        <v>0</v>
      </c>
      <c r="AW93" s="1525">
        <f t="shared" si="12"/>
        <v>0</v>
      </c>
      <c r="AX93" s="152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8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814"/>
      <c r="AV94" s="1525">
        <f t="shared" si="11"/>
        <v>0</v>
      </c>
      <c r="AW94" s="1525">
        <f t="shared" si="12"/>
        <v>0</v>
      </c>
      <c r="AX94" s="152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8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814"/>
      <c r="AV95" s="1525">
        <f t="shared" si="11"/>
        <v>0</v>
      </c>
      <c r="AW95" s="1525">
        <f t="shared" si="12"/>
        <v>0</v>
      </c>
      <c r="AX95" s="152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8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814"/>
      <c r="AV96" s="1525">
        <f t="shared" si="11"/>
        <v>0</v>
      </c>
      <c r="AW96" s="1525">
        <f t="shared" si="12"/>
        <v>0</v>
      </c>
      <c r="AX96" s="152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8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814"/>
      <c r="AV97" s="1525">
        <f t="shared" si="11"/>
        <v>0</v>
      </c>
      <c r="AW97" s="1525">
        <f t="shared" si="12"/>
        <v>0</v>
      </c>
      <c r="AX97" s="152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8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814"/>
      <c r="AV98" s="1525">
        <f t="shared" si="11"/>
        <v>0</v>
      </c>
      <c r="AW98" s="1525">
        <f t="shared" si="12"/>
        <v>0</v>
      </c>
      <c r="AX98" s="152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8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814"/>
      <c r="AV99" s="1525">
        <f t="shared" si="11"/>
        <v>0</v>
      </c>
      <c r="AW99" s="1525">
        <f t="shared" si="12"/>
        <v>0</v>
      </c>
      <c r="AX99" s="152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8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814"/>
      <c r="AV100" s="1525">
        <f t="shared" si="11"/>
        <v>0</v>
      </c>
      <c r="AW100" s="1525">
        <f t="shared" si="12"/>
        <v>0</v>
      </c>
      <c r="AX100" s="152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8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814"/>
      <c r="AV101" s="1525">
        <f t="shared" si="11"/>
        <v>0</v>
      </c>
      <c r="AW101" s="1525">
        <f t="shared" si="12"/>
        <v>0</v>
      </c>
      <c r="AX101" s="152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8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814"/>
      <c r="AV102" s="1525">
        <f t="shared" si="11"/>
        <v>0</v>
      </c>
      <c r="AW102" s="1525">
        <f t="shared" si="12"/>
        <v>0</v>
      </c>
      <c r="AX102" s="152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8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814"/>
      <c r="AV103" s="1525">
        <f t="shared" si="11"/>
        <v>0</v>
      </c>
      <c r="AW103" s="1525">
        <f t="shared" si="12"/>
        <v>0</v>
      </c>
      <c r="AX103" s="152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8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814"/>
      <c r="AV104" s="1525">
        <f t="shared" si="11"/>
        <v>0</v>
      </c>
      <c r="AW104" s="1525">
        <f t="shared" si="12"/>
        <v>0</v>
      </c>
      <c r="AX104" s="152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8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814"/>
      <c r="AV105" s="1525">
        <f t="shared" si="11"/>
        <v>0</v>
      </c>
      <c r="AW105" s="1525">
        <f t="shared" si="12"/>
        <v>0</v>
      </c>
      <c r="AX105" s="152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8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814"/>
      <c r="AV106" s="1525">
        <f t="shared" si="11"/>
        <v>0</v>
      </c>
      <c r="AW106" s="1525">
        <f t="shared" si="12"/>
        <v>0</v>
      </c>
      <c r="AX106" s="152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8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814"/>
      <c r="AV107" s="1525">
        <f t="shared" si="11"/>
        <v>0</v>
      </c>
      <c r="AW107" s="1525">
        <f t="shared" si="12"/>
        <v>0</v>
      </c>
      <c r="AX107" s="152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8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814"/>
      <c r="AV108" s="1525">
        <f t="shared" si="11"/>
        <v>0</v>
      </c>
      <c r="AW108" s="1525">
        <f t="shared" si="12"/>
        <v>0</v>
      </c>
      <c r="AX108" s="152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8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814"/>
      <c r="AV109" s="1525">
        <f t="shared" si="11"/>
        <v>0</v>
      </c>
      <c r="AW109" s="1525">
        <f t="shared" si="12"/>
        <v>0</v>
      </c>
      <c r="AX109" s="152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81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754"/>
      <c r="AV110" s="1525">
        <f t="shared" si="11"/>
        <v>0</v>
      </c>
      <c r="AW110" s="1525">
        <f t="shared" si="12"/>
        <v>0</v>
      </c>
      <c r="AX110" s="152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81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754"/>
      <c r="AV111" s="1525">
        <f t="shared" si="11"/>
        <v>0</v>
      </c>
      <c r="AW111" s="1525">
        <f t="shared" si="12"/>
        <v>0</v>
      </c>
      <c r="AX111" s="152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81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754"/>
      <c r="AV112" s="1525">
        <f t="shared" si="11"/>
        <v>0</v>
      </c>
      <c r="AW112" s="1525">
        <f t="shared" si="12"/>
        <v>0</v>
      </c>
      <c r="AX112" s="152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8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814"/>
      <c r="AV113" s="1525">
        <f t="shared" ref="AV113:AV144" si="62">A113</f>
        <v>0</v>
      </c>
      <c r="AW113" s="1525">
        <f t="shared" ref="AW113:AW144" si="63">B113</f>
        <v>0</v>
      </c>
      <c r="AX113" s="152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8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814"/>
      <c r="AV114" s="1525">
        <f t="shared" si="62"/>
        <v>0</v>
      </c>
      <c r="AW114" s="1525">
        <f t="shared" si="63"/>
        <v>0</v>
      </c>
      <c r="AX114" s="152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8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814"/>
      <c r="AV115" s="1525">
        <f t="shared" si="62"/>
        <v>0</v>
      </c>
      <c r="AW115" s="1525">
        <f t="shared" si="63"/>
        <v>0</v>
      </c>
      <c r="AX115" s="152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8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814"/>
      <c r="AV116" s="1525">
        <f t="shared" si="62"/>
        <v>0</v>
      </c>
      <c r="AW116" s="1525">
        <f t="shared" si="63"/>
        <v>0</v>
      </c>
      <c r="AX116" s="152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8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814"/>
      <c r="AV117" s="1525">
        <f t="shared" si="62"/>
        <v>0</v>
      </c>
      <c r="AW117" s="1525">
        <f t="shared" si="63"/>
        <v>0</v>
      </c>
      <c r="AX117" s="152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8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814"/>
      <c r="AV118" s="1525">
        <f t="shared" si="62"/>
        <v>0</v>
      </c>
      <c r="AW118" s="1525">
        <f t="shared" si="63"/>
        <v>0</v>
      </c>
      <c r="AX118" s="152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8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814"/>
      <c r="AV119" s="1525">
        <f t="shared" si="62"/>
        <v>0</v>
      </c>
      <c r="AW119" s="1525">
        <f t="shared" si="63"/>
        <v>0</v>
      </c>
      <c r="AX119" s="152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8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814"/>
      <c r="AV120" s="1525">
        <f t="shared" si="62"/>
        <v>0</v>
      </c>
      <c r="AW120" s="1525">
        <f t="shared" si="63"/>
        <v>0</v>
      </c>
      <c r="AX120" s="152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8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814"/>
      <c r="AV121" s="1525">
        <f t="shared" si="62"/>
        <v>0</v>
      </c>
      <c r="AW121" s="1525">
        <f t="shared" si="63"/>
        <v>0</v>
      </c>
      <c r="AX121" s="152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8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814"/>
      <c r="AV122" s="1525">
        <f t="shared" si="62"/>
        <v>0</v>
      </c>
      <c r="AW122" s="1525">
        <f t="shared" si="63"/>
        <v>0</v>
      </c>
      <c r="AX122" s="152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8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814"/>
      <c r="AV123" s="1525">
        <f t="shared" si="62"/>
        <v>0</v>
      </c>
      <c r="AW123" s="1525">
        <f t="shared" si="63"/>
        <v>0</v>
      </c>
      <c r="AX123" s="152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8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814"/>
      <c r="AV124" s="1525">
        <f t="shared" si="62"/>
        <v>0</v>
      </c>
      <c r="AW124" s="1525">
        <f t="shared" si="63"/>
        <v>0</v>
      </c>
      <c r="AX124" s="152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8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814"/>
      <c r="AV125" s="1525">
        <f t="shared" si="62"/>
        <v>0</v>
      </c>
      <c r="AW125" s="1525">
        <f t="shared" si="63"/>
        <v>0</v>
      </c>
      <c r="AX125" s="152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8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814"/>
      <c r="AV126" s="1525">
        <f t="shared" si="62"/>
        <v>0</v>
      </c>
      <c r="AW126" s="1525">
        <f t="shared" si="63"/>
        <v>0</v>
      </c>
      <c r="AX126" s="152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8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814"/>
      <c r="AV127" s="1525">
        <f t="shared" si="62"/>
        <v>0</v>
      </c>
      <c r="AW127" s="1525">
        <f t="shared" si="63"/>
        <v>0</v>
      </c>
      <c r="AX127" s="152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8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814"/>
      <c r="AV128" s="1525">
        <f t="shared" si="62"/>
        <v>0</v>
      </c>
      <c r="AW128" s="1525">
        <f t="shared" si="63"/>
        <v>0</v>
      </c>
      <c r="AX128" s="152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8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814"/>
      <c r="AV129" s="1525">
        <f t="shared" si="62"/>
        <v>0</v>
      </c>
      <c r="AW129" s="1525">
        <f t="shared" si="63"/>
        <v>0</v>
      </c>
      <c r="AX129" s="152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8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814"/>
      <c r="AV130" s="1525">
        <f t="shared" si="62"/>
        <v>0</v>
      </c>
      <c r="AW130" s="1525">
        <f t="shared" si="63"/>
        <v>0</v>
      </c>
      <c r="AX130" s="152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8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814"/>
      <c r="AV131" s="1525">
        <f t="shared" si="62"/>
        <v>0</v>
      </c>
      <c r="AW131" s="1525">
        <f t="shared" si="63"/>
        <v>0</v>
      </c>
      <c r="AX131" s="152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8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814"/>
      <c r="AV132" s="1525">
        <f t="shared" si="62"/>
        <v>0</v>
      </c>
      <c r="AW132" s="1525">
        <f t="shared" si="63"/>
        <v>0</v>
      </c>
      <c r="AX132" s="152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8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814"/>
      <c r="AV133" s="1525">
        <f t="shared" si="62"/>
        <v>0</v>
      </c>
      <c r="AW133" s="1525">
        <f t="shared" si="63"/>
        <v>0</v>
      </c>
      <c r="AX133" s="152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8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814"/>
      <c r="AV134" s="1525">
        <f t="shared" si="62"/>
        <v>0</v>
      </c>
      <c r="AW134" s="1525">
        <f t="shared" si="63"/>
        <v>0</v>
      </c>
      <c r="AX134" s="152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8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814"/>
      <c r="AV135" s="1525">
        <f t="shared" si="62"/>
        <v>0</v>
      </c>
      <c r="AW135" s="1525">
        <f t="shared" si="63"/>
        <v>0</v>
      </c>
      <c r="AX135" s="152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8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814"/>
      <c r="AV136" s="1525">
        <f t="shared" si="62"/>
        <v>0</v>
      </c>
      <c r="AW136" s="1525">
        <f t="shared" si="63"/>
        <v>0</v>
      </c>
      <c r="AX136" s="152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8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814"/>
      <c r="AV137" s="1525">
        <f t="shared" si="62"/>
        <v>0</v>
      </c>
      <c r="AW137" s="1525">
        <f t="shared" si="63"/>
        <v>0</v>
      </c>
      <c r="AX137" s="152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8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814"/>
      <c r="AV138" s="1525">
        <f t="shared" si="62"/>
        <v>0</v>
      </c>
      <c r="AW138" s="1525">
        <f t="shared" si="63"/>
        <v>0</v>
      </c>
      <c r="AX138" s="152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8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814"/>
      <c r="AV139" s="1525">
        <f t="shared" si="62"/>
        <v>0</v>
      </c>
      <c r="AW139" s="1525">
        <f t="shared" si="63"/>
        <v>0</v>
      </c>
      <c r="AX139" s="152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8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814"/>
      <c r="AV140" s="1525">
        <f t="shared" si="62"/>
        <v>0</v>
      </c>
      <c r="AW140" s="1525">
        <f t="shared" si="63"/>
        <v>0</v>
      </c>
      <c r="AX140" s="152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8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814"/>
      <c r="AV141" s="1525">
        <f t="shared" si="62"/>
        <v>0</v>
      </c>
      <c r="AW141" s="1525">
        <f t="shared" si="63"/>
        <v>0</v>
      </c>
      <c r="AX141" s="152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8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814"/>
      <c r="AV142" s="1525">
        <f t="shared" si="62"/>
        <v>0</v>
      </c>
      <c r="AW142" s="1525">
        <f t="shared" si="63"/>
        <v>0</v>
      </c>
      <c r="AX142" s="152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8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814"/>
      <c r="AV143" s="1525">
        <f t="shared" si="62"/>
        <v>0</v>
      </c>
      <c r="AW143" s="1525">
        <f t="shared" si="63"/>
        <v>0</v>
      </c>
      <c r="AX143" s="152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8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814"/>
      <c r="AV144" s="1525">
        <f t="shared" si="62"/>
        <v>0</v>
      </c>
      <c r="AW144" s="1525">
        <f t="shared" si="63"/>
        <v>0</v>
      </c>
      <c r="AX144" s="152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8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814"/>
      <c r="AV145" s="1525">
        <f t="shared" ref="AV145:AV176" si="91">A145</f>
        <v>0</v>
      </c>
      <c r="AW145" s="1525">
        <f t="shared" ref="AW145:AW176" si="92">B145</f>
        <v>0</v>
      </c>
      <c r="AX145" s="152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8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814"/>
      <c r="AV146" s="1525">
        <f t="shared" si="91"/>
        <v>0</v>
      </c>
      <c r="AW146" s="1525">
        <f t="shared" si="92"/>
        <v>0</v>
      </c>
      <c r="AX146" s="152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8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814"/>
      <c r="AV147" s="1525">
        <f t="shared" si="91"/>
        <v>0</v>
      </c>
      <c r="AW147" s="1525">
        <f t="shared" si="92"/>
        <v>0</v>
      </c>
      <c r="AX147" s="152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8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814"/>
      <c r="AV148" s="1525">
        <f t="shared" si="91"/>
        <v>0</v>
      </c>
      <c r="AW148" s="1525">
        <f t="shared" si="92"/>
        <v>0</v>
      </c>
      <c r="AX148" s="152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8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814"/>
      <c r="AV149" s="1525">
        <f t="shared" si="91"/>
        <v>0</v>
      </c>
      <c r="AW149" s="1525">
        <f t="shared" si="92"/>
        <v>0</v>
      </c>
      <c r="AX149" s="152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8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814"/>
      <c r="AV150" s="1525">
        <f t="shared" si="91"/>
        <v>0</v>
      </c>
      <c r="AW150" s="1525">
        <f t="shared" si="92"/>
        <v>0</v>
      </c>
      <c r="AX150" s="152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8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814"/>
      <c r="AV151" s="1525">
        <f t="shared" si="91"/>
        <v>0</v>
      </c>
      <c r="AW151" s="1525">
        <f t="shared" si="92"/>
        <v>0</v>
      </c>
      <c r="AX151" s="152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8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814"/>
      <c r="AV152" s="1525">
        <f t="shared" si="91"/>
        <v>0</v>
      </c>
      <c r="AW152" s="1525">
        <f t="shared" si="92"/>
        <v>0</v>
      </c>
      <c r="AX152" s="152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8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814"/>
      <c r="AV153" s="1525">
        <f t="shared" si="91"/>
        <v>0</v>
      </c>
      <c r="AW153" s="1525">
        <f t="shared" si="92"/>
        <v>0</v>
      </c>
      <c r="AX153" s="152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8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814"/>
      <c r="AV154" s="1525">
        <f t="shared" si="91"/>
        <v>0</v>
      </c>
      <c r="AW154" s="1525">
        <f t="shared" si="92"/>
        <v>0</v>
      </c>
      <c r="AX154" s="152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8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814"/>
      <c r="AV155" s="1525">
        <f t="shared" si="91"/>
        <v>0</v>
      </c>
      <c r="AW155" s="1525">
        <f t="shared" si="92"/>
        <v>0</v>
      </c>
      <c r="AX155" s="152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8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814"/>
      <c r="AV156" s="1525">
        <f t="shared" si="91"/>
        <v>0</v>
      </c>
      <c r="AW156" s="1525">
        <f t="shared" si="92"/>
        <v>0</v>
      </c>
      <c r="AX156" s="152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8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814"/>
      <c r="AV157" s="1525">
        <f t="shared" si="91"/>
        <v>0</v>
      </c>
      <c r="AW157" s="1525">
        <f t="shared" si="92"/>
        <v>0</v>
      </c>
      <c r="AX157" s="152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8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814"/>
      <c r="AV158" s="1525">
        <f t="shared" si="91"/>
        <v>0</v>
      </c>
      <c r="AW158" s="1525">
        <f t="shared" si="92"/>
        <v>0</v>
      </c>
      <c r="AX158" s="152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8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814"/>
      <c r="AV159" s="1525">
        <f t="shared" si="91"/>
        <v>0</v>
      </c>
      <c r="AW159" s="1525">
        <f t="shared" si="92"/>
        <v>0</v>
      </c>
      <c r="AX159" s="152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8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814"/>
      <c r="AV160" s="1525">
        <f t="shared" si="91"/>
        <v>0</v>
      </c>
      <c r="AW160" s="1525">
        <f t="shared" si="92"/>
        <v>0</v>
      </c>
      <c r="AX160" s="152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8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814"/>
      <c r="AV161" s="1525">
        <f t="shared" si="91"/>
        <v>0</v>
      </c>
      <c r="AW161" s="1525">
        <f t="shared" si="92"/>
        <v>0</v>
      </c>
      <c r="AX161" s="152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8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814"/>
      <c r="AV162" s="1525">
        <f t="shared" si="91"/>
        <v>0</v>
      </c>
      <c r="AW162" s="1525">
        <f t="shared" si="92"/>
        <v>0</v>
      </c>
      <c r="AX162" s="152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8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814"/>
      <c r="AV163" s="1525">
        <f t="shared" si="91"/>
        <v>0</v>
      </c>
      <c r="AW163" s="1525">
        <f t="shared" si="92"/>
        <v>0</v>
      </c>
      <c r="AX163" s="152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8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814"/>
      <c r="AV164" s="1525">
        <f t="shared" si="91"/>
        <v>0</v>
      </c>
      <c r="AW164" s="1525">
        <f t="shared" si="92"/>
        <v>0</v>
      </c>
      <c r="AX164" s="152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8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814"/>
      <c r="AV165" s="1525">
        <f t="shared" si="91"/>
        <v>0</v>
      </c>
      <c r="AW165" s="1525">
        <f t="shared" si="92"/>
        <v>0</v>
      </c>
      <c r="AX165" s="152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8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814"/>
      <c r="AV166" s="1525">
        <f t="shared" si="91"/>
        <v>0</v>
      </c>
      <c r="AW166" s="1525">
        <f t="shared" si="92"/>
        <v>0</v>
      </c>
      <c r="AX166" s="152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8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814"/>
      <c r="AV167" s="1525">
        <f t="shared" si="91"/>
        <v>0</v>
      </c>
      <c r="AW167" s="1525">
        <f t="shared" si="92"/>
        <v>0</v>
      </c>
      <c r="AX167" s="152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8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814"/>
      <c r="AV168" s="1525">
        <f t="shared" si="91"/>
        <v>0</v>
      </c>
      <c r="AW168" s="1525">
        <f t="shared" si="92"/>
        <v>0</v>
      </c>
      <c r="AX168" s="152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8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814"/>
      <c r="AV169" s="1525">
        <f t="shared" si="91"/>
        <v>0</v>
      </c>
      <c r="AW169" s="1525">
        <f t="shared" si="92"/>
        <v>0</v>
      </c>
      <c r="AX169" s="152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8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814"/>
      <c r="AV170" s="1525">
        <f t="shared" si="91"/>
        <v>0</v>
      </c>
      <c r="AW170" s="1525">
        <f t="shared" si="92"/>
        <v>0</v>
      </c>
      <c r="AX170" s="152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8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814"/>
      <c r="AV171" s="1525">
        <f t="shared" si="91"/>
        <v>0</v>
      </c>
      <c r="AW171" s="1525">
        <f t="shared" si="92"/>
        <v>0</v>
      </c>
      <c r="AX171" s="152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8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814"/>
      <c r="AV172" s="1525">
        <f t="shared" si="91"/>
        <v>0</v>
      </c>
      <c r="AW172" s="1525">
        <f t="shared" si="92"/>
        <v>0</v>
      </c>
      <c r="AX172" s="152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8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814"/>
      <c r="AV173" s="1525">
        <f t="shared" si="91"/>
        <v>0</v>
      </c>
      <c r="AW173" s="1525">
        <f t="shared" si="92"/>
        <v>0</v>
      </c>
      <c r="AX173" s="152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8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814"/>
      <c r="AV174" s="1525">
        <f t="shared" si="91"/>
        <v>0</v>
      </c>
      <c r="AW174" s="1525">
        <f t="shared" si="92"/>
        <v>0</v>
      </c>
      <c r="AX174" s="152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8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814"/>
      <c r="AV175" s="1525">
        <f t="shared" si="91"/>
        <v>0</v>
      </c>
      <c r="AW175" s="1525">
        <f t="shared" si="92"/>
        <v>0</v>
      </c>
      <c r="AX175" s="152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8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814"/>
      <c r="AV176" s="1525">
        <f t="shared" si="91"/>
        <v>0</v>
      </c>
      <c r="AW176" s="1525">
        <f t="shared" si="92"/>
        <v>0</v>
      </c>
      <c r="AX176" s="152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8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814"/>
      <c r="AV177" s="1525">
        <f t="shared" ref="AV177:AV207" si="120">A177</f>
        <v>0</v>
      </c>
      <c r="AW177" s="1525">
        <f t="shared" ref="AW177:AW207" si="121">B177</f>
        <v>0</v>
      </c>
      <c r="AX177" s="152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8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814"/>
      <c r="AV178" s="1525">
        <f t="shared" si="120"/>
        <v>0</v>
      </c>
      <c r="AW178" s="1525">
        <f t="shared" si="121"/>
        <v>0</v>
      </c>
      <c r="AX178" s="152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8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814"/>
      <c r="AV179" s="1525">
        <f t="shared" si="120"/>
        <v>0</v>
      </c>
      <c r="AW179" s="1525">
        <f t="shared" si="121"/>
        <v>0</v>
      </c>
      <c r="AX179" s="152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8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814"/>
      <c r="AV180" s="1525">
        <f t="shared" si="120"/>
        <v>0</v>
      </c>
      <c r="AW180" s="1525">
        <f t="shared" si="121"/>
        <v>0</v>
      </c>
      <c r="AX180" s="152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8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814"/>
      <c r="AV181" s="1525">
        <f t="shared" si="120"/>
        <v>0</v>
      </c>
      <c r="AW181" s="1525">
        <f t="shared" si="121"/>
        <v>0</v>
      </c>
      <c r="AX181" s="152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8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814"/>
      <c r="AV182" s="1525">
        <f t="shared" si="120"/>
        <v>0</v>
      </c>
      <c r="AW182" s="1525">
        <f t="shared" si="121"/>
        <v>0</v>
      </c>
      <c r="AX182" s="152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8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814"/>
      <c r="AV183" s="1525">
        <f t="shared" si="120"/>
        <v>0</v>
      </c>
      <c r="AW183" s="1525">
        <f t="shared" si="121"/>
        <v>0</v>
      </c>
      <c r="AX183" s="152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8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814"/>
      <c r="AV184" s="1525">
        <f t="shared" si="120"/>
        <v>0</v>
      </c>
      <c r="AW184" s="1525">
        <f t="shared" si="121"/>
        <v>0</v>
      </c>
      <c r="AX184" s="152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8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814"/>
      <c r="AV185" s="1525">
        <f t="shared" si="120"/>
        <v>0</v>
      </c>
      <c r="AW185" s="1525">
        <f t="shared" si="121"/>
        <v>0</v>
      </c>
      <c r="AX185" s="152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8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814"/>
      <c r="AV186" s="1525">
        <f t="shared" si="120"/>
        <v>0</v>
      </c>
      <c r="AW186" s="1525">
        <f t="shared" si="121"/>
        <v>0</v>
      </c>
      <c r="AX186" s="152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8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814"/>
      <c r="AV187" s="1525">
        <f t="shared" si="120"/>
        <v>0</v>
      </c>
      <c r="AW187" s="1525">
        <f t="shared" si="121"/>
        <v>0</v>
      </c>
      <c r="AX187" s="152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8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814"/>
      <c r="AV188" s="1525">
        <f t="shared" si="120"/>
        <v>0</v>
      </c>
      <c r="AW188" s="1525">
        <f t="shared" si="121"/>
        <v>0</v>
      </c>
      <c r="AX188" s="152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8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814"/>
      <c r="AV189" s="1525">
        <f t="shared" si="120"/>
        <v>0</v>
      </c>
      <c r="AW189" s="1525">
        <f t="shared" si="121"/>
        <v>0</v>
      </c>
      <c r="AX189" s="152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8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814"/>
      <c r="AV190" s="1525">
        <f t="shared" si="120"/>
        <v>0</v>
      </c>
      <c r="AW190" s="1525">
        <f t="shared" si="121"/>
        <v>0</v>
      </c>
      <c r="AX190" s="152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8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814"/>
      <c r="AV191" s="1525">
        <f t="shared" si="120"/>
        <v>0</v>
      </c>
      <c r="AW191" s="1525">
        <f t="shared" si="121"/>
        <v>0</v>
      </c>
      <c r="AX191" s="152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8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814"/>
      <c r="AV192" s="1525">
        <f t="shared" si="120"/>
        <v>0</v>
      </c>
      <c r="AW192" s="1525">
        <f t="shared" si="121"/>
        <v>0</v>
      </c>
      <c r="AX192" s="152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8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814"/>
      <c r="AV193" s="1525">
        <f t="shared" si="120"/>
        <v>0</v>
      </c>
      <c r="AW193" s="1525">
        <f t="shared" si="121"/>
        <v>0</v>
      </c>
      <c r="AX193" s="152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8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814"/>
      <c r="AV194" s="1525">
        <f t="shared" si="120"/>
        <v>0</v>
      </c>
      <c r="AW194" s="1525">
        <f t="shared" si="121"/>
        <v>0</v>
      </c>
      <c r="AX194" s="152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8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814"/>
      <c r="AV195" s="1525">
        <f t="shared" si="120"/>
        <v>0</v>
      </c>
      <c r="AW195" s="1525">
        <f t="shared" si="121"/>
        <v>0</v>
      </c>
      <c r="AX195" s="152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8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814"/>
      <c r="AV196" s="1525">
        <f t="shared" si="120"/>
        <v>0</v>
      </c>
      <c r="AW196" s="1525">
        <f t="shared" si="121"/>
        <v>0</v>
      </c>
      <c r="AX196" s="152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8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814"/>
      <c r="AV197" s="1525">
        <f t="shared" si="120"/>
        <v>0</v>
      </c>
      <c r="AW197" s="1525">
        <f t="shared" si="121"/>
        <v>0</v>
      </c>
      <c r="AX197" s="152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8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814"/>
      <c r="AV198" s="1525">
        <f t="shared" si="120"/>
        <v>0</v>
      </c>
      <c r="AW198" s="1525">
        <f t="shared" si="121"/>
        <v>0</v>
      </c>
      <c r="AX198" s="152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8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814"/>
      <c r="AV199" s="1525">
        <f t="shared" si="120"/>
        <v>0</v>
      </c>
      <c r="AW199" s="1525">
        <f t="shared" si="121"/>
        <v>0</v>
      </c>
      <c r="AX199" s="152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8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814"/>
      <c r="AV200" s="1525">
        <f t="shared" si="120"/>
        <v>0</v>
      </c>
      <c r="AW200" s="1525">
        <f t="shared" si="121"/>
        <v>0</v>
      </c>
      <c r="AX200" s="152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8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814"/>
      <c r="AV201" s="1525">
        <f t="shared" si="120"/>
        <v>0</v>
      </c>
      <c r="AW201" s="1525">
        <f t="shared" si="121"/>
        <v>0</v>
      </c>
      <c r="AX201" s="152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8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814"/>
      <c r="AV202" s="1525">
        <f t="shared" si="120"/>
        <v>0</v>
      </c>
      <c r="AW202" s="1525">
        <f t="shared" si="121"/>
        <v>0</v>
      </c>
      <c r="AX202" s="152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8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814"/>
      <c r="AV203" s="1525">
        <f t="shared" si="120"/>
        <v>0</v>
      </c>
      <c r="AW203" s="1525">
        <f t="shared" si="121"/>
        <v>0</v>
      </c>
      <c r="AX203" s="152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8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814"/>
      <c r="AV204" s="1525">
        <f t="shared" si="120"/>
        <v>0</v>
      </c>
      <c r="AW204" s="1525">
        <f t="shared" si="121"/>
        <v>0</v>
      </c>
      <c r="AX204" s="152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81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754"/>
      <c r="AV205" s="1525">
        <f t="shared" si="120"/>
        <v>0</v>
      </c>
      <c r="AW205" s="1525">
        <f t="shared" si="121"/>
        <v>0</v>
      </c>
      <c r="AX205" s="152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81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754"/>
      <c r="AV206" s="1525">
        <f t="shared" si="120"/>
        <v>0</v>
      </c>
      <c r="AW206" s="1525">
        <f t="shared" si="121"/>
        <v>0</v>
      </c>
      <c r="AX206" s="152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81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754"/>
      <c r="AV207" s="1525">
        <f t="shared" si="120"/>
        <v>0</v>
      </c>
      <c r="AW207" s="1525">
        <f t="shared" si="121"/>
        <v>0</v>
      </c>
      <c r="AX207" s="152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8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814"/>
      <c r="AV208" s="1525">
        <f t="shared" ref="AV208:AV302" si="127">A208</f>
        <v>0</v>
      </c>
      <c r="AW208" s="1525">
        <f t="shared" ref="AW208:AW302" si="128">B208</f>
        <v>0</v>
      </c>
      <c r="AX208" s="152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8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814"/>
      <c r="AV209" s="1525">
        <f t="shared" si="127"/>
        <v>0</v>
      </c>
      <c r="AW209" s="1525">
        <f t="shared" si="128"/>
        <v>0</v>
      </c>
      <c r="AX209" s="152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8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814"/>
      <c r="AV210" s="1525">
        <f t="shared" si="127"/>
        <v>0</v>
      </c>
      <c r="AW210" s="1525">
        <f t="shared" si="128"/>
        <v>0</v>
      </c>
      <c r="AX210" s="152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8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814"/>
      <c r="AV211" s="1525">
        <f t="shared" si="127"/>
        <v>0</v>
      </c>
      <c r="AW211" s="1525">
        <f t="shared" si="128"/>
        <v>0</v>
      </c>
      <c r="AX211" s="152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8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814"/>
      <c r="AV212" s="1525">
        <f t="shared" si="127"/>
        <v>0</v>
      </c>
      <c r="AW212" s="1525">
        <f t="shared" si="128"/>
        <v>0</v>
      </c>
      <c r="AX212" s="152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8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814"/>
      <c r="AV213" s="1525">
        <f t="shared" si="127"/>
        <v>0</v>
      </c>
      <c r="AW213" s="1525">
        <f t="shared" si="128"/>
        <v>0</v>
      </c>
      <c r="AX213" s="152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8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814"/>
      <c r="AV214" s="1525">
        <f t="shared" si="127"/>
        <v>0</v>
      </c>
      <c r="AW214" s="1525">
        <f t="shared" si="128"/>
        <v>0</v>
      </c>
      <c r="AX214" s="152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8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814"/>
      <c r="AV215" s="1525">
        <f t="shared" si="127"/>
        <v>0</v>
      </c>
      <c r="AW215" s="1525">
        <f t="shared" si="128"/>
        <v>0</v>
      </c>
      <c r="AX215" s="152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8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814"/>
      <c r="AV216" s="1525">
        <f t="shared" si="127"/>
        <v>0</v>
      </c>
      <c r="AW216" s="1525">
        <f t="shared" si="128"/>
        <v>0</v>
      </c>
      <c r="AX216" s="152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8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814"/>
      <c r="AV217" s="1525">
        <f t="shared" si="127"/>
        <v>0</v>
      </c>
      <c r="AW217" s="1525">
        <f t="shared" si="128"/>
        <v>0</v>
      </c>
      <c r="AX217" s="152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8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814"/>
      <c r="AV218" s="1525">
        <f t="shared" si="127"/>
        <v>0</v>
      </c>
      <c r="AW218" s="1525">
        <f t="shared" si="128"/>
        <v>0</v>
      </c>
      <c r="AX218" s="152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8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814"/>
      <c r="AV219" s="1525">
        <f t="shared" si="127"/>
        <v>0</v>
      </c>
      <c r="AW219" s="1525">
        <f t="shared" si="128"/>
        <v>0</v>
      </c>
      <c r="AX219" s="152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8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814"/>
      <c r="AV220" s="1525">
        <f t="shared" si="127"/>
        <v>0</v>
      </c>
      <c r="AW220" s="1525">
        <f t="shared" si="128"/>
        <v>0</v>
      </c>
      <c r="AX220" s="152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8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814"/>
      <c r="AV221" s="1525">
        <f t="shared" si="127"/>
        <v>0</v>
      </c>
      <c r="AW221" s="1525">
        <f t="shared" si="128"/>
        <v>0</v>
      </c>
      <c r="AX221" s="152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8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814"/>
      <c r="AV222" s="1525">
        <f t="shared" si="127"/>
        <v>0</v>
      </c>
      <c r="AW222" s="1525">
        <f t="shared" si="128"/>
        <v>0</v>
      </c>
      <c r="AX222" s="152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8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814"/>
      <c r="AV223" s="1525">
        <f t="shared" si="127"/>
        <v>0</v>
      </c>
      <c r="AW223" s="1525">
        <f t="shared" si="128"/>
        <v>0</v>
      </c>
      <c r="AX223" s="152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8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814"/>
      <c r="AV224" s="1525">
        <f t="shared" si="127"/>
        <v>0</v>
      </c>
      <c r="AW224" s="1525">
        <f t="shared" si="128"/>
        <v>0</v>
      </c>
      <c r="AX224" s="152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8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814"/>
      <c r="AV225" s="1525">
        <f t="shared" si="127"/>
        <v>0</v>
      </c>
      <c r="AW225" s="1525">
        <f t="shared" si="128"/>
        <v>0</v>
      </c>
      <c r="AX225" s="152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8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814"/>
      <c r="AV226" s="1525">
        <f t="shared" si="127"/>
        <v>0</v>
      </c>
      <c r="AW226" s="1525">
        <f t="shared" si="128"/>
        <v>0</v>
      </c>
      <c r="AX226" s="152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8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814"/>
      <c r="AV227" s="1525">
        <f t="shared" si="127"/>
        <v>0</v>
      </c>
      <c r="AW227" s="1525">
        <f t="shared" si="128"/>
        <v>0</v>
      </c>
      <c r="AX227" s="152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8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814"/>
      <c r="AV228" s="1525">
        <f t="shared" si="127"/>
        <v>0</v>
      </c>
      <c r="AW228" s="1525">
        <f t="shared" si="128"/>
        <v>0</v>
      </c>
      <c r="AX228" s="152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8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814"/>
      <c r="AV229" s="1525">
        <f t="shared" si="127"/>
        <v>0</v>
      </c>
      <c r="AW229" s="1525">
        <f t="shared" si="128"/>
        <v>0</v>
      </c>
      <c r="AX229" s="152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8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814"/>
      <c r="AV230" s="1525">
        <f t="shared" si="127"/>
        <v>0</v>
      </c>
      <c r="AW230" s="1525">
        <f t="shared" si="128"/>
        <v>0</v>
      </c>
      <c r="AX230" s="152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8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814"/>
      <c r="AV231" s="1525">
        <f t="shared" si="127"/>
        <v>0</v>
      </c>
      <c r="AW231" s="1525">
        <f t="shared" si="128"/>
        <v>0</v>
      </c>
      <c r="AX231" s="152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8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814"/>
      <c r="AV232" s="1525">
        <f t="shared" si="127"/>
        <v>0</v>
      </c>
      <c r="AW232" s="1525">
        <f t="shared" si="128"/>
        <v>0</v>
      </c>
      <c r="AX232" s="152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8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814"/>
      <c r="AV233" s="1525">
        <f t="shared" si="127"/>
        <v>0</v>
      </c>
      <c r="AW233" s="1525">
        <f t="shared" si="128"/>
        <v>0</v>
      </c>
      <c r="AX233" s="152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8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814"/>
      <c r="AV234" s="1525">
        <f t="shared" si="127"/>
        <v>0</v>
      </c>
      <c r="AW234" s="1525">
        <f t="shared" si="128"/>
        <v>0</v>
      </c>
      <c r="AX234" s="152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8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814"/>
      <c r="AV235" s="1525">
        <f t="shared" si="127"/>
        <v>0</v>
      </c>
      <c r="AW235" s="1525">
        <f t="shared" si="128"/>
        <v>0</v>
      </c>
      <c r="AX235" s="152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8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814"/>
      <c r="AV236" s="1525">
        <f t="shared" si="127"/>
        <v>0</v>
      </c>
      <c r="AW236" s="1525">
        <f t="shared" si="128"/>
        <v>0</v>
      </c>
      <c r="AX236" s="152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8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814"/>
      <c r="AV237" s="1525">
        <f t="shared" si="127"/>
        <v>0</v>
      </c>
      <c r="AW237" s="1525">
        <f t="shared" si="128"/>
        <v>0</v>
      </c>
      <c r="AX237" s="152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8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814"/>
      <c r="AV238" s="1525">
        <f t="shared" si="127"/>
        <v>0</v>
      </c>
      <c r="AW238" s="1525">
        <f t="shared" si="128"/>
        <v>0</v>
      </c>
      <c r="AX238" s="152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8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814"/>
      <c r="AV239" s="1525">
        <f t="shared" si="127"/>
        <v>0</v>
      </c>
      <c r="AW239" s="1525">
        <f t="shared" si="128"/>
        <v>0</v>
      </c>
      <c r="AX239" s="152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8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814"/>
      <c r="AV240" s="1525">
        <f t="shared" si="127"/>
        <v>0</v>
      </c>
      <c r="AW240" s="1525">
        <f t="shared" si="128"/>
        <v>0</v>
      </c>
      <c r="AX240" s="152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8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814"/>
      <c r="AV241" s="1525">
        <f t="shared" si="127"/>
        <v>0</v>
      </c>
      <c r="AW241" s="1525">
        <f t="shared" si="128"/>
        <v>0</v>
      </c>
      <c r="AX241" s="152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8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814"/>
      <c r="AV242" s="1525">
        <f t="shared" si="127"/>
        <v>0</v>
      </c>
      <c r="AW242" s="1525">
        <f t="shared" si="128"/>
        <v>0</v>
      </c>
      <c r="AX242" s="152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8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814"/>
      <c r="AV243" s="1525">
        <f t="shared" si="127"/>
        <v>0</v>
      </c>
      <c r="AW243" s="1525">
        <f t="shared" si="128"/>
        <v>0</v>
      </c>
      <c r="AX243" s="152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8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814"/>
      <c r="AV244" s="1525">
        <f t="shared" si="127"/>
        <v>0</v>
      </c>
      <c r="AW244" s="1525">
        <f t="shared" si="128"/>
        <v>0</v>
      </c>
      <c r="AX244" s="152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8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814"/>
      <c r="AV245" s="1525">
        <f t="shared" si="127"/>
        <v>0</v>
      </c>
      <c r="AW245" s="1525">
        <f t="shared" si="128"/>
        <v>0</v>
      </c>
      <c r="AX245" s="152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8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814"/>
      <c r="AV246" s="1525">
        <f t="shared" si="127"/>
        <v>0</v>
      </c>
      <c r="AW246" s="1525">
        <f t="shared" si="128"/>
        <v>0</v>
      </c>
      <c r="AX246" s="152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8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814"/>
      <c r="AV247" s="1525">
        <f t="shared" si="127"/>
        <v>0</v>
      </c>
      <c r="AW247" s="1525">
        <f t="shared" si="128"/>
        <v>0</v>
      </c>
      <c r="AX247" s="152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8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814"/>
      <c r="AV248" s="1525">
        <f t="shared" si="127"/>
        <v>0</v>
      </c>
      <c r="AW248" s="1525">
        <f t="shared" si="128"/>
        <v>0</v>
      </c>
      <c r="AX248" s="152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8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814"/>
      <c r="AV249" s="1525">
        <f t="shared" si="127"/>
        <v>0</v>
      </c>
      <c r="AW249" s="1525">
        <f t="shared" si="128"/>
        <v>0</v>
      </c>
      <c r="AX249" s="152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8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814"/>
      <c r="AV250" s="1525">
        <f t="shared" si="127"/>
        <v>0</v>
      </c>
      <c r="AW250" s="1525">
        <f t="shared" si="128"/>
        <v>0</v>
      </c>
      <c r="AX250" s="152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8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814"/>
      <c r="AV251" s="1525">
        <f t="shared" si="127"/>
        <v>0</v>
      </c>
      <c r="AW251" s="1525">
        <f t="shared" si="128"/>
        <v>0</v>
      </c>
      <c r="AX251" s="152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8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814"/>
      <c r="AV252" s="1525">
        <f t="shared" si="127"/>
        <v>0</v>
      </c>
      <c r="AW252" s="1525">
        <f t="shared" si="128"/>
        <v>0</v>
      </c>
      <c r="AX252" s="152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8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814"/>
      <c r="AV253" s="1525">
        <f t="shared" si="127"/>
        <v>0</v>
      </c>
      <c r="AW253" s="1525">
        <f t="shared" si="128"/>
        <v>0</v>
      </c>
      <c r="AX253" s="152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8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814"/>
      <c r="AV254" s="1525">
        <f t="shared" si="127"/>
        <v>0</v>
      </c>
      <c r="AW254" s="1525">
        <f t="shared" si="128"/>
        <v>0</v>
      </c>
      <c r="AX254" s="152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8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814"/>
      <c r="AV255" s="1525">
        <f t="shared" si="127"/>
        <v>0</v>
      </c>
      <c r="AW255" s="1525">
        <f t="shared" si="128"/>
        <v>0</v>
      </c>
      <c r="AX255" s="152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8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814"/>
      <c r="AV256" s="1525">
        <f t="shared" si="127"/>
        <v>0</v>
      </c>
      <c r="AW256" s="1525">
        <f t="shared" si="128"/>
        <v>0</v>
      </c>
      <c r="AX256" s="152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8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814"/>
      <c r="AV257" s="1525">
        <f t="shared" si="127"/>
        <v>0</v>
      </c>
      <c r="AW257" s="1525">
        <f t="shared" si="128"/>
        <v>0</v>
      </c>
      <c r="AX257" s="152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8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814"/>
      <c r="AV258" s="1525">
        <f t="shared" si="127"/>
        <v>0</v>
      </c>
      <c r="AW258" s="1525">
        <f t="shared" si="128"/>
        <v>0</v>
      </c>
      <c r="AX258" s="152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8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814"/>
      <c r="AV259" s="1525">
        <f t="shared" si="127"/>
        <v>0</v>
      </c>
      <c r="AW259" s="1525">
        <f t="shared" si="128"/>
        <v>0</v>
      </c>
      <c r="AX259" s="152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8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814"/>
      <c r="AV260" s="1525">
        <f t="shared" si="127"/>
        <v>0</v>
      </c>
      <c r="AW260" s="1525">
        <f t="shared" si="128"/>
        <v>0</v>
      </c>
      <c r="AX260" s="152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8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814"/>
      <c r="AV261" s="1525">
        <f t="shared" si="127"/>
        <v>0</v>
      </c>
      <c r="AW261" s="1525">
        <f t="shared" si="128"/>
        <v>0</v>
      </c>
      <c r="AX261" s="152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8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814"/>
      <c r="AV262" s="1525">
        <f t="shared" si="127"/>
        <v>0</v>
      </c>
      <c r="AW262" s="1525">
        <f t="shared" si="128"/>
        <v>0</v>
      </c>
      <c r="AX262" s="152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8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814"/>
      <c r="AV263" s="1525">
        <f t="shared" si="127"/>
        <v>0</v>
      </c>
      <c r="AW263" s="1525">
        <f t="shared" si="128"/>
        <v>0</v>
      </c>
      <c r="AX263" s="152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8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814"/>
      <c r="AV264" s="1525">
        <f t="shared" si="127"/>
        <v>0</v>
      </c>
      <c r="AW264" s="1525">
        <f t="shared" si="128"/>
        <v>0</v>
      </c>
      <c r="AX264" s="152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8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814"/>
      <c r="AV265" s="1525">
        <f t="shared" si="127"/>
        <v>0</v>
      </c>
      <c r="AW265" s="1525">
        <f t="shared" si="128"/>
        <v>0</v>
      </c>
      <c r="AX265" s="152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8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814"/>
      <c r="AV266" s="1525">
        <f t="shared" si="127"/>
        <v>0</v>
      </c>
      <c r="AW266" s="1525">
        <f t="shared" si="128"/>
        <v>0</v>
      </c>
      <c r="AX266" s="152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8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814"/>
      <c r="AV267" s="1525">
        <f t="shared" si="127"/>
        <v>0</v>
      </c>
      <c r="AW267" s="1525">
        <f t="shared" si="128"/>
        <v>0</v>
      </c>
      <c r="AX267" s="152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8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814"/>
      <c r="AV268" s="1525">
        <f t="shared" si="127"/>
        <v>0</v>
      </c>
      <c r="AW268" s="1525">
        <f t="shared" si="128"/>
        <v>0</v>
      </c>
      <c r="AX268" s="152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8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814"/>
      <c r="AV269" s="1525">
        <f t="shared" si="127"/>
        <v>0</v>
      </c>
      <c r="AW269" s="1525">
        <f t="shared" si="128"/>
        <v>0</v>
      </c>
      <c r="AX269" s="152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8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814"/>
      <c r="AV270" s="1525">
        <f t="shared" si="127"/>
        <v>0</v>
      </c>
      <c r="AW270" s="1525">
        <f t="shared" si="128"/>
        <v>0</v>
      </c>
      <c r="AX270" s="152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8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814"/>
      <c r="AV271" s="1525">
        <f t="shared" si="127"/>
        <v>0</v>
      </c>
      <c r="AW271" s="1525">
        <f t="shared" si="128"/>
        <v>0</v>
      </c>
      <c r="AX271" s="152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8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814"/>
      <c r="AV272" s="1525">
        <f t="shared" si="127"/>
        <v>0</v>
      </c>
      <c r="AW272" s="1525">
        <f t="shared" si="128"/>
        <v>0</v>
      </c>
      <c r="AX272" s="152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8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814"/>
      <c r="AV273" s="1525">
        <f t="shared" si="127"/>
        <v>0</v>
      </c>
      <c r="AW273" s="1525">
        <f t="shared" si="128"/>
        <v>0</v>
      </c>
      <c r="AX273" s="152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8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814"/>
      <c r="AV274" s="1525">
        <f t="shared" si="127"/>
        <v>0</v>
      </c>
      <c r="AW274" s="1525">
        <f t="shared" si="128"/>
        <v>0</v>
      </c>
      <c r="AX274" s="152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8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814"/>
      <c r="AV275" s="1525">
        <f t="shared" si="127"/>
        <v>0</v>
      </c>
      <c r="AW275" s="1525">
        <f t="shared" si="128"/>
        <v>0</v>
      </c>
      <c r="AX275" s="152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8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814"/>
      <c r="AV276" s="1525">
        <f t="shared" si="127"/>
        <v>0</v>
      </c>
      <c r="AW276" s="1525">
        <f t="shared" si="128"/>
        <v>0</v>
      </c>
      <c r="AX276" s="152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8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814"/>
      <c r="AV277" s="1525">
        <f t="shared" si="127"/>
        <v>0</v>
      </c>
      <c r="AW277" s="1525">
        <f t="shared" si="128"/>
        <v>0</v>
      </c>
      <c r="AX277" s="152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8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814"/>
      <c r="AV278" s="1525">
        <f t="shared" si="127"/>
        <v>0</v>
      </c>
      <c r="AW278" s="1525">
        <f t="shared" si="128"/>
        <v>0</v>
      </c>
      <c r="AX278" s="152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8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814"/>
      <c r="AV279" s="1525">
        <f t="shared" si="127"/>
        <v>0</v>
      </c>
      <c r="AW279" s="1525">
        <f t="shared" si="128"/>
        <v>0</v>
      </c>
      <c r="AX279" s="152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8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814"/>
      <c r="AV280" s="1525">
        <f t="shared" si="127"/>
        <v>0</v>
      </c>
      <c r="AW280" s="1525">
        <f t="shared" si="128"/>
        <v>0</v>
      </c>
      <c r="AX280" s="152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8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814"/>
      <c r="AV281" s="1525">
        <f t="shared" si="127"/>
        <v>0</v>
      </c>
      <c r="AW281" s="1525">
        <f t="shared" si="128"/>
        <v>0</v>
      </c>
      <c r="AX281" s="152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8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814"/>
      <c r="AV282" s="1525">
        <f t="shared" si="127"/>
        <v>0</v>
      </c>
      <c r="AW282" s="1525">
        <f t="shared" si="128"/>
        <v>0</v>
      </c>
      <c r="AX282" s="152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8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814"/>
      <c r="AV283" s="1525">
        <f t="shared" si="127"/>
        <v>0</v>
      </c>
      <c r="AW283" s="1525">
        <f t="shared" si="128"/>
        <v>0</v>
      </c>
      <c r="AX283" s="152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8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814"/>
      <c r="AV284" s="1525">
        <f t="shared" si="127"/>
        <v>0</v>
      </c>
      <c r="AW284" s="1525">
        <f t="shared" si="128"/>
        <v>0</v>
      </c>
      <c r="AX284" s="152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8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814"/>
      <c r="AV285" s="1525">
        <f t="shared" si="127"/>
        <v>0</v>
      </c>
      <c r="AW285" s="1525">
        <f t="shared" si="128"/>
        <v>0</v>
      </c>
      <c r="AX285" s="152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8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814"/>
      <c r="AV286" s="1525">
        <f t="shared" si="127"/>
        <v>0</v>
      </c>
      <c r="AW286" s="1525">
        <f t="shared" si="128"/>
        <v>0</v>
      </c>
      <c r="AX286" s="152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8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814"/>
      <c r="AV287" s="1525">
        <f t="shared" si="127"/>
        <v>0</v>
      </c>
      <c r="AW287" s="1525">
        <f t="shared" si="128"/>
        <v>0</v>
      </c>
      <c r="AX287" s="152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8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814"/>
      <c r="AV288" s="1525">
        <f t="shared" si="127"/>
        <v>0</v>
      </c>
      <c r="AW288" s="1525">
        <f t="shared" si="128"/>
        <v>0</v>
      </c>
      <c r="AX288" s="152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8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814"/>
      <c r="AV289" s="1525">
        <f t="shared" si="127"/>
        <v>0</v>
      </c>
      <c r="AW289" s="1525">
        <f t="shared" si="128"/>
        <v>0</v>
      </c>
      <c r="AX289" s="152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8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814"/>
      <c r="AV290" s="1525">
        <f t="shared" si="127"/>
        <v>0</v>
      </c>
      <c r="AW290" s="1525">
        <f t="shared" si="128"/>
        <v>0</v>
      </c>
      <c r="AX290" s="152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8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814"/>
      <c r="AV291" s="1525">
        <f t="shared" si="127"/>
        <v>0</v>
      </c>
      <c r="AW291" s="1525">
        <f t="shared" si="128"/>
        <v>0</v>
      </c>
      <c r="AX291" s="152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8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814"/>
      <c r="AV292" s="1525">
        <f t="shared" si="127"/>
        <v>0</v>
      </c>
      <c r="AW292" s="1525">
        <f t="shared" si="128"/>
        <v>0</v>
      </c>
      <c r="AX292" s="152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8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814"/>
      <c r="AV293" s="1525">
        <f t="shared" si="127"/>
        <v>0</v>
      </c>
      <c r="AW293" s="1525">
        <f t="shared" si="128"/>
        <v>0</v>
      </c>
      <c r="AX293" s="152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8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814"/>
      <c r="AV294" s="1525">
        <f t="shared" si="127"/>
        <v>0</v>
      </c>
      <c r="AW294" s="1525">
        <f t="shared" si="128"/>
        <v>0</v>
      </c>
      <c r="AX294" s="152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8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814"/>
      <c r="AV295" s="1525">
        <f t="shared" si="127"/>
        <v>0</v>
      </c>
      <c r="AW295" s="1525">
        <f t="shared" si="128"/>
        <v>0</v>
      </c>
      <c r="AX295" s="152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8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814"/>
      <c r="AV296" s="1525">
        <f t="shared" si="127"/>
        <v>0</v>
      </c>
      <c r="AW296" s="1525">
        <f t="shared" si="128"/>
        <v>0</v>
      </c>
      <c r="AX296" s="152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8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814"/>
      <c r="AV297" s="1525">
        <f t="shared" si="127"/>
        <v>0</v>
      </c>
      <c r="AW297" s="1525">
        <f t="shared" si="128"/>
        <v>0</v>
      </c>
      <c r="AX297" s="152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8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814"/>
      <c r="AV298" s="1525">
        <f t="shared" si="127"/>
        <v>0</v>
      </c>
      <c r="AW298" s="1525">
        <f t="shared" si="128"/>
        <v>0</v>
      </c>
      <c r="AX298" s="152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8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814"/>
      <c r="AV299" s="1525">
        <f t="shared" si="127"/>
        <v>0</v>
      </c>
      <c r="AW299" s="1525">
        <f t="shared" si="128"/>
        <v>0</v>
      </c>
      <c r="AX299" s="152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81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754"/>
      <c r="AV300" s="1525">
        <f t="shared" si="127"/>
        <v>0</v>
      </c>
      <c r="AW300" s="1525">
        <f t="shared" si="128"/>
        <v>0</v>
      </c>
      <c r="AX300" s="152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81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754"/>
      <c r="AV301" s="1525">
        <f t="shared" si="127"/>
        <v>0</v>
      </c>
      <c r="AW301" s="1525">
        <f t="shared" si="128"/>
        <v>0</v>
      </c>
      <c r="AX301" s="152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81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754"/>
      <c r="AV302" s="1525">
        <f t="shared" si="127"/>
        <v>0</v>
      </c>
      <c r="AW302" s="1525">
        <f t="shared" si="128"/>
        <v>0</v>
      </c>
      <c r="AX302" s="152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8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814"/>
      <c r="AV303" s="1525">
        <f t="shared" ref="AV303:AV334" si="178">A303</f>
        <v>0</v>
      </c>
      <c r="AW303" s="1525">
        <f t="shared" ref="AW303:AW334" si="179">B303</f>
        <v>0</v>
      </c>
      <c r="AX303" s="152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8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814"/>
      <c r="AV304" s="1525">
        <f t="shared" si="178"/>
        <v>0</v>
      </c>
      <c r="AW304" s="1525">
        <f t="shared" si="179"/>
        <v>0</v>
      </c>
      <c r="AX304" s="152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8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814"/>
      <c r="AV305" s="1525">
        <f t="shared" si="178"/>
        <v>0</v>
      </c>
      <c r="AW305" s="1525">
        <f t="shared" si="179"/>
        <v>0</v>
      </c>
      <c r="AX305" s="152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8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814"/>
      <c r="AV306" s="1525">
        <f t="shared" si="178"/>
        <v>0</v>
      </c>
      <c r="AW306" s="1525">
        <f t="shared" si="179"/>
        <v>0</v>
      </c>
      <c r="AX306" s="152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8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814"/>
      <c r="AV307" s="1525">
        <f t="shared" si="178"/>
        <v>0</v>
      </c>
      <c r="AW307" s="1525">
        <f t="shared" si="179"/>
        <v>0</v>
      </c>
      <c r="AX307" s="152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8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814"/>
      <c r="AV308" s="1525">
        <f t="shared" si="178"/>
        <v>0</v>
      </c>
      <c r="AW308" s="1525">
        <f t="shared" si="179"/>
        <v>0</v>
      </c>
      <c r="AX308" s="152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8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814"/>
      <c r="AV309" s="1525">
        <f t="shared" si="178"/>
        <v>0</v>
      </c>
      <c r="AW309" s="1525">
        <f t="shared" si="179"/>
        <v>0</v>
      </c>
      <c r="AX309" s="152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8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814"/>
      <c r="AV310" s="1525">
        <f t="shared" si="178"/>
        <v>0</v>
      </c>
      <c r="AW310" s="1525">
        <f t="shared" si="179"/>
        <v>0</v>
      </c>
      <c r="AX310" s="152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8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814"/>
      <c r="AV311" s="1525">
        <f t="shared" si="178"/>
        <v>0</v>
      </c>
      <c r="AW311" s="1525">
        <f t="shared" si="179"/>
        <v>0</v>
      </c>
      <c r="AX311" s="152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8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814"/>
      <c r="AV312" s="1525">
        <f t="shared" si="178"/>
        <v>0</v>
      </c>
      <c r="AW312" s="1525">
        <f t="shared" si="179"/>
        <v>0</v>
      </c>
      <c r="AX312" s="152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8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814"/>
      <c r="AV313" s="1525">
        <f t="shared" si="178"/>
        <v>0</v>
      </c>
      <c r="AW313" s="1525">
        <f t="shared" si="179"/>
        <v>0</v>
      </c>
      <c r="AX313" s="152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8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814"/>
      <c r="AV314" s="1525">
        <f t="shared" si="178"/>
        <v>0</v>
      </c>
      <c r="AW314" s="1525">
        <f t="shared" si="179"/>
        <v>0</v>
      </c>
      <c r="AX314" s="152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8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814"/>
      <c r="AV315" s="1525">
        <f t="shared" si="178"/>
        <v>0</v>
      </c>
      <c r="AW315" s="1525">
        <f t="shared" si="179"/>
        <v>0</v>
      </c>
      <c r="AX315" s="152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8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814"/>
      <c r="AV316" s="1525">
        <f t="shared" si="178"/>
        <v>0</v>
      </c>
      <c r="AW316" s="1525">
        <f t="shared" si="179"/>
        <v>0</v>
      </c>
      <c r="AX316" s="152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8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814"/>
      <c r="AV317" s="1525">
        <f t="shared" si="178"/>
        <v>0</v>
      </c>
      <c r="AW317" s="1525">
        <f t="shared" si="179"/>
        <v>0</v>
      </c>
      <c r="AX317" s="152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8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814"/>
      <c r="AV318" s="1525">
        <f t="shared" si="178"/>
        <v>0</v>
      </c>
      <c r="AW318" s="1525">
        <f t="shared" si="179"/>
        <v>0</v>
      </c>
      <c r="AX318" s="152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8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814"/>
      <c r="AV319" s="1525">
        <f t="shared" si="178"/>
        <v>0</v>
      </c>
      <c r="AW319" s="1525">
        <f t="shared" si="179"/>
        <v>0</v>
      </c>
      <c r="AX319" s="152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8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814"/>
      <c r="AV320" s="1525">
        <f t="shared" si="178"/>
        <v>0</v>
      </c>
      <c r="AW320" s="1525">
        <f t="shared" si="179"/>
        <v>0</v>
      </c>
      <c r="AX320" s="152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8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814"/>
      <c r="AV321" s="1525">
        <f t="shared" si="178"/>
        <v>0</v>
      </c>
      <c r="AW321" s="1525">
        <f t="shared" si="179"/>
        <v>0</v>
      </c>
      <c r="AX321" s="152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8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814"/>
      <c r="AV322" s="1525">
        <f t="shared" si="178"/>
        <v>0</v>
      </c>
      <c r="AW322" s="1525">
        <f t="shared" si="179"/>
        <v>0</v>
      </c>
      <c r="AX322" s="152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8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814"/>
      <c r="AV323" s="1525">
        <f t="shared" si="178"/>
        <v>0</v>
      </c>
      <c r="AW323" s="1525">
        <f t="shared" si="179"/>
        <v>0</v>
      </c>
      <c r="AX323" s="152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8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814"/>
      <c r="AV324" s="1525">
        <f t="shared" si="178"/>
        <v>0</v>
      </c>
      <c r="AW324" s="1525">
        <f t="shared" si="179"/>
        <v>0</v>
      </c>
      <c r="AX324" s="152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8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814"/>
      <c r="AV325" s="1525">
        <f t="shared" si="178"/>
        <v>0</v>
      </c>
      <c r="AW325" s="1525">
        <f t="shared" si="179"/>
        <v>0</v>
      </c>
      <c r="AX325" s="152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8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814"/>
      <c r="AV326" s="1525">
        <f t="shared" si="178"/>
        <v>0</v>
      </c>
      <c r="AW326" s="1525">
        <f t="shared" si="179"/>
        <v>0</v>
      </c>
      <c r="AX326" s="152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8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814"/>
      <c r="AV327" s="1525">
        <f t="shared" si="178"/>
        <v>0</v>
      </c>
      <c r="AW327" s="1525">
        <f t="shared" si="179"/>
        <v>0</v>
      </c>
      <c r="AX327" s="152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8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814"/>
      <c r="AV328" s="1525">
        <f t="shared" si="178"/>
        <v>0</v>
      </c>
      <c r="AW328" s="1525">
        <f t="shared" si="179"/>
        <v>0</v>
      </c>
      <c r="AX328" s="152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8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814"/>
      <c r="AV329" s="1525">
        <f t="shared" si="178"/>
        <v>0</v>
      </c>
      <c r="AW329" s="1525">
        <f t="shared" si="179"/>
        <v>0</v>
      </c>
      <c r="AX329" s="152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8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814"/>
      <c r="AV330" s="1525">
        <f t="shared" si="178"/>
        <v>0</v>
      </c>
      <c r="AW330" s="1525">
        <f t="shared" si="179"/>
        <v>0</v>
      </c>
      <c r="AX330" s="152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8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814"/>
      <c r="AV331" s="1525">
        <f t="shared" si="178"/>
        <v>0</v>
      </c>
      <c r="AW331" s="1525">
        <f t="shared" si="179"/>
        <v>0</v>
      </c>
      <c r="AX331" s="152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8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814"/>
      <c r="AV332" s="1525">
        <f t="shared" si="178"/>
        <v>0</v>
      </c>
      <c r="AW332" s="1525">
        <f t="shared" si="179"/>
        <v>0</v>
      </c>
      <c r="AX332" s="152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8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814"/>
      <c r="AV333" s="1525">
        <f t="shared" si="178"/>
        <v>0</v>
      </c>
      <c r="AW333" s="1525">
        <f t="shared" si="179"/>
        <v>0</v>
      </c>
      <c r="AX333" s="152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8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814"/>
      <c r="AV334" s="1525">
        <f t="shared" si="178"/>
        <v>0</v>
      </c>
      <c r="AW334" s="1525">
        <f t="shared" si="179"/>
        <v>0</v>
      </c>
      <c r="AX334" s="152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8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814"/>
      <c r="AV335" s="1525">
        <f t="shared" ref="AV335:AV366" si="207">A335</f>
        <v>0</v>
      </c>
      <c r="AW335" s="1525">
        <f t="shared" ref="AW335:AW366" si="208">B335</f>
        <v>0</v>
      </c>
      <c r="AX335" s="152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8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814"/>
      <c r="AV336" s="1525">
        <f t="shared" si="207"/>
        <v>0</v>
      </c>
      <c r="AW336" s="1525">
        <f t="shared" si="208"/>
        <v>0</v>
      </c>
      <c r="AX336" s="152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8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814"/>
      <c r="AV337" s="1525">
        <f t="shared" si="207"/>
        <v>0</v>
      </c>
      <c r="AW337" s="1525">
        <f t="shared" si="208"/>
        <v>0</v>
      </c>
      <c r="AX337" s="152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8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814"/>
      <c r="AV338" s="1525">
        <f t="shared" si="207"/>
        <v>0</v>
      </c>
      <c r="AW338" s="1525">
        <f t="shared" si="208"/>
        <v>0</v>
      </c>
      <c r="AX338" s="152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8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814"/>
      <c r="AV339" s="1525">
        <f t="shared" si="207"/>
        <v>0</v>
      </c>
      <c r="AW339" s="1525">
        <f t="shared" si="208"/>
        <v>0</v>
      </c>
      <c r="AX339" s="152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8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814"/>
      <c r="AV340" s="1525">
        <f t="shared" si="207"/>
        <v>0</v>
      </c>
      <c r="AW340" s="1525">
        <f t="shared" si="208"/>
        <v>0</v>
      </c>
      <c r="AX340" s="152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8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814"/>
      <c r="AV341" s="1525">
        <f t="shared" si="207"/>
        <v>0</v>
      </c>
      <c r="AW341" s="1525">
        <f t="shared" si="208"/>
        <v>0</v>
      </c>
      <c r="AX341" s="152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8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814"/>
      <c r="AV342" s="1525">
        <f t="shared" si="207"/>
        <v>0</v>
      </c>
      <c r="AW342" s="1525">
        <f t="shared" si="208"/>
        <v>0</v>
      </c>
      <c r="AX342" s="152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8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814"/>
      <c r="AV343" s="1525">
        <f t="shared" si="207"/>
        <v>0</v>
      </c>
      <c r="AW343" s="1525">
        <f t="shared" si="208"/>
        <v>0</v>
      </c>
      <c r="AX343" s="152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8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814"/>
      <c r="AV344" s="1525">
        <f t="shared" si="207"/>
        <v>0</v>
      </c>
      <c r="AW344" s="1525">
        <f t="shared" si="208"/>
        <v>0</v>
      </c>
      <c r="AX344" s="152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8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814"/>
      <c r="AV345" s="1525">
        <f t="shared" si="207"/>
        <v>0</v>
      </c>
      <c r="AW345" s="1525">
        <f t="shared" si="208"/>
        <v>0</v>
      </c>
      <c r="AX345" s="152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8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814"/>
      <c r="AV346" s="1525">
        <f t="shared" si="207"/>
        <v>0</v>
      </c>
      <c r="AW346" s="1525">
        <f t="shared" si="208"/>
        <v>0</v>
      </c>
      <c r="AX346" s="152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8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814"/>
      <c r="AV347" s="1525">
        <f t="shared" si="207"/>
        <v>0</v>
      </c>
      <c r="AW347" s="1525">
        <f t="shared" si="208"/>
        <v>0</v>
      </c>
      <c r="AX347" s="152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8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814"/>
      <c r="AV348" s="1525">
        <f t="shared" si="207"/>
        <v>0</v>
      </c>
      <c r="AW348" s="1525">
        <f t="shared" si="208"/>
        <v>0</v>
      </c>
      <c r="AX348" s="152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8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814"/>
      <c r="AV349" s="1525">
        <f t="shared" si="207"/>
        <v>0</v>
      </c>
      <c r="AW349" s="1525">
        <f t="shared" si="208"/>
        <v>0</v>
      </c>
      <c r="AX349" s="152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8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814"/>
      <c r="AV350" s="1525">
        <f t="shared" si="207"/>
        <v>0</v>
      </c>
      <c r="AW350" s="1525">
        <f t="shared" si="208"/>
        <v>0</v>
      </c>
      <c r="AX350" s="152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8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814"/>
      <c r="AV351" s="1525">
        <f t="shared" si="207"/>
        <v>0</v>
      </c>
      <c r="AW351" s="1525">
        <f t="shared" si="208"/>
        <v>0</v>
      </c>
      <c r="AX351" s="152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8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814"/>
      <c r="AV352" s="1525">
        <f t="shared" si="207"/>
        <v>0</v>
      </c>
      <c r="AW352" s="1525">
        <f t="shared" si="208"/>
        <v>0</v>
      </c>
      <c r="AX352" s="152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8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814"/>
      <c r="AV353" s="1525">
        <f t="shared" si="207"/>
        <v>0</v>
      </c>
      <c r="AW353" s="1525">
        <f t="shared" si="208"/>
        <v>0</v>
      </c>
      <c r="AX353" s="152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8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814"/>
      <c r="AV354" s="1525">
        <f t="shared" si="207"/>
        <v>0</v>
      </c>
      <c r="AW354" s="1525">
        <f t="shared" si="208"/>
        <v>0</v>
      </c>
      <c r="AX354" s="152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8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814"/>
      <c r="AV355" s="1525">
        <f t="shared" si="207"/>
        <v>0</v>
      </c>
      <c r="AW355" s="1525">
        <f t="shared" si="208"/>
        <v>0</v>
      </c>
      <c r="AX355" s="152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8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814"/>
      <c r="AV356" s="1525">
        <f t="shared" si="207"/>
        <v>0</v>
      </c>
      <c r="AW356" s="1525">
        <f t="shared" si="208"/>
        <v>0</v>
      </c>
      <c r="AX356" s="152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8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814"/>
      <c r="AV357" s="1525">
        <f t="shared" si="207"/>
        <v>0</v>
      </c>
      <c r="AW357" s="1525">
        <f t="shared" si="208"/>
        <v>0</v>
      </c>
      <c r="AX357" s="152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8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814"/>
      <c r="AV358" s="1525">
        <f t="shared" si="207"/>
        <v>0</v>
      </c>
      <c r="AW358" s="1525">
        <f t="shared" si="208"/>
        <v>0</v>
      </c>
      <c r="AX358" s="152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8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814"/>
      <c r="AV359" s="1525">
        <f t="shared" si="207"/>
        <v>0</v>
      </c>
      <c r="AW359" s="1525">
        <f t="shared" si="208"/>
        <v>0</v>
      </c>
      <c r="AX359" s="152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8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814"/>
      <c r="AV360" s="1525">
        <f t="shared" si="207"/>
        <v>0</v>
      </c>
      <c r="AW360" s="1525">
        <f t="shared" si="208"/>
        <v>0</v>
      </c>
      <c r="AX360" s="152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8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814"/>
      <c r="AV361" s="1525">
        <f t="shared" si="207"/>
        <v>0</v>
      </c>
      <c r="AW361" s="1525">
        <f t="shared" si="208"/>
        <v>0</v>
      </c>
      <c r="AX361" s="152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8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814"/>
      <c r="AV362" s="1525">
        <f t="shared" si="207"/>
        <v>0</v>
      </c>
      <c r="AW362" s="1525">
        <f t="shared" si="208"/>
        <v>0</v>
      </c>
      <c r="AX362" s="152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8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814"/>
      <c r="AV363" s="1525">
        <f t="shared" si="207"/>
        <v>0</v>
      </c>
      <c r="AW363" s="1525">
        <f t="shared" si="208"/>
        <v>0</v>
      </c>
      <c r="AX363" s="152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8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814"/>
      <c r="AV364" s="1525">
        <f t="shared" si="207"/>
        <v>0</v>
      </c>
      <c r="AW364" s="1525">
        <f t="shared" si="208"/>
        <v>0</v>
      </c>
      <c r="AX364" s="152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8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814"/>
      <c r="AV365" s="1525">
        <f t="shared" si="207"/>
        <v>0</v>
      </c>
      <c r="AW365" s="1525">
        <f t="shared" si="208"/>
        <v>0</v>
      </c>
      <c r="AX365" s="152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8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814"/>
      <c r="AV366" s="1525">
        <f t="shared" si="207"/>
        <v>0</v>
      </c>
      <c r="AW366" s="1525">
        <f t="shared" si="208"/>
        <v>0</v>
      </c>
      <c r="AX366" s="152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8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814"/>
      <c r="AV367" s="1525">
        <f t="shared" ref="AV367:AV397" si="236">A367</f>
        <v>0</v>
      </c>
      <c r="AW367" s="1525">
        <f t="shared" ref="AW367:AW397" si="237">B367</f>
        <v>0</v>
      </c>
      <c r="AX367" s="152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8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814"/>
      <c r="AV368" s="1525">
        <f t="shared" si="236"/>
        <v>0</v>
      </c>
      <c r="AW368" s="1525">
        <f t="shared" si="237"/>
        <v>0</v>
      </c>
      <c r="AX368" s="152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8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814"/>
      <c r="AV369" s="1525">
        <f t="shared" si="236"/>
        <v>0</v>
      </c>
      <c r="AW369" s="1525">
        <f t="shared" si="237"/>
        <v>0</v>
      </c>
      <c r="AX369" s="152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8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814"/>
      <c r="AV370" s="1525">
        <f t="shared" si="236"/>
        <v>0</v>
      </c>
      <c r="AW370" s="1525">
        <f t="shared" si="237"/>
        <v>0</v>
      </c>
      <c r="AX370" s="152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8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814"/>
      <c r="AV371" s="1525">
        <f t="shared" si="236"/>
        <v>0</v>
      </c>
      <c r="AW371" s="1525">
        <f t="shared" si="237"/>
        <v>0</v>
      </c>
      <c r="AX371" s="152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8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814"/>
      <c r="AV372" s="1525">
        <f t="shared" si="236"/>
        <v>0</v>
      </c>
      <c r="AW372" s="1525">
        <f t="shared" si="237"/>
        <v>0</v>
      </c>
      <c r="AX372" s="152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8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814"/>
      <c r="AV373" s="1525">
        <f t="shared" si="236"/>
        <v>0</v>
      </c>
      <c r="AW373" s="1525">
        <f t="shared" si="237"/>
        <v>0</v>
      </c>
      <c r="AX373" s="152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8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814"/>
      <c r="AV374" s="1525">
        <f t="shared" si="236"/>
        <v>0</v>
      </c>
      <c r="AW374" s="1525">
        <f t="shared" si="237"/>
        <v>0</v>
      </c>
      <c r="AX374" s="152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8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814"/>
      <c r="AV375" s="1525">
        <f t="shared" si="236"/>
        <v>0</v>
      </c>
      <c r="AW375" s="1525">
        <f t="shared" si="237"/>
        <v>0</v>
      </c>
      <c r="AX375" s="152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8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814"/>
      <c r="AV376" s="1525">
        <f t="shared" si="236"/>
        <v>0</v>
      </c>
      <c r="AW376" s="1525">
        <f t="shared" si="237"/>
        <v>0</v>
      </c>
      <c r="AX376" s="152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8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814"/>
      <c r="AV377" s="1525">
        <f t="shared" si="236"/>
        <v>0</v>
      </c>
      <c r="AW377" s="1525">
        <f t="shared" si="237"/>
        <v>0</v>
      </c>
      <c r="AX377" s="152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8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814"/>
      <c r="AV378" s="1525">
        <f t="shared" si="236"/>
        <v>0</v>
      </c>
      <c r="AW378" s="1525">
        <f t="shared" si="237"/>
        <v>0</v>
      </c>
      <c r="AX378" s="152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8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814"/>
      <c r="AV379" s="1525">
        <f t="shared" si="236"/>
        <v>0</v>
      </c>
      <c r="AW379" s="1525">
        <f t="shared" si="237"/>
        <v>0</v>
      </c>
      <c r="AX379" s="152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8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814"/>
      <c r="AV380" s="1525">
        <f t="shared" si="236"/>
        <v>0</v>
      </c>
      <c r="AW380" s="1525">
        <f t="shared" si="237"/>
        <v>0</v>
      </c>
      <c r="AX380" s="152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8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814"/>
      <c r="AV381" s="1525">
        <f t="shared" si="236"/>
        <v>0</v>
      </c>
      <c r="AW381" s="1525">
        <f t="shared" si="237"/>
        <v>0</v>
      </c>
      <c r="AX381" s="152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8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814"/>
      <c r="AV382" s="1525">
        <f t="shared" si="236"/>
        <v>0</v>
      </c>
      <c r="AW382" s="1525">
        <f t="shared" si="237"/>
        <v>0</v>
      </c>
      <c r="AX382" s="152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8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814"/>
      <c r="AV383" s="1525">
        <f t="shared" si="236"/>
        <v>0</v>
      </c>
      <c r="AW383" s="1525">
        <f t="shared" si="237"/>
        <v>0</v>
      </c>
      <c r="AX383" s="152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8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814"/>
      <c r="AV384" s="1525">
        <f t="shared" si="236"/>
        <v>0</v>
      </c>
      <c r="AW384" s="1525">
        <f t="shared" si="237"/>
        <v>0</v>
      </c>
      <c r="AX384" s="152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8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814"/>
      <c r="AV385" s="1525">
        <f t="shared" si="236"/>
        <v>0</v>
      </c>
      <c r="AW385" s="1525">
        <f t="shared" si="237"/>
        <v>0</v>
      </c>
      <c r="AX385" s="152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8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814"/>
      <c r="AV386" s="1525">
        <f t="shared" si="236"/>
        <v>0</v>
      </c>
      <c r="AW386" s="1525">
        <f t="shared" si="237"/>
        <v>0</v>
      </c>
      <c r="AX386" s="152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8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814"/>
      <c r="AV387" s="1525">
        <f t="shared" si="236"/>
        <v>0</v>
      </c>
      <c r="AW387" s="1525">
        <f t="shared" si="237"/>
        <v>0</v>
      </c>
      <c r="AX387" s="152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8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814"/>
      <c r="AV388" s="1525">
        <f t="shared" si="236"/>
        <v>0</v>
      </c>
      <c r="AW388" s="1525">
        <f t="shared" si="237"/>
        <v>0</v>
      </c>
      <c r="AX388" s="152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8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814"/>
      <c r="AV389" s="1525">
        <f t="shared" si="236"/>
        <v>0</v>
      </c>
      <c r="AW389" s="1525">
        <f t="shared" si="237"/>
        <v>0</v>
      </c>
      <c r="AX389" s="152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8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814"/>
      <c r="AV390" s="1525">
        <f t="shared" si="236"/>
        <v>0</v>
      </c>
      <c r="AW390" s="1525">
        <f t="shared" si="237"/>
        <v>0</v>
      </c>
      <c r="AX390" s="152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8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814"/>
      <c r="AV391" s="1525">
        <f t="shared" si="236"/>
        <v>0</v>
      </c>
      <c r="AW391" s="1525">
        <f t="shared" si="237"/>
        <v>0</v>
      </c>
      <c r="AX391" s="152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8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814"/>
      <c r="AV392" s="1525">
        <f t="shared" si="236"/>
        <v>0</v>
      </c>
      <c r="AW392" s="1525">
        <f t="shared" si="237"/>
        <v>0</v>
      </c>
      <c r="AX392" s="152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8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814"/>
      <c r="AV393" s="1525">
        <f t="shared" si="236"/>
        <v>0</v>
      </c>
      <c r="AW393" s="1525">
        <f t="shared" si="237"/>
        <v>0</v>
      </c>
      <c r="AX393" s="152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8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814"/>
      <c r="AV394" s="1525">
        <f t="shared" si="236"/>
        <v>0</v>
      </c>
      <c r="AW394" s="1525">
        <f t="shared" si="237"/>
        <v>0</v>
      </c>
      <c r="AX394" s="152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81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754"/>
      <c r="AV395" s="1525">
        <f t="shared" si="236"/>
        <v>0</v>
      </c>
      <c r="AW395" s="1525">
        <f t="shared" si="237"/>
        <v>0</v>
      </c>
      <c r="AX395" s="152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81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754"/>
      <c r="AV396" s="1525">
        <f t="shared" si="236"/>
        <v>0</v>
      </c>
      <c r="AW396" s="1525">
        <f t="shared" si="237"/>
        <v>0</v>
      </c>
      <c r="AX396" s="152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81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754"/>
      <c r="AV397" s="1525">
        <f t="shared" si="236"/>
        <v>0</v>
      </c>
      <c r="AW397" s="1525">
        <f t="shared" si="237"/>
        <v>0</v>
      </c>
      <c r="AX397" s="152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8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814"/>
      <c r="AV398" s="1525">
        <f t="shared" ref="AV398:AV492" si="243">A398</f>
        <v>0</v>
      </c>
      <c r="AW398" s="1525">
        <f t="shared" ref="AW398:AW492" si="244">B398</f>
        <v>0</v>
      </c>
      <c r="AX398" s="152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8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814"/>
      <c r="AV399" s="1525">
        <f t="shared" si="243"/>
        <v>0</v>
      </c>
      <c r="AW399" s="1525">
        <f t="shared" si="244"/>
        <v>0</v>
      </c>
      <c r="AX399" s="152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8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814"/>
      <c r="AV400" s="1525">
        <f t="shared" si="243"/>
        <v>0</v>
      </c>
      <c r="AW400" s="1525">
        <f t="shared" si="244"/>
        <v>0</v>
      </c>
      <c r="AX400" s="152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8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814"/>
      <c r="AV401" s="1525">
        <f t="shared" si="243"/>
        <v>0</v>
      </c>
      <c r="AW401" s="1525">
        <f t="shared" si="244"/>
        <v>0</v>
      </c>
      <c r="AX401" s="152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8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814"/>
      <c r="AV402" s="1525">
        <f t="shared" si="243"/>
        <v>0</v>
      </c>
      <c r="AW402" s="1525">
        <f t="shared" si="244"/>
        <v>0</v>
      </c>
      <c r="AX402" s="152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8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814"/>
      <c r="AV403" s="1525">
        <f t="shared" si="243"/>
        <v>0</v>
      </c>
      <c r="AW403" s="1525">
        <f t="shared" si="244"/>
        <v>0</v>
      </c>
      <c r="AX403" s="152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8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814"/>
      <c r="AV404" s="1525">
        <f t="shared" si="243"/>
        <v>0</v>
      </c>
      <c r="AW404" s="1525">
        <f t="shared" si="244"/>
        <v>0</v>
      </c>
      <c r="AX404" s="152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8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814"/>
      <c r="AV405" s="1525">
        <f t="shared" si="243"/>
        <v>0</v>
      </c>
      <c r="AW405" s="1525">
        <f t="shared" si="244"/>
        <v>0</v>
      </c>
      <c r="AX405" s="152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8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814"/>
      <c r="AV406" s="1525">
        <f t="shared" si="243"/>
        <v>0</v>
      </c>
      <c r="AW406" s="1525">
        <f t="shared" si="244"/>
        <v>0</v>
      </c>
      <c r="AX406" s="152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8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814"/>
      <c r="AV407" s="1525">
        <f t="shared" si="243"/>
        <v>0</v>
      </c>
      <c r="AW407" s="1525">
        <f t="shared" si="244"/>
        <v>0</v>
      </c>
      <c r="AX407" s="152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8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814"/>
      <c r="AV408" s="1525">
        <f t="shared" si="243"/>
        <v>0</v>
      </c>
      <c r="AW408" s="1525">
        <f t="shared" si="244"/>
        <v>0</v>
      </c>
      <c r="AX408" s="152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8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814"/>
      <c r="AV409" s="1525">
        <f t="shared" si="243"/>
        <v>0</v>
      </c>
      <c r="AW409" s="1525">
        <f t="shared" si="244"/>
        <v>0</v>
      </c>
      <c r="AX409" s="152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8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814"/>
      <c r="AV410" s="1525">
        <f t="shared" si="243"/>
        <v>0</v>
      </c>
      <c r="AW410" s="1525">
        <f t="shared" si="244"/>
        <v>0</v>
      </c>
      <c r="AX410" s="152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8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814"/>
      <c r="AV411" s="1525">
        <f t="shared" si="243"/>
        <v>0</v>
      </c>
      <c r="AW411" s="1525">
        <f t="shared" si="244"/>
        <v>0</v>
      </c>
      <c r="AX411" s="152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8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814"/>
      <c r="AV412" s="1525">
        <f t="shared" si="243"/>
        <v>0</v>
      </c>
      <c r="AW412" s="1525">
        <f t="shared" si="244"/>
        <v>0</v>
      </c>
      <c r="AX412" s="152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8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814"/>
      <c r="AV413" s="1525">
        <f t="shared" si="243"/>
        <v>0</v>
      </c>
      <c r="AW413" s="1525">
        <f t="shared" si="244"/>
        <v>0</v>
      </c>
      <c r="AX413" s="152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8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814"/>
      <c r="AV414" s="1525">
        <f t="shared" si="243"/>
        <v>0</v>
      </c>
      <c r="AW414" s="1525">
        <f t="shared" si="244"/>
        <v>0</v>
      </c>
      <c r="AX414" s="152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8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814"/>
      <c r="AV415" s="1525">
        <f t="shared" si="243"/>
        <v>0</v>
      </c>
      <c r="AW415" s="1525">
        <f t="shared" si="244"/>
        <v>0</v>
      </c>
      <c r="AX415" s="152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8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814"/>
      <c r="AV416" s="1525">
        <f t="shared" si="243"/>
        <v>0</v>
      </c>
      <c r="AW416" s="1525">
        <f t="shared" si="244"/>
        <v>0</v>
      </c>
      <c r="AX416" s="152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8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814"/>
      <c r="AV417" s="1525">
        <f t="shared" si="243"/>
        <v>0</v>
      </c>
      <c r="AW417" s="1525">
        <f t="shared" si="244"/>
        <v>0</v>
      </c>
      <c r="AX417" s="152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8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814"/>
      <c r="AV418" s="1525">
        <f t="shared" si="243"/>
        <v>0</v>
      </c>
      <c r="AW418" s="1525">
        <f t="shared" si="244"/>
        <v>0</v>
      </c>
      <c r="AX418" s="152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8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814"/>
      <c r="AV419" s="1525">
        <f t="shared" si="243"/>
        <v>0</v>
      </c>
      <c r="AW419" s="1525">
        <f t="shared" si="244"/>
        <v>0</v>
      </c>
      <c r="AX419" s="152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8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814"/>
      <c r="AV420" s="1525">
        <f t="shared" si="243"/>
        <v>0</v>
      </c>
      <c r="AW420" s="1525">
        <f t="shared" si="244"/>
        <v>0</v>
      </c>
      <c r="AX420" s="152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8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814"/>
      <c r="AV421" s="1525">
        <f t="shared" si="243"/>
        <v>0</v>
      </c>
      <c r="AW421" s="1525">
        <f t="shared" si="244"/>
        <v>0</v>
      </c>
      <c r="AX421" s="152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8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814"/>
      <c r="AV422" s="1525">
        <f t="shared" si="243"/>
        <v>0</v>
      </c>
      <c r="AW422" s="1525">
        <f t="shared" si="244"/>
        <v>0</v>
      </c>
      <c r="AX422" s="152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8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814"/>
      <c r="AV423" s="1525">
        <f t="shared" si="243"/>
        <v>0</v>
      </c>
      <c r="AW423" s="1525">
        <f t="shared" si="244"/>
        <v>0</v>
      </c>
      <c r="AX423" s="152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8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814"/>
      <c r="AV424" s="1525">
        <f t="shared" si="243"/>
        <v>0</v>
      </c>
      <c r="AW424" s="1525">
        <f t="shared" si="244"/>
        <v>0</v>
      </c>
      <c r="AX424" s="152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8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814"/>
      <c r="AV425" s="1525">
        <f t="shared" si="243"/>
        <v>0</v>
      </c>
      <c r="AW425" s="1525">
        <f t="shared" si="244"/>
        <v>0</v>
      </c>
      <c r="AX425" s="152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8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814"/>
      <c r="AV426" s="1525">
        <f t="shared" si="243"/>
        <v>0</v>
      </c>
      <c r="AW426" s="1525">
        <f t="shared" si="244"/>
        <v>0</v>
      </c>
      <c r="AX426" s="152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8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814"/>
      <c r="AV427" s="1525">
        <f t="shared" si="243"/>
        <v>0</v>
      </c>
      <c r="AW427" s="1525">
        <f t="shared" si="244"/>
        <v>0</v>
      </c>
      <c r="AX427" s="152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8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814"/>
      <c r="AV428" s="1525">
        <f t="shared" si="243"/>
        <v>0</v>
      </c>
      <c r="AW428" s="1525">
        <f t="shared" si="244"/>
        <v>0</v>
      </c>
      <c r="AX428" s="152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8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814"/>
      <c r="AV429" s="1525">
        <f t="shared" si="243"/>
        <v>0</v>
      </c>
      <c r="AW429" s="1525">
        <f t="shared" si="244"/>
        <v>0</v>
      </c>
      <c r="AX429" s="152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8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814"/>
      <c r="AV430" s="1525">
        <f t="shared" si="243"/>
        <v>0</v>
      </c>
      <c r="AW430" s="1525">
        <f t="shared" si="244"/>
        <v>0</v>
      </c>
      <c r="AX430" s="152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8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814"/>
      <c r="AV431" s="1525">
        <f t="shared" si="243"/>
        <v>0</v>
      </c>
      <c r="AW431" s="1525">
        <f t="shared" si="244"/>
        <v>0</v>
      </c>
      <c r="AX431" s="152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8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814"/>
      <c r="AV432" s="1525">
        <f t="shared" si="243"/>
        <v>0</v>
      </c>
      <c r="AW432" s="1525">
        <f t="shared" si="244"/>
        <v>0</v>
      </c>
      <c r="AX432" s="152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8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814"/>
      <c r="AV433" s="1525">
        <f t="shared" si="243"/>
        <v>0</v>
      </c>
      <c r="AW433" s="1525">
        <f t="shared" si="244"/>
        <v>0</v>
      </c>
      <c r="AX433" s="152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8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814"/>
      <c r="AV434" s="1525">
        <f t="shared" si="243"/>
        <v>0</v>
      </c>
      <c r="AW434" s="1525">
        <f t="shared" si="244"/>
        <v>0</v>
      </c>
      <c r="AX434" s="152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8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814"/>
      <c r="AV435" s="1525">
        <f t="shared" si="243"/>
        <v>0</v>
      </c>
      <c r="AW435" s="1525">
        <f t="shared" si="244"/>
        <v>0</v>
      </c>
      <c r="AX435" s="152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8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814"/>
      <c r="AV436" s="1525">
        <f t="shared" si="243"/>
        <v>0</v>
      </c>
      <c r="AW436" s="1525">
        <f t="shared" si="244"/>
        <v>0</v>
      </c>
      <c r="AX436" s="152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8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814"/>
      <c r="AV437" s="1525">
        <f t="shared" si="243"/>
        <v>0</v>
      </c>
      <c r="AW437" s="1525">
        <f t="shared" si="244"/>
        <v>0</v>
      </c>
      <c r="AX437" s="152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8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814"/>
      <c r="AV438" s="1525">
        <f t="shared" si="243"/>
        <v>0</v>
      </c>
      <c r="AW438" s="1525">
        <f t="shared" si="244"/>
        <v>0</v>
      </c>
      <c r="AX438" s="152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8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814"/>
      <c r="AV439" s="1525">
        <f t="shared" si="243"/>
        <v>0</v>
      </c>
      <c r="AW439" s="1525">
        <f t="shared" si="244"/>
        <v>0</v>
      </c>
      <c r="AX439" s="152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8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814"/>
      <c r="AV440" s="1525">
        <f t="shared" si="243"/>
        <v>0</v>
      </c>
      <c r="AW440" s="1525">
        <f t="shared" si="244"/>
        <v>0</v>
      </c>
      <c r="AX440" s="152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8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814"/>
      <c r="AV441" s="1525">
        <f t="shared" si="243"/>
        <v>0</v>
      </c>
      <c r="AW441" s="1525">
        <f t="shared" si="244"/>
        <v>0</v>
      </c>
      <c r="AX441" s="152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8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814"/>
      <c r="AV442" s="1525">
        <f t="shared" si="243"/>
        <v>0</v>
      </c>
      <c r="AW442" s="1525">
        <f t="shared" si="244"/>
        <v>0</v>
      </c>
      <c r="AX442" s="152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8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814"/>
      <c r="AV443" s="1525">
        <f t="shared" si="243"/>
        <v>0</v>
      </c>
      <c r="AW443" s="1525">
        <f t="shared" si="244"/>
        <v>0</v>
      </c>
      <c r="AX443" s="152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8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814"/>
      <c r="AV444" s="1525">
        <f t="shared" si="243"/>
        <v>0</v>
      </c>
      <c r="AW444" s="1525">
        <f t="shared" si="244"/>
        <v>0</v>
      </c>
      <c r="AX444" s="152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8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814"/>
      <c r="AV445" s="1525">
        <f t="shared" si="243"/>
        <v>0</v>
      </c>
      <c r="AW445" s="1525">
        <f t="shared" si="244"/>
        <v>0</v>
      </c>
      <c r="AX445" s="152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8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814"/>
      <c r="AV446" s="1525">
        <f t="shared" si="243"/>
        <v>0</v>
      </c>
      <c r="AW446" s="1525">
        <f t="shared" si="244"/>
        <v>0</v>
      </c>
      <c r="AX446" s="152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8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814"/>
      <c r="AV447" s="1525">
        <f t="shared" si="243"/>
        <v>0</v>
      </c>
      <c r="AW447" s="1525">
        <f t="shared" si="244"/>
        <v>0</v>
      </c>
      <c r="AX447" s="152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8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814"/>
      <c r="AV448" s="1525">
        <f t="shared" si="243"/>
        <v>0</v>
      </c>
      <c r="AW448" s="1525">
        <f t="shared" si="244"/>
        <v>0</v>
      </c>
      <c r="AX448" s="152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8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814"/>
      <c r="AV449" s="1525">
        <f t="shared" si="243"/>
        <v>0</v>
      </c>
      <c r="AW449" s="1525">
        <f t="shared" si="244"/>
        <v>0</v>
      </c>
      <c r="AX449" s="152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8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814"/>
      <c r="AV450" s="1525">
        <f t="shared" si="243"/>
        <v>0</v>
      </c>
      <c r="AW450" s="1525">
        <f t="shared" si="244"/>
        <v>0</v>
      </c>
      <c r="AX450" s="152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8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814"/>
      <c r="AV451" s="1525">
        <f t="shared" si="243"/>
        <v>0</v>
      </c>
      <c r="AW451" s="1525">
        <f t="shared" si="244"/>
        <v>0</v>
      </c>
      <c r="AX451" s="152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8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814"/>
      <c r="AV452" s="1525">
        <f t="shared" si="243"/>
        <v>0</v>
      </c>
      <c r="AW452" s="1525">
        <f t="shared" si="244"/>
        <v>0</v>
      </c>
      <c r="AX452" s="152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8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814"/>
      <c r="AV453" s="1525">
        <f t="shared" si="243"/>
        <v>0</v>
      </c>
      <c r="AW453" s="1525">
        <f t="shared" si="244"/>
        <v>0</v>
      </c>
      <c r="AX453" s="152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8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814"/>
      <c r="AV454" s="1525">
        <f t="shared" si="243"/>
        <v>0</v>
      </c>
      <c r="AW454" s="1525">
        <f t="shared" si="244"/>
        <v>0</v>
      </c>
      <c r="AX454" s="152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8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814"/>
      <c r="AV455" s="1525">
        <f t="shared" si="243"/>
        <v>0</v>
      </c>
      <c r="AW455" s="1525">
        <f t="shared" si="244"/>
        <v>0</v>
      </c>
      <c r="AX455" s="152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8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814"/>
      <c r="AV456" s="1525">
        <f t="shared" si="243"/>
        <v>0</v>
      </c>
      <c r="AW456" s="1525">
        <f t="shared" si="244"/>
        <v>0</v>
      </c>
      <c r="AX456" s="152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8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814"/>
      <c r="AV457" s="1525">
        <f t="shared" si="243"/>
        <v>0</v>
      </c>
      <c r="AW457" s="1525">
        <f t="shared" si="244"/>
        <v>0</v>
      </c>
      <c r="AX457" s="152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8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814"/>
      <c r="AV458" s="1525">
        <f t="shared" si="243"/>
        <v>0</v>
      </c>
      <c r="AW458" s="1525">
        <f t="shared" si="244"/>
        <v>0</v>
      </c>
      <c r="AX458" s="152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8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814"/>
      <c r="AV459" s="1525">
        <f t="shared" si="243"/>
        <v>0</v>
      </c>
      <c r="AW459" s="1525">
        <f t="shared" si="244"/>
        <v>0</v>
      </c>
      <c r="AX459" s="152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8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814"/>
      <c r="AV460" s="1525">
        <f t="shared" si="243"/>
        <v>0</v>
      </c>
      <c r="AW460" s="1525">
        <f t="shared" si="244"/>
        <v>0</v>
      </c>
      <c r="AX460" s="152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8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814"/>
      <c r="AV461" s="1525">
        <f t="shared" si="243"/>
        <v>0</v>
      </c>
      <c r="AW461" s="1525">
        <f t="shared" si="244"/>
        <v>0</v>
      </c>
      <c r="AX461" s="152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8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814"/>
      <c r="AV462" s="1525">
        <f t="shared" si="243"/>
        <v>0</v>
      </c>
      <c r="AW462" s="1525">
        <f t="shared" si="244"/>
        <v>0</v>
      </c>
      <c r="AX462" s="152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8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814"/>
      <c r="AV463" s="1525">
        <f t="shared" si="243"/>
        <v>0</v>
      </c>
      <c r="AW463" s="1525">
        <f t="shared" si="244"/>
        <v>0</v>
      </c>
      <c r="AX463" s="152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8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814"/>
      <c r="AV464" s="1525">
        <f t="shared" si="243"/>
        <v>0</v>
      </c>
      <c r="AW464" s="1525">
        <f t="shared" si="244"/>
        <v>0</v>
      </c>
      <c r="AX464" s="152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8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814"/>
      <c r="AV465" s="1525">
        <f t="shared" si="243"/>
        <v>0</v>
      </c>
      <c r="AW465" s="1525">
        <f t="shared" si="244"/>
        <v>0</v>
      </c>
      <c r="AX465" s="152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8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814"/>
      <c r="AV466" s="1525">
        <f t="shared" si="243"/>
        <v>0</v>
      </c>
      <c r="AW466" s="1525">
        <f t="shared" si="244"/>
        <v>0</v>
      </c>
      <c r="AX466" s="152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8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814"/>
      <c r="AV467" s="1525">
        <f t="shared" si="243"/>
        <v>0</v>
      </c>
      <c r="AW467" s="1525">
        <f t="shared" si="244"/>
        <v>0</v>
      </c>
      <c r="AX467" s="152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8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814"/>
      <c r="AV468" s="1525">
        <f t="shared" si="243"/>
        <v>0</v>
      </c>
      <c r="AW468" s="1525">
        <f t="shared" si="244"/>
        <v>0</v>
      </c>
      <c r="AX468" s="152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8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814"/>
      <c r="AV469" s="1525">
        <f t="shared" si="243"/>
        <v>0</v>
      </c>
      <c r="AW469" s="1525">
        <f t="shared" si="244"/>
        <v>0</v>
      </c>
      <c r="AX469" s="152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8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814"/>
      <c r="AV470" s="1525">
        <f t="shared" si="243"/>
        <v>0</v>
      </c>
      <c r="AW470" s="1525">
        <f t="shared" si="244"/>
        <v>0</v>
      </c>
      <c r="AX470" s="152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8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814"/>
      <c r="AV471" s="1525">
        <f t="shared" si="243"/>
        <v>0</v>
      </c>
      <c r="AW471" s="1525">
        <f t="shared" si="244"/>
        <v>0</v>
      </c>
      <c r="AX471" s="152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8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814"/>
      <c r="AV472" s="1525">
        <f t="shared" si="243"/>
        <v>0</v>
      </c>
      <c r="AW472" s="1525">
        <f t="shared" si="244"/>
        <v>0</v>
      </c>
      <c r="AX472" s="152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8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814"/>
      <c r="AV473" s="1525">
        <f t="shared" si="243"/>
        <v>0</v>
      </c>
      <c r="AW473" s="1525">
        <f t="shared" si="244"/>
        <v>0</v>
      </c>
      <c r="AX473" s="152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8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814"/>
      <c r="AV474" s="1525">
        <f t="shared" si="243"/>
        <v>0</v>
      </c>
      <c r="AW474" s="1525">
        <f t="shared" si="244"/>
        <v>0</v>
      </c>
      <c r="AX474" s="152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8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814"/>
      <c r="AV475" s="1525">
        <f t="shared" si="243"/>
        <v>0</v>
      </c>
      <c r="AW475" s="1525">
        <f t="shared" si="244"/>
        <v>0</v>
      </c>
      <c r="AX475" s="152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8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814"/>
      <c r="AV476" s="1525">
        <f t="shared" si="243"/>
        <v>0</v>
      </c>
      <c r="AW476" s="1525">
        <f t="shared" si="244"/>
        <v>0</v>
      </c>
      <c r="AX476" s="152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8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814"/>
      <c r="AV477" s="1525">
        <f t="shared" si="243"/>
        <v>0</v>
      </c>
      <c r="AW477" s="1525">
        <f t="shared" si="244"/>
        <v>0</v>
      </c>
      <c r="AX477" s="152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8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814"/>
      <c r="AV478" s="1525">
        <f t="shared" si="243"/>
        <v>0</v>
      </c>
      <c r="AW478" s="1525">
        <f t="shared" si="244"/>
        <v>0</v>
      </c>
      <c r="AX478" s="152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8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814"/>
      <c r="AV479" s="1525">
        <f t="shared" si="243"/>
        <v>0</v>
      </c>
      <c r="AW479" s="1525">
        <f t="shared" si="244"/>
        <v>0</v>
      </c>
      <c r="AX479" s="152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8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814"/>
      <c r="AV480" s="1525">
        <f t="shared" si="243"/>
        <v>0</v>
      </c>
      <c r="AW480" s="1525">
        <f t="shared" si="244"/>
        <v>0</v>
      </c>
      <c r="AX480" s="152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8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814"/>
      <c r="AV481" s="1525">
        <f t="shared" si="243"/>
        <v>0</v>
      </c>
      <c r="AW481" s="1525">
        <f t="shared" si="244"/>
        <v>0</v>
      </c>
      <c r="AX481" s="152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8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814"/>
      <c r="AV482" s="1525">
        <f t="shared" si="243"/>
        <v>0</v>
      </c>
      <c r="AW482" s="1525">
        <f t="shared" si="244"/>
        <v>0</v>
      </c>
      <c r="AX482" s="152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8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814"/>
      <c r="AV483" s="1525">
        <f t="shared" si="243"/>
        <v>0</v>
      </c>
      <c r="AW483" s="1525">
        <f t="shared" si="244"/>
        <v>0</v>
      </c>
      <c r="AX483" s="152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8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814"/>
      <c r="AV484" s="1525">
        <f t="shared" si="243"/>
        <v>0</v>
      </c>
      <c r="AW484" s="1525">
        <f t="shared" si="244"/>
        <v>0</v>
      </c>
      <c r="AX484" s="152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8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814"/>
      <c r="AV485" s="1525">
        <f t="shared" si="243"/>
        <v>0</v>
      </c>
      <c r="AW485" s="1525">
        <f t="shared" si="244"/>
        <v>0</v>
      </c>
      <c r="AX485" s="152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8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814"/>
      <c r="AV486" s="1525">
        <f t="shared" si="243"/>
        <v>0</v>
      </c>
      <c r="AW486" s="1525">
        <f t="shared" si="244"/>
        <v>0</v>
      </c>
      <c r="AX486" s="152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8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814"/>
      <c r="AV487" s="1525">
        <f t="shared" si="243"/>
        <v>0</v>
      </c>
      <c r="AW487" s="1525">
        <f t="shared" si="244"/>
        <v>0</v>
      </c>
      <c r="AX487" s="152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8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814"/>
      <c r="AV488" s="1525">
        <f t="shared" si="243"/>
        <v>0</v>
      </c>
      <c r="AW488" s="1525">
        <f t="shared" si="244"/>
        <v>0</v>
      </c>
      <c r="AX488" s="152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8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814"/>
      <c r="AV489" s="1525">
        <f t="shared" si="243"/>
        <v>0</v>
      </c>
      <c r="AW489" s="1525">
        <f t="shared" si="244"/>
        <v>0</v>
      </c>
      <c r="AX489" s="152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81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754"/>
      <c r="AV490" s="1525">
        <f t="shared" si="243"/>
        <v>0</v>
      </c>
      <c r="AW490" s="1525">
        <f t="shared" si="244"/>
        <v>0</v>
      </c>
      <c r="AX490" s="152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81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754"/>
      <c r="AV491" s="1525">
        <f t="shared" si="243"/>
        <v>0</v>
      </c>
      <c r="AW491" s="1525">
        <f t="shared" si="244"/>
        <v>0</v>
      </c>
      <c r="AX491" s="152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81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754"/>
      <c r="AV492" s="1525">
        <f t="shared" si="243"/>
        <v>0</v>
      </c>
      <c r="AW492" s="1525">
        <f t="shared" si="244"/>
        <v>0</v>
      </c>
      <c r="AX492" s="152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8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814"/>
      <c r="AV493" s="1525">
        <f t="shared" ref="AV493:AV520" si="294">A493</f>
        <v>0</v>
      </c>
      <c r="AW493" s="1525">
        <f t="shared" ref="AW493:AW520" si="295">B493</f>
        <v>0</v>
      </c>
      <c r="AX493" s="152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8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814"/>
      <c r="AV494" s="1525">
        <f t="shared" si="294"/>
        <v>0</v>
      </c>
      <c r="AW494" s="1525">
        <f t="shared" si="295"/>
        <v>0</v>
      </c>
      <c r="AX494" s="152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8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814"/>
      <c r="AV495" s="1525">
        <f t="shared" si="294"/>
        <v>0</v>
      </c>
      <c r="AW495" s="1525">
        <f t="shared" si="295"/>
        <v>0</v>
      </c>
      <c r="AX495" s="152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8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814"/>
      <c r="AV496" s="1525">
        <f t="shared" si="294"/>
        <v>0</v>
      </c>
      <c r="AW496" s="1525">
        <f t="shared" si="295"/>
        <v>0</v>
      </c>
      <c r="AX496" s="152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8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814"/>
      <c r="AV497" s="1525">
        <f t="shared" si="294"/>
        <v>0</v>
      </c>
      <c r="AW497" s="1525">
        <f t="shared" si="295"/>
        <v>0</v>
      </c>
      <c r="AX497" s="152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8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814"/>
      <c r="AV498" s="1525">
        <f t="shared" si="294"/>
        <v>0</v>
      </c>
      <c r="AW498" s="1525">
        <f t="shared" si="295"/>
        <v>0</v>
      </c>
      <c r="AX498" s="152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8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814"/>
      <c r="AV499" s="1525">
        <f t="shared" si="294"/>
        <v>0</v>
      </c>
      <c r="AW499" s="1525">
        <f t="shared" si="295"/>
        <v>0</v>
      </c>
      <c r="AX499" s="152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8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814"/>
      <c r="AV500" s="1525">
        <f t="shared" si="294"/>
        <v>0</v>
      </c>
      <c r="AW500" s="1525">
        <f t="shared" si="295"/>
        <v>0</v>
      </c>
      <c r="AX500" s="152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8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814"/>
      <c r="AV501" s="1525">
        <f t="shared" si="294"/>
        <v>0</v>
      </c>
      <c r="AW501" s="1525">
        <f t="shared" si="295"/>
        <v>0</v>
      </c>
      <c r="AX501" s="152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8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814"/>
      <c r="AV502" s="1525">
        <f t="shared" si="294"/>
        <v>0</v>
      </c>
      <c r="AW502" s="1525">
        <f t="shared" si="295"/>
        <v>0</v>
      </c>
      <c r="AX502" s="152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8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814"/>
      <c r="AV503" s="1525">
        <f t="shared" si="294"/>
        <v>0</v>
      </c>
      <c r="AW503" s="1525">
        <f t="shared" si="295"/>
        <v>0</v>
      </c>
      <c r="AX503" s="152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8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814"/>
      <c r="AV504" s="1525">
        <f t="shared" si="294"/>
        <v>0</v>
      </c>
      <c r="AW504" s="1525">
        <f t="shared" si="295"/>
        <v>0</v>
      </c>
      <c r="AX504" s="152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8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814"/>
      <c r="AV505" s="1525">
        <f t="shared" si="294"/>
        <v>0</v>
      </c>
      <c r="AW505" s="1525">
        <f t="shared" si="295"/>
        <v>0</v>
      </c>
      <c r="AX505" s="152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8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814"/>
      <c r="AV506" s="1525">
        <f t="shared" si="294"/>
        <v>0</v>
      </c>
      <c r="AW506" s="1525">
        <f t="shared" si="295"/>
        <v>0</v>
      </c>
      <c r="AX506" s="152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8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814"/>
      <c r="AV507" s="1525">
        <f t="shared" si="294"/>
        <v>0</v>
      </c>
      <c r="AW507" s="1525">
        <f t="shared" si="295"/>
        <v>0</v>
      </c>
      <c r="AX507" s="152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8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814"/>
      <c r="AV508" s="1525">
        <f t="shared" si="294"/>
        <v>0</v>
      </c>
      <c r="AW508" s="1525">
        <f t="shared" si="295"/>
        <v>0</v>
      </c>
      <c r="AX508" s="152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8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814"/>
      <c r="AV509" s="1525">
        <f t="shared" si="294"/>
        <v>0</v>
      </c>
      <c r="AW509" s="1525">
        <f t="shared" si="295"/>
        <v>0</v>
      </c>
      <c r="AX509" s="152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8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814"/>
      <c r="AV510" s="1525">
        <f t="shared" si="294"/>
        <v>0</v>
      </c>
      <c r="AW510" s="1525">
        <f t="shared" si="295"/>
        <v>0</v>
      </c>
      <c r="AX510" s="152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8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814"/>
      <c r="AV511" s="1525">
        <f t="shared" si="294"/>
        <v>0</v>
      </c>
      <c r="AW511" s="1525">
        <f t="shared" si="295"/>
        <v>0</v>
      </c>
      <c r="AX511" s="152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8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814"/>
      <c r="AV512" s="1525">
        <f t="shared" si="294"/>
        <v>0</v>
      </c>
      <c r="AW512" s="1525">
        <f t="shared" si="295"/>
        <v>0</v>
      </c>
      <c r="AX512" s="152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8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814"/>
      <c r="AV513" s="1525">
        <f t="shared" si="294"/>
        <v>0</v>
      </c>
      <c r="AW513" s="1525">
        <f t="shared" si="295"/>
        <v>0</v>
      </c>
      <c r="AX513" s="152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8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814"/>
      <c r="AV514" s="1525">
        <f t="shared" si="294"/>
        <v>0</v>
      </c>
      <c r="AW514" s="1525">
        <f t="shared" si="295"/>
        <v>0</v>
      </c>
      <c r="AX514" s="152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8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814"/>
      <c r="AV515" s="1525">
        <f t="shared" si="294"/>
        <v>0</v>
      </c>
      <c r="AW515" s="1525">
        <f t="shared" si="295"/>
        <v>0</v>
      </c>
      <c r="AX515" s="152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8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814"/>
      <c r="AV516" s="1525">
        <f t="shared" si="294"/>
        <v>0</v>
      </c>
      <c r="AW516" s="1525">
        <f t="shared" si="295"/>
        <v>0</v>
      </c>
      <c r="AX516" s="152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8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814"/>
      <c r="AV517" s="1525">
        <f t="shared" si="294"/>
        <v>0</v>
      </c>
      <c r="AW517" s="1525">
        <f t="shared" si="295"/>
        <v>0</v>
      </c>
      <c r="AX517" s="152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8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814"/>
      <c r="AV518" s="1525">
        <f t="shared" si="294"/>
        <v>0</v>
      </c>
      <c r="AW518" s="1525">
        <f t="shared" si="295"/>
        <v>0</v>
      </c>
      <c r="AX518" s="152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8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814"/>
      <c r="AV519" s="1525">
        <f t="shared" si="294"/>
        <v>0</v>
      </c>
      <c r="AW519" s="1525">
        <f t="shared" si="295"/>
        <v>0</v>
      </c>
      <c r="AX519" s="152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8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814"/>
      <c r="AV520" s="1525">
        <f t="shared" si="294"/>
        <v>0</v>
      </c>
      <c r="AW520" s="1525">
        <f t="shared" si="295"/>
        <v>0</v>
      </c>
      <c r="AX520" s="152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8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814"/>
      <c r="AV521" s="1525">
        <f t="shared" ref="AV521:AV552" si="298">A521</f>
        <v>0</v>
      </c>
      <c r="AW521" s="1525">
        <f t="shared" ref="AW521:AW552" si="299">B521</f>
        <v>0</v>
      </c>
      <c r="AX521" s="152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8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814"/>
      <c r="AV522" s="1525">
        <f t="shared" si="298"/>
        <v>0</v>
      </c>
      <c r="AW522" s="1525">
        <f t="shared" si="299"/>
        <v>0</v>
      </c>
      <c r="AX522" s="152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8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814"/>
      <c r="AV523" s="1525">
        <f t="shared" si="298"/>
        <v>0</v>
      </c>
      <c r="AW523" s="1525">
        <f t="shared" si="299"/>
        <v>0</v>
      </c>
      <c r="AX523" s="152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8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814"/>
      <c r="AV524" s="1525">
        <f t="shared" si="298"/>
        <v>0</v>
      </c>
      <c r="AW524" s="1525">
        <f t="shared" si="299"/>
        <v>0</v>
      </c>
      <c r="AX524" s="152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8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814"/>
      <c r="AV525" s="1525">
        <f t="shared" si="298"/>
        <v>0</v>
      </c>
      <c r="AW525" s="1525">
        <f t="shared" si="299"/>
        <v>0</v>
      </c>
      <c r="AX525" s="152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8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814"/>
      <c r="AV526" s="1525">
        <f t="shared" si="298"/>
        <v>0</v>
      </c>
      <c r="AW526" s="1525">
        <f t="shared" si="299"/>
        <v>0</v>
      </c>
      <c r="AX526" s="152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8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814"/>
      <c r="AV527" s="1525">
        <f t="shared" si="298"/>
        <v>0</v>
      </c>
      <c r="AW527" s="1525">
        <f t="shared" si="299"/>
        <v>0</v>
      </c>
      <c r="AX527" s="152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8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814"/>
      <c r="AV528" s="1525">
        <f t="shared" si="298"/>
        <v>0</v>
      </c>
      <c r="AW528" s="1525">
        <f t="shared" si="299"/>
        <v>0</v>
      </c>
      <c r="AX528" s="152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8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814"/>
      <c r="AV529" s="1525">
        <f t="shared" si="298"/>
        <v>0</v>
      </c>
      <c r="AW529" s="1525">
        <f t="shared" si="299"/>
        <v>0</v>
      </c>
      <c r="AX529" s="152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8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814"/>
      <c r="AV530" s="1525">
        <f t="shared" si="298"/>
        <v>0</v>
      </c>
      <c r="AW530" s="1525">
        <f t="shared" si="299"/>
        <v>0</v>
      </c>
      <c r="AX530" s="152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8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814"/>
      <c r="AV531" s="1525">
        <f t="shared" si="298"/>
        <v>0</v>
      </c>
      <c r="AW531" s="1525">
        <f t="shared" si="299"/>
        <v>0</v>
      </c>
      <c r="AX531" s="152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8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814"/>
      <c r="AV532" s="1525">
        <f t="shared" si="298"/>
        <v>0</v>
      </c>
      <c r="AW532" s="1525">
        <f t="shared" si="299"/>
        <v>0</v>
      </c>
      <c r="AX532" s="152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8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814"/>
      <c r="AV533" s="1525">
        <f t="shared" si="298"/>
        <v>0</v>
      </c>
      <c r="AW533" s="1525">
        <f t="shared" si="299"/>
        <v>0</v>
      </c>
      <c r="AX533" s="152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8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814"/>
      <c r="AV534" s="1525">
        <f t="shared" si="298"/>
        <v>0</v>
      </c>
      <c r="AW534" s="1525">
        <f t="shared" si="299"/>
        <v>0</v>
      </c>
      <c r="AX534" s="152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8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814"/>
      <c r="AV535" s="1525">
        <f t="shared" si="298"/>
        <v>0</v>
      </c>
      <c r="AW535" s="1525">
        <f t="shared" si="299"/>
        <v>0</v>
      </c>
      <c r="AX535" s="152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8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814"/>
      <c r="AV536" s="1525">
        <f t="shared" si="298"/>
        <v>0</v>
      </c>
      <c r="AW536" s="1525">
        <f t="shared" si="299"/>
        <v>0</v>
      </c>
      <c r="AX536" s="152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8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814"/>
      <c r="AV537" s="1525">
        <f t="shared" si="298"/>
        <v>0</v>
      </c>
      <c r="AW537" s="1525">
        <f t="shared" si="299"/>
        <v>0</v>
      </c>
      <c r="AX537" s="152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8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814"/>
      <c r="AV538" s="1525">
        <f t="shared" si="298"/>
        <v>0</v>
      </c>
      <c r="AW538" s="1525">
        <f t="shared" si="299"/>
        <v>0</v>
      </c>
      <c r="AX538" s="152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8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814"/>
      <c r="AV539" s="1525">
        <f t="shared" si="298"/>
        <v>0</v>
      </c>
      <c r="AW539" s="1525">
        <f t="shared" si="299"/>
        <v>0</v>
      </c>
      <c r="AX539" s="152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8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814"/>
      <c r="AV540" s="1525">
        <f t="shared" si="298"/>
        <v>0</v>
      </c>
      <c r="AW540" s="1525">
        <f t="shared" si="299"/>
        <v>0</v>
      </c>
      <c r="AX540" s="152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8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814"/>
      <c r="AV541" s="1525">
        <f t="shared" si="298"/>
        <v>0</v>
      </c>
      <c r="AW541" s="1525">
        <f t="shared" si="299"/>
        <v>0</v>
      </c>
      <c r="AX541" s="152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8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814"/>
      <c r="AV542" s="1525">
        <f t="shared" si="298"/>
        <v>0</v>
      </c>
      <c r="AW542" s="1525">
        <f t="shared" si="299"/>
        <v>0</v>
      </c>
      <c r="AX542" s="152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8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814"/>
      <c r="AV543" s="1525">
        <f t="shared" si="298"/>
        <v>0</v>
      </c>
      <c r="AW543" s="1525">
        <f t="shared" si="299"/>
        <v>0</v>
      </c>
      <c r="AX543" s="152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8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814"/>
      <c r="AV544" s="1525">
        <f t="shared" si="298"/>
        <v>0</v>
      </c>
      <c r="AW544" s="1525">
        <f t="shared" si="299"/>
        <v>0</v>
      </c>
      <c r="AX544" s="152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8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814"/>
      <c r="AV545" s="1525">
        <f t="shared" si="298"/>
        <v>0</v>
      </c>
      <c r="AW545" s="1525">
        <f t="shared" si="299"/>
        <v>0</v>
      </c>
      <c r="AX545" s="152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8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814"/>
      <c r="AV546" s="1525">
        <f t="shared" si="298"/>
        <v>0</v>
      </c>
      <c r="AW546" s="1525">
        <f t="shared" si="299"/>
        <v>0</v>
      </c>
      <c r="AX546" s="152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8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814"/>
      <c r="AV547" s="1525">
        <f t="shared" si="298"/>
        <v>0</v>
      </c>
      <c r="AW547" s="1525">
        <f t="shared" si="299"/>
        <v>0</v>
      </c>
      <c r="AX547" s="152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8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814"/>
      <c r="AV548" s="1525">
        <f t="shared" si="298"/>
        <v>0</v>
      </c>
      <c r="AW548" s="1525">
        <f t="shared" si="299"/>
        <v>0</v>
      </c>
      <c r="AX548" s="152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8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814"/>
      <c r="AV549" s="1525">
        <f t="shared" si="298"/>
        <v>0</v>
      </c>
      <c r="AW549" s="1525">
        <f t="shared" si="299"/>
        <v>0</v>
      </c>
      <c r="AX549" s="152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8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814"/>
      <c r="AV550" s="1525">
        <f t="shared" si="298"/>
        <v>0</v>
      </c>
      <c r="AW550" s="1525">
        <f t="shared" si="299"/>
        <v>0</v>
      </c>
      <c r="AX550" s="152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8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814"/>
      <c r="AV551" s="1525">
        <f t="shared" si="298"/>
        <v>0</v>
      </c>
      <c r="AW551" s="1525">
        <f t="shared" si="299"/>
        <v>0</v>
      </c>
      <c r="AX551" s="152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8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814"/>
      <c r="AV552" s="1525">
        <f t="shared" si="298"/>
        <v>0</v>
      </c>
      <c r="AW552" s="1525">
        <f t="shared" si="299"/>
        <v>0</v>
      </c>
      <c r="AX552" s="152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8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814"/>
      <c r="AV553" s="1525">
        <f t="shared" ref="AV553:AV587" si="330">A553</f>
        <v>0</v>
      </c>
      <c r="AW553" s="1525">
        <f t="shared" ref="AW553:AW587" si="331">B553</f>
        <v>0</v>
      </c>
      <c r="AX553" s="152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8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814"/>
      <c r="AV554" s="1525">
        <f t="shared" si="330"/>
        <v>0</v>
      </c>
      <c r="AW554" s="1525">
        <f t="shared" si="331"/>
        <v>0</v>
      </c>
      <c r="AX554" s="152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8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814"/>
      <c r="AV555" s="1525">
        <f t="shared" si="330"/>
        <v>0</v>
      </c>
      <c r="AW555" s="1525">
        <f t="shared" si="331"/>
        <v>0</v>
      </c>
      <c r="AX555" s="152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8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814"/>
      <c r="AV556" s="1525">
        <f t="shared" si="330"/>
        <v>0</v>
      </c>
      <c r="AW556" s="1525">
        <f t="shared" si="331"/>
        <v>0</v>
      </c>
      <c r="AX556" s="152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8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814"/>
      <c r="AV557" s="1525">
        <f t="shared" si="330"/>
        <v>0</v>
      </c>
      <c r="AW557" s="1525">
        <f t="shared" si="331"/>
        <v>0</v>
      </c>
      <c r="AX557" s="152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8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814"/>
      <c r="AV558" s="1525">
        <f t="shared" si="330"/>
        <v>0</v>
      </c>
      <c r="AW558" s="1525">
        <f t="shared" si="331"/>
        <v>0</v>
      </c>
      <c r="AX558" s="152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8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814"/>
      <c r="AV559" s="1525">
        <f t="shared" si="330"/>
        <v>0</v>
      </c>
      <c r="AW559" s="1525">
        <f t="shared" si="331"/>
        <v>0</v>
      </c>
      <c r="AX559" s="152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8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814"/>
      <c r="AV560" s="1525">
        <f t="shared" si="330"/>
        <v>0</v>
      </c>
      <c r="AW560" s="1525">
        <f t="shared" si="331"/>
        <v>0</v>
      </c>
      <c r="AX560" s="152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8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814"/>
      <c r="AV561" s="1525">
        <f t="shared" si="330"/>
        <v>0</v>
      </c>
      <c r="AW561" s="1525">
        <f t="shared" si="331"/>
        <v>0</v>
      </c>
      <c r="AX561" s="152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8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814"/>
      <c r="AV562" s="1525">
        <f t="shared" si="330"/>
        <v>0</v>
      </c>
      <c r="AW562" s="1525">
        <f t="shared" si="331"/>
        <v>0</v>
      </c>
      <c r="AX562" s="152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8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814"/>
      <c r="AV563" s="1525">
        <f t="shared" si="330"/>
        <v>0</v>
      </c>
      <c r="AW563" s="1525">
        <f t="shared" si="331"/>
        <v>0</v>
      </c>
      <c r="AX563" s="152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8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814"/>
      <c r="AV564" s="1525">
        <f t="shared" si="330"/>
        <v>0</v>
      </c>
      <c r="AW564" s="1525">
        <f t="shared" si="331"/>
        <v>0</v>
      </c>
      <c r="AX564" s="152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8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814"/>
      <c r="AV565" s="1525">
        <f t="shared" si="330"/>
        <v>0</v>
      </c>
      <c r="AW565" s="1525">
        <f t="shared" si="331"/>
        <v>0</v>
      </c>
      <c r="AX565" s="152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8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814"/>
      <c r="AV566" s="1525">
        <f t="shared" si="330"/>
        <v>0</v>
      </c>
      <c r="AW566" s="1525">
        <f t="shared" si="331"/>
        <v>0</v>
      </c>
      <c r="AX566" s="152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8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814"/>
      <c r="AV567" s="1525">
        <f t="shared" si="330"/>
        <v>0</v>
      </c>
      <c r="AW567" s="1525">
        <f t="shared" si="331"/>
        <v>0</v>
      </c>
      <c r="AX567" s="152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8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814"/>
      <c r="AV568" s="1525">
        <f t="shared" si="330"/>
        <v>0</v>
      </c>
      <c r="AW568" s="1525">
        <f t="shared" si="331"/>
        <v>0</v>
      </c>
      <c r="AX568" s="152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8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814"/>
      <c r="AV569" s="1525">
        <f t="shared" si="330"/>
        <v>0</v>
      </c>
      <c r="AW569" s="1525">
        <f t="shared" si="331"/>
        <v>0</v>
      </c>
      <c r="AX569" s="152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8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814"/>
      <c r="AV570" s="1525">
        <f t="shared" si="330"/>
        <v>0</v>
      </c>
      <c r="AW570" s="1525">
        <f t="shared" si="331"/>
        <v>0</v>
      </c>
      <c r="AX570" s="152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8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814"/>
      <c r="AV571" s="1525">
        <f t="shared" si="330"/>
        <v>0</v>
      </c>
      <c r="AW571" s="1525">
        <f t="shared" si="331"/>
        <v>0</v>
      </c>
      <c r="AX571" s="152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8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814"/>
      <c r="AV572" s="1525">
        <f t="shared" si="330"/>
        <v>0</v>
      </c>
      <c r="AW572" s="1525">
        <f t="shared" si="331"/>
        <v>0</v>
      </c>
      <c r="AX572" s="152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8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814"/>
      <c r="AV573" s="1525">
        <f t="shared" si="330"/>
        <v>0</v>
      </c>
      <c r="AW573" s="1525">
        <f t="shared" si="331"/>
        <v>0</v>
      </c>
      <c r="AX573" s="152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8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814"/>
      <c r="AV574" s="1525">
        <f t="shared" si="330"/>
        <v>0</v>
      </c>
      <c r="AW574" s="1525">
        <f t="shared" si="331"/>
        <v>0</v>
      </c>
      <c r="AX574" s="152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8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814"/>
      <c r="AV575" s="1525">
        <f t="shared" si="330"/>
        <v>0</v>
      </c>
      <c r="AW575" s="1525">
        <f t="shared" si="331"/>
        <v>0</v>
      </c>
      <c r="AX575" s="152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8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814"/>
      <c r="AV576" s="1525">
        <f t="shared" si="330"/>
        <v>0</v>
      </c>
      <c r="AW576" s="1525">
        <f t="shared" si="331"/>
        <v>0</v>
      </c>
      <c r="AX576" s="152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8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814"/>
      <c r="AV577" s="1525">
        <f t="shared" si="330"/>
        <v>0</v>
      </c>
      <c r="AW577" s="1525">
        <f t="shared" si="331"/>
        <v>0</v>
      </c>
      <c r="AX577" s="152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8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814"/>
      <c r="AV578" s="1525">
        <f t="shared" si="330"/>
        <v>0</v>
      </c>
      <c r="AW578" s="1525">
        <f t="shared" si="331"/>
        <v>0</v>
      </c>
      <c r="AX578" s="152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8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814"/>
      <c r="AV579" s="1525">
        <f t="shared" si="330"/>
        <v>0</v>
      </c>
      <c r="AW579" s="1525">
        <f t="shared" si="331"/>
        <v>0</v>
      </c>
      <c r="AX579" s="152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8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814"/>
      <c r="AV580" s="1525">
        <f t="shared" si="330"/>
        <v>0</v>
      </c>
      <c r="AW580" s="1525">
        <f t="shared" si="331"/>
        <v>0</v>
      </c>
      <c r="AX580" s="152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8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814"/>
      <c r="AV581" s="1525">
        <f t="shared" si="330"/>
        <v>0</v>
      </c>
      <c r="AW581" s="1525">
        <f t="shared" si="331"/>
        <v>0</v>
      </c>
      <c r="AX581" s="152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8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814"/>
      <c r="AV582" s="1525">
        <f t="shared" si="330"/>
        <v>0</v>
      </c>
      <c r="AW582" s="1525">
        <f t="shared" si="331"/>
        <v>0</v>
      </c>
      <c r="AX582" s="152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8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814"/>
      <c r="AV583" s="1525">
        <f t="shared" si="330"/>
        <v>0</v>
      </c>
      <c r="AW583" s="1525">
        <f t="shared" si="331"/>
        <v>0</v>
      </c>
      <c r="AX583" s="152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8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814"/>
      <c r="AV584" s="1525">
        <f t="shared" si="330"/>
        <v>0</v>
      </c>
      <c r="AW584" s="1525">
        <f t="shared" si="331"/>
        <v>0</v>
      </c>
      <c r="AX584" s="152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81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754"/>
      <c r="AV585" s="1525">
        <f t="shared" si="330"/>
        <v>0</v>
      </c>
      <c r="AW585" s="1525">
        <f t="shared" si="331"/>
        <v>0</v>
      </c>
      <c r="AX585" s="152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81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754"/>
      <c r="AV586" s="1525">
        <f t="shared" si="330"/>
        <v>0</v>
      </c>
      <c r="AW586" s="1525">
        <f t="shared" si="331"/>
        <v>0</v>
      </c>
      <c r="AX586" s="152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81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754"/>
      <c r="AV587" s="1525">
        <f t="shared" si="330"/>
        <v>0</v>
      </c>
      <c r="AW587" s="1525">
        <f t="shared" si="331"/>
        <v>0</v>
      </c>
      <c r="AX587" s="152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16"/>
  <sheetViews>
    <sheetView workbookViewId="0">
      <selection activeCell="H10" sqref="H10"/>
    </sheetView>
  </sheetViews>
  <sheetFormatPr defaultRowHeight="13.5"/>
  <cols>
    <col min="3" max="3" width="28.625" customWidth="1"/>
    <col min="4" max="4" width="29.25" customWidth="1"/>
  </cols>
  <sheetData>
    <row r="1" spans="2:4" ht="14.25" thickBot="1"/>
    <row r="2" spans="2:4" ht="14.25" thickBot="1">
      <c r="B2" s="3166" t="s">
        <v>3300</v>
      </c>
      <c r="C2" s="3167"/>
      <c r="D2" s="3085">
        <v>131838.74</v>
      </c>
    </row>
    <row r="3" spans="2:4" ht="14.25" thickBot="1">
      <c r="B3" s="3166" t="s">
        <v>3301</v>
      </c>
      <c r="C3" s="3167"/>
      <c r="D3" s="3087">
        <v>71942</v>
      </c>
    </row>
    <row r="4" spans="2:4" ht="14.25" thickBot="1">
      <c r="B4" s="3166" t="s">
        <v>3302</v>
      </c>
      <c r="C4" s="3168"/>
      <c r="D4" s="3087">
        <v>1</v>
      </c>
    </row>
    <row r="5" spans="2:4" ht="14.25" thickBot="1">
      <c r="B5" s="3169" t="s">
        <v>3058</v>
      </c>
      <c r="C5" s="3087" t="s">
        <v>3303</v>
      </c>
      <c r="D5" s="3087">
        <v>23816.76</v>
      </c>
    </row>
    <row r="6" spans="2:4" ht="14.25" thickBot="1">
      <c r="B6" s="3170"/>
      <c r="C6" s="3088" t="s">
        <v>3304</v>
      </c>
      <c r="D6" s="3087">
        <v>4554.8999999999996</v>
      </c>
    </row>
    <row r="7" spans="2:4" ht="14.25" thickBot="1">
      <c r="B7" s="3170"/>
      <c r="C7" s="3089" t="s">
        <v>3305</v>
      </c>
      <c r="D7" s="3087">
        <v>34143.660000000003</v>
      </c>
    </row>
    <row r="8" spans="2:4" ht="14.25" thickBot="1">
      <c r="B8" s="3170"/>
      <c r="C8" s="3087" t="s">
        <v>3306</v>
      </c>
      <c r="D8" s="3087">
        <v>5646.12</v>
      </c>
    </row>
    <row r="9" spans="2:4" ht="14.25" thickBot="1">
      <c r="B9" s="3171"/>
      <c r="C9" s="3087" t="s">
        <v>3307</v>
      </c>
      <c r="D9" s="3087">
        <v>1834.54</v>
      </c>
    </row>
    <row r="10" spans="2:4" ht="14.25" thickBot="1">
      <c r="B10" s="3086" t="s">
        <v>32</v>
      </c>
      <c r="C10" s="3090"/>
      <c r="D10" s="3085">
        <v>69995.98</v>
      </c>
    </row>
    <row r="11" spans="2:4" ht="14.25" thickBot="1">
      <c r="B11" s="3169" t="s">
        <v>3308</v>
      </c>
      <c r="C11" s="3087" t="s">
        <v>3309</v>
      </c>
      <c r="D11" s="3087">
        <v>54238.82</v>
      </c>
    </row>
    <row r="12" spans="2:4" ht="14.25" thickBot="1">
      <c r="B12" s="3170"/>
      <c r="C12" s="3087" t="s">
        <v>3310</v>
      </c>
      <c r="D12" s="3087">
        <v>968.61</v>
      </c>
    </row>
    <row r="13" spans="2:4" ht="14.25" thickBot="1">
      <c r="B13" s="3170"/>
      <c r="C13" s="3087" t="s">
        <v>3311</v>
      </c>
      <c r="D13" s="3087">
        <v>657</v>
      </c>
    </row>
    <row r="14" spans="2:4" ht="14.25" thickBot="1">
      <c r="B14" s="3170"/>
      <c r="C14" s="3087" t="s">
        <v>3312</v>
      </c>
      <c r="D14" s="3087">
        <v>104</v>
      </c>
    </row>
    <row r="15" spans="2:4" ht="14.25" thickBot="1">
      <c r="B15" s="3172"/>
      <c r="C15" s="3087" t="s">
        <v>3313</v>
      </c>
      <c r="D15" s="3087">
        <v>6635.33</v>
      </c>
    </row>
    <row r="16" spans="2:4" ht="14.25" thickBot="1">
      <c r="B16" s="3166" t="s">
        <v>32</v>
      </c>
      <c r="C16" s="3167"/>
      <c r="D16" s="3085">
        <v>61842.76</v>
      </c>
    </row>
  </sheetData>
  <mergeCells count="6">
    <mergeCell ref="B16:C16"/>
    <mergeCell ref="B2:C2"/>
    <mergeCell ref="B3:C3"/>
    <mergeCell ref="B4:C4"/>
    <mergeCell ref="B5:B9"/>
    <mergeCell ref="B11:B15"/>
  </mergeCells>
  <phoneticPr fontId="1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048576"/>
  <sheetViews>
    <sheetView topLeftCell="A40" workbookViewId="0">
      <selection activeCell="I53" sqref="I53"/>
    </sheetView>
  </sheetViews>
  <sheetFormatPr defaultColWidth="9" defaultRowHeight="15.75"/>
  <cols>
    <col min="1" max="1" width="5.375" customWidth="1"/>
    <col min="2" max="2" width="22.875" style="3068" customWidth="1"/>
    <col min="3" max="3" width="8.875" style="3069" customWidth="1"/>
    <col min="4" max="4" width="5.875" style="3068" customWidth="1"/>
    <col min="5" max="5" width="7.375" style="3070" customWidth="1"/>
    <col min="6" max="6" width="13.875" style="3071" customWidth="1"/>
    <col min="7" max="7" width="18.25" style="3072" customWidth="1"/>
    <col min="8" max="8" width="13.875" style="3072" customWidth="1"/>
    <col min="9" max="9" width="16.125" style="3072" customWidth="1"/>
    <col min="10" max="10" width="13.75" style="3071" customWidth="1"/>
    <col min="11" max="11" width="15.375" style="3071" customWidth="1"/>
  </cols>
  <sheetData>
    <row r="1" spans="1:13" ht="24.95" customHeight="1">
      <c r="A1" s="3175" t="s">
        <v>3039</v>
      </c>
      <c r="B1" s="3176"/>
      <c r="C1" s="3176"/>
      <c r="D1" s="3176"/>
      <c r="E1" s="3176"/>
      <c r="F1" s="3176"/>
      <c r="G1" s="3176"/>
      <c r="H1" s="3176"/>
      <c r="I1" s="3176"/>
      <c r="J1" s="3176"/>
      <c r="K1" s="3176"/>
    </row>
    <row r="2" spans="1:13" ht="15.95" customHeight="1">
      <c r="A2" s="3177" t="s">
        <v>3040</v>
      </c>
      <c r="B2" s="3177" t="s">
        <v>3041</v>
      </c>
      <c r="C2" s="3179" t="s">
        <v>3042</v>
      </c>
      <c r="D2" s="3177" t="s">
        <v>3043</v>
      </c>
      <c r="E2" s="3181" t="s">
        <v>3044</v>
      </c>
      <c r="F2" s="3183" t="s">
        <v>3045</v>
      </c>
      <c r="G2" s="3173" t="s">
        <v>3046</v>
      </c>
      <c r="H2" s="3173" t="s">
        <v>3047</v>
      </c>
      <c r="I2" s="3173" t="s">
        <v>3048</v>
      </c>
      <c r="J2" s="3173" t="s">
        <v>3049</v>
      </c>
      <c r="K2" s="3173" t="s">
        <v>3050</v>
      </c>
    </row>
    <row r="3" spans="1:13" ht="13.5">
      <c r="A3" s="3178"/>
      <c r="B3" s="3178"/>
      <c r="C3" s="3180"/>
      <c r="D3" s="3178"/>
      <c r="E3" s="3182"/>
      <c r="F3" s="3184"/>
      <c r="G3" s="3174"/>
      <c r="H3" s="3174"/>
      <c r="I3" s="3174"/>
      <c r="J3" s="3174"/>
      <c r="K3" s="3174"/>
      <c r="L3" s="3074" t="s">
        <v>3056</v>
      </c>
      <c r="M3" s="3074" t="s">
        <v>3057</v>
      </c>
    </row>
    <row r="4" spans="1:13" ht="14.25">
      <c r="A4" s="3050">
        <v>1</v>
      </c>
      <c r="B4" s="3051" t="s">
        <v>3051</v>
      </c>
      <c r="C4" s="3052" t="s">
        <v>3052</v>
      </c>
      <c r="D4" s="3053">
        <v>2</v>
      </c>
      <c r="E4" s="3054">
        <v>103</v>
      </c>
      <c r="F4" s="3055">
        <v>217.56</v>
      </c>
      <c r="G4" s="3056" t="s">
        <v>3053</v>
      </c>
      <c r="H4" s="3056">
        <v>10154843</v>
      </c>
      <c r="I4" s="3056"/>
      <c r="J4" s="3056">
        <v>2420558</v>
      </c>
      <c r="K4" s="3056">
        <v>12575401</v>
      </c>
      <c r="L4">
        <f>H4/F4</f>
        <v>46676.057179628609</v>
      </c>
      <c r="M4">
        <f>K4/F4</f>
        <v>57801.990255561686</v>
      </c>
    </row>
    <row r="5" spans="1:13" ht="14.25">
      <c r="A5" s="3050">
        <v>2</v>
      </c>
      <c r="B5" s="3051" t="s">
        <v>3051</v>
      </c>
      <c r="C5" s="3052" t="s">
        <v>3052</v>
      </c>
      <c r="D5" s="3053">
        <v>5</v>
      </c>
      <c r="E5" s="3054">
        <v>101</v>
      </c>
      <c r="F5" s="3055">
        <v>214.32</v>
      </c>
      <c r="G5" s="3056" t="s">
        <v>3053</v>
      </c>
      <c r="H5" s="3056">
        <v>11053910</v>
      </c>
      <c r="I5" s="3056"/>
      <c r="J5" s="3056">
        <v>2000000</v>
      </c>
      <c r="K5" s="3057">
        <v>13053910</v>
      </c>
      <c r="L5">
        <f t="shared" ref="L5:L62" si="0">H5/F5</f>
        <v>51576.661067562527</v>
      </c>
      <c r="M5">
        <f t="shared" ref="M5:M62" si="1">K5/F5</f>
        <v>60908.501306457634</v>
      </c>
    </row>
    <row r="6" spans="1:13" ht="14.25">
      <c r="A6" s="3050">
        <v>3</v>
      </c>
      <c r="B6" s="3051" t="s">
        <v>3051</v>
      </c>
      <c r="C6" s="3052" t="s">
        <v>3052</v>
      </c>
      <c r="D6" s="3053">
        <v>12</v>
      </c>
      <c r="E6" s="3054">
        <v>104</v>
      </c>
      <c r="F6" s="3055">
        <v>212.73</v>
      </c>
      <c r="G6" s="3056" t="s">
        <v>3053</v>
      </c>
      <c r="H6" s="3056">
        <v>11359215</v>
      </c>
      <c r="I6" s="3056"/>
      <c r="J6" s="3056">
        <v>1861064</v>
      </c>
      <c r="K6" s="3057">
        <v>13220279</v>
      </c>
      <c r="L6">
        <f t="shared" si="0"/>
        <v>53397.334649555778</v>
      </c>
      <c r="M6">
        <f t="shared" si="1"/>
        <v>62145.813942556299</v>
      </c>
    </row>
    <row r="7" spans="1:13" ht="14.25">
      <c r="A7" s="3050">
        <v>4</v>
      </c>
      <c r="B7" s="3051" t="s">
        <v>3051</v>
      </c>
      <c r="C7" s="3052" t="s">
        <v>3054</v>
      </c>
      <c r="D7" s="3053">
        <v>17</v>
      </c>
      <c r="E7" s="3054">
        <v>101</v>
      </c>
      <c r="F7" s="3055">
        <v>562.6</v>
      </c>
      <c r="G7" s="3056" t="s">
        <v>3053</v>
      </c>
      <c r="H7" s="3056">
        <v>32848397</v>
      </c>
      <c r="I7" s="3056">
        <v>12000000</v>
      </c>
      <c r="J7" s="3056">
        <v>10150004</v>
      </c>
      <c r="K7" s="3056">
        <v>54998401</v>
      </c>
      <c r="L7">
        <f t="shared" si="0"/>
        <v>58386.770351937434</v>
      </c>
      <c r="M7">
        <f t="shared" si="1"/>
        <v>97757.55599004621</v>
      </c>
    </row>
    <row r="8" spans="1:13" ht="14.25">
      <c r="A8" s="3050">
        <v>5</v>
      </c>
      <c r="B8" s="3051" t="s">
        <v>3051</v>
      </c>
      <c r="C8" s="3052" t="s">
        <v>3054</v>
      </c>
      <c r="D8" s="3053">
        <v>17</v>
      </c>
      <c r="E8" s="3054">
        <v>102</v>
      </c>
      <c r="F8" s="3055">
        <v>562.6</v>
      </c>
      <c r="G8" s="3056" t="s">
        <v>3053</v>
      </c>
      <c r="H8" s="3056">
        <v>32848397</v>
      </c>
      <c r="I8" s="3056">
        <v>12000000</v>
      </c>
      <c r="J8" s="3056">
        <v>10096555</v>
      </c>
      <c r="K8" s="3056">
        <v>54944952</v>
      </c>
      <c r="L8">
        <f t="shared" si="0"/>
        <v>58386.770351937434</v>
      </c>
      <c r="M8">
        <f t="shared" si="1"/>
        <v>97662.552435122634</v>
      </c>
    </row>
    <row r="9" spans="1:13" ht="14.25">
      <c r="A9" s="3050">
        <v>6</v>
      </c>
      <c r="B9" s="3051" t="s">
        <v>3051</v>
      </c>
      <c r="C9" s="3052" t="s">
        <v>3054</v>
      </c>
      <c r="D9" s="3053">
        <v>18</v>
      </c>
      <c r="E9" s="3054">
        <v>101</v>
      </c>
      <c r="F9" s="3055">
        <v>562.6</v>
      </c>
      <c r="G9" s="3056" t="s">
        <v>3053</v>
      </c>
      <c r="H9" s="3056">
        <v>33793893</v>
      </c>
      <c r="I9" s="3056">
        <v>12000000</v>
      </c>
      <c r="J9" s="3056">
        <v>10286210</v>
      </c>
      <c r="K9" s="3056">
        <v>56080103</v>
      </c>
      <c r="L9">
        <f t="shared" si="0"/>
        <v>60067.353359402769</v>
      </c>
      <c r="M9">
        <f t="shared" si="1"/>
        <v>99680.23995734092</v>
      </c>
    </row>
    <row r="10" spans="1:13" ht="14.25">
      <c r="A10" s="3050">
        <v>7</v>
      </c>
      <c r="B10" s="3051" t="s">
        <v>3051</v>
      </c>
      <c r="C10" s="3052" t="s">
        <v>3054</v>
      </c>
      <c r="D10" s="3053">
        <v>18</v>
      </c>
      <c r="E10" s="3054">
        <v>102</v>
      </c>
      <c r="F10" s="3055">
        <v>562.6</v>
      </c>
      <c r="G10" s="3056" t="s">
        <v>3053</v>
      </c>
      <c r="H10" s="3056">
        <v>29066416</v>
      </c>
      <c r="I10" s="3056">
        <v>12000000</v>
      </c>
      <c r="J10" s="3056">
        <v>13864640</v>
      </c>
      <c r="K10" s="3056">
        <v>54931056</v>
      </c>
      <c r="L10">
        <f t="shared" si="0"/>
        <v>51664.443654461429</v>
      </c>
      <c r="M10">
        <f t="shared" si="1"/>
        <v>97637.852826164235</v>
      </c>
    </row>
    <row r="11" spans="1:13" ht="14.25">
      <c r="A11" s="3050">
        <v>8</v>
      </c>
      <c r="B11" s="3051" t="s">
        <v>3051</v>
      </c>
      <c r="C11" s="3052" t="s">
        <v>3054</v>
      </c>
      <c r="D11" s="3053">
        <v>19</v>
      </c>
      <c r="E11" s="3054">
        <v>101</v>
      </c>
      <c r="F11" s="3055">
        <v>555.30999999999995</v>
      </c>
      <c r="G11" s="3056" t="s">
        <v>3053</v>
      </c>
      <c r="H11" s="3056">
        <v>31689207</v>
      </c>
      <c r="I11" s="3056">
        <v>12000000</v>
      </c>
      <c r="J11" s="3056">
        <v>11528196</v>
      </c>
      <c r="K11" s="3056">
        <v>55217403</v>
      </c>
      <c r="L11">
        <f t="shared" si="0"/>
        <v>57065.795681691314</v>
      </c>
      <c r="M11">
        <f t="shared" si="1"/>
        <v>99435.275791900029</v>
      </c>
    </row>
    <row r="12" spans="1:13" ht="14.25">
      <c r="A12" s="3050">
        <v>9</v>
      </c>
      <c r="B12" s="3051" t="s">
        <v>3051</v>
      </c>
      <c r="C12" s="3052" t="s">
        <v>3054</v>
      </c>
      <c r="D12" s="3053">
        <v>19</v>
      </c>
      <c r="E12" s="3054">
        <v>102</v>
      </c>
      <c r="F12" s="3055">
        <v>555.30999999999995</v>
      </c>
      <c r="G12" s="3056" t="s">
        <v>3053</v>
      </c>
      <c r="H12" s="3056">
        <v>29356097</v>
      </c>
      <c r="I12" s="3056">
        <v>12000000</v>
      </c>
      <c r="J12" s="3056">
        <v>11897103</v>
      </c>
      <c r="K12" s="3056">
        <v>53253200</v>
      </c>
      <c r="L12">
        <f t="shared" si="0"/>
        <v>52864.340638562251</v>
      </c>
      <c r="M12">
        <f t="shared" si="1"/>
        <v>95898.146980965597</v>
      </c>
    </row>
    <row r="13" spans="1:13" ht="14.25">
      <c r="A13" s="3050">
        <v>10</v>
      </c>
      <c r="B13" s="3051" t="s">
        <v>3051</v>
      </c>
      <c r="C13" s="3052" t="s">
        <v>3054</v>
      </c>
      <c r="D13" s="3053">
        <v>20</v>
      </c>
      <c r="E13" s="3054">
        <v>101</v>
      </c>
      <c r="F13" s="3055">
        <v>562.6</v>
      </c>
      <c r="G13" s="3056" t="s">
        <v>3053</v>
      </c>
      <c r="H13" s="3056">
        <v>32375650</v>
      </c>
      <c r="I13" s="3056">
        <v>9000000</v>
      </c>
      <c r="J13" s="3056">
        <v>3282824</v>
      </c>
      <c r="K13" s="3056">
        <v>44658474</v>
      </c>
      <c r="L13">
        <f t="shared" si="0"/>
        <v>57546.480625666547</v>
      </c>
      <c r="M13">
        <f t="shared" si="1"/>
        <v>79378.730892285806</v>
      </c>
    </row>
    <row r="14" spans="1:13" ht="14.25">
      <c r="A14" s="3050">
        <v>11</v>
      </c>
      <c r="B14" s="3051" t="s">
        <v>3051</v>
      </c>
      <c r="C14" s="3052" t="s">
        <v>3054</v>
      </c>
      <c r="D14" s="3053">
        <v>20</v>
      </c>
      <c r="E14" s="3054">
        <v>102</v>
      </c>
      <c r="F14" s="3055">
        <v>562.6</v>
      </c>
      <c r="G14" s="3056" t="s">
        <v>3053</v>
      </c>
      <c r="H14" s="3056">
        <v>30011911</v>
      </c>
      <c r="I14" s="3056">
        <v>9000000</v>
      </c>
      <c r="J14" s="3056">
        <v>3147812</v>
      </c>
      <c r="K14" s="3056">
        <v>42159723</v>
      </c>
      <c r="L14">
        <f t="shared" si="0"/>
        <v>53345.024884464983</v>
      </c>
      <c r="M14">
        <f t="shared" si="1"/>
        <v>74937.296480625664</v>
      </c>
    </row>
    <row r="15" spans="1:13" ht="14.25">
      <c r="A15" s="3050">
        <v>12</v>
      </c>
      <c r="B15" s="3051" t="s">
        <v>3051</v>
      </c>
      <c r="C15" s="3052" t="s">
        <v>3054</v>
      </c>
      <c r="D15" s="3053">
        <v>21</v>
      </c>
      <c r="E15" s="3054">
        <v>101</v>
      </c>
      <c r="F15" s="3055">
        <v>555.30999999999995</v>
      </c>
      <c r="G15" s="3056" t="s">
        <v>3053</v>
      </c>
      <c r="H15" s="3056">
        <v>30289341</v>
      </c>
      <c r="I15" s="3056">
        <v>9000000</v>
      </c>
      <c r="J15" s="3056">
        <v>4119267</v>
      </c>
      <c r="K15" s="3056">
        <v>43408608</v>
      </c>
      <c r="L15">
        <f t="shared" si="0"/>
        <v>54544.922655813876</v>
      </c>
      <c r="M15">
        <f t="shared" si="1"/>
        <v>78170.045560137587</v>
      </c>
    </row>
    <row r="16" spans="1:13" ht="14.25">
      <c r="A16" s="3050">
        <v>13</v>
      </c>
      <c r="B16" s="3051" t="s">
        <v>3051</v>
      </c>
      <c r="C16" s="3052" t="s">
        <v>3052</v>
      </c>
      <c r="D16" s="3053">
        <v>26</v>
      </c>
      <c r="E16" s="3054">
        <v>103</v>
      </c>
      <c r="F16" s="3055">
        <v>216.15</v>
      </c>
      <c r="G16" s="3056" t="s">
        <v>3053</v>
      </c>
      <c r="H16" s="3056">
        <v>9451935</v>
      </c>
      <c r="I16" s="3056"/>
      <c r="J16" s="3056">
        <v>2213006</v>
      </c>
      <c r="K16" s="3056">
        <v>11664941</v>
      </c>
      <c r="L16">
        <f t="shared" si="0"/>
        <v>43728.59125607217</v>
      </c>
      <c r="M16">
        <f t="shared" si="1"/>
        <v>53966.879481841315</v>
      </c>
    </row>
    <row r="17" spans="1:13" ht="14.25">
      <c r="A17" s="3050">
        <v>14</v>
      </c>
      <c r="B17" s="3051" t="s">
        <v>3051</v>
      </c>
      <c r="C17" s="3052" t="s">
        <v>3052</v>
      </c>
      <c r="D17" s="3053">
        <v>27</v>
      </c>
      <c r="E17" s="3054">
        <v>102</v>
      </c>
      <c r="F17" s="3055">
        <v>217.56</v>
      </c>
      <c r="G17" s="3056" t="s">
        <v>3053</v>
      </c>
      <c r="H17" s="3056">
        <v>8194279</v>
      </c>
      <c r="I17" s="3056"/>
      <c r="J17" s="3056">
        <v>352444</v>
      </c>
      <c r="K17" s="3056">
        <v>8546723</v>
      </c>
      <c r="L17">
        <f t="shared" si="0"/>
        <v>37664.455782312922</v>
      </c>
      <c r="M17">
        <f t="shared" si="1"/>
        <v>39284.44107372679</v>
      </c>
    </row>
    <row r="18" spans="1:13" ht="14.25">
      <c r="A18" s="3050">
        <v>15</v>
      </c>
      <c r="B18" s="3051" t="s">
        <v>3051</v>
      </c>
      <c r="C18" s="3052" t="s">
        <v>3052</v>
      </c>
      <c r="D18" s="3053">
        <v>27</v>
      </c>
      <c r="E18" s="3054">
        <v>103</v>
      </c>
      <c r="F18" s="3055">
        <v>217.56</v>
      </c>
      <c r="G18" s="3056" t="s">
        <v>3053</v>
      </c>
      <c r="H18" s="3056">
        <v>8161847</v>
      </c>
      <c r="I18" s="3056"/>
      <c r="J18" s="3056">
        <v>351050</v>
      </c>
      <c r="K18" s="3056">
        <v>8512897</v>
      </c>
      <c r="L18">
        <f t="shared" si="0"/>
        <v>37515.384261812833</v>
      </c>
      <c r="M18">
        <f t="shared" si="1"/>
        <v>39128.962125390695</v>
      </c>
    </row>
    <row r="19" spans="1:13" ht="14.25">
      <c r="A19" s="3050">
        <v>16</v>
      </c>
      <c r="B19" s="3051" t="s">
        <v>3051</v>
      </c>
      <c r="C19" s="3052" t="s">
        <v>3052</v>
      </c>
      <c r="D19" s="3053">
        <v>28</v>
      </c>
      <c r="E19" s="3054">
        <v>101</v>
      </c>
      <c r="F19" s="3055">
        <v>214.33</v>
      </c>
      <c r="G19" s="3056" t="s">
        <v>3053</v>
      </c>
      <c r="H19" s="3056">
        <v>12078571</v>
      </c>
      <c r="I19" s="3056"/>
      <c r="J19" s="3056">
        <v>2585669</v>
      </c>
      <c r="K19" s="3056">
        <v>14664240</v>
      </c>
      <c r="L19">
        <f t="shared" si="0"/>
        <v>56355.01796295432</v>
      </c>
      <c r="M19">
        <f t="shared" si="1"/>
        <v>68418.980077450658</v>
      </c>
    </row>
    <row r="20" spans="1:13" ht="14.25">
      <c r="A20" s="3050">
        <v>17</v>
      </c>
      <c r="B20" s="3051" t="s">
        <v>3051</v>
      </c>
      <c r="C20" s="3052" t="s">
        <v>3052</v>
      </c>
      <c r="D20" s="3053">
        <v>28</v>
      </c>
      <c r="E20" s="3054">
        <v>102</v>
      </c>
      <c r="F20" s="3055">
        <v>218.18</v>
      </c>
      <c r="G20" s="3056" t="s">
        <v>3053</v>
      </c>
      <c r="H20" s="3056">
        <v>9937484</v>
      </c>
      <c r="I20" s="3056"/>
      <c r="J20" s="3056">
        <v>3535161</v>
      </c>
      <c r="K20" s="3056">
        <v>13472645</v>
      </c>
      <c r="L20">
        <f t="shared" si="0"/>
        <v>45547.18122651022</v>
      </c>
      <c r="M20">
        <f t="shared" si="1"/>
        <v>61750.137501145844</v>
      </c>
    </row>
    <row r="21" spans="1:13" ht="14.25">
      <c r="A21" s="3050">
        <v>18</v>
      </c>
      <c r="B21" s="3051" t="s">
        <v>3051</v>
      </c>
      <c r="C21" s="3052" t="s">
        <v>3052</v>
      </c>
      <c r="D21" s="3053">
        <v>28</v>
      </c>
      <c r="E21" s="3054">
        <v>103</v>
      </c>
      <c r="F21" s="3055">
        <v>218.18</v>
      </c>
      <c r="G21" s="3056" t="s">
        <v>3053</v>
      </c>
      <c r="H21" s="3056">
        <v>9937484</v>
      </c>
      <c r="I21" s="3056"/>
      <c r="J21" s="3056">
        <v>3475473</v>
      </c>
      <c r="K21" s="3056">
        <v>13412957</v>
      </c>
      <c r="L21">
        <f t="shared" si="0"/>
        <v>45547.18122651022</v>
      </c>
      <c r="M21">
        <f t="shared" si="1"/>
        <v>61476.565221376841</v>
      </c>
    </row>
    <row r="22" spans="1:13" ht="14.25">
      <c r="A22" s="3050">
        <v>19</v>
      </c>
      <c r="B22" s="3051" t="s">
        <v>3051</v>
      </c>
      <c r="C22" s="3052" t="s">
        <v>3052</v>
      </c>
      <c r="D22" s="3053">
        <v>28</v>
      </c>
      <c r="E22" s="3054">
        <v>104</v>
      </c>
      <c r="F22" s="3055">
        <v>214.33</v>
      </c>
      <c r="G22" s="3056" t="s">
        <v>3053</v>
      </c>
      <c r="H22" s="3056">
        <v>11054519</v>
      </c>
      <c r="I22" s="3056"/>
      <c r="J22" s="3056">
        <v>3104412</v>
      </c>
      <c r="K22" s="3056">
        <v>14158931</v>
      </c>
      <c r="L22">
        <f t="shared" si="0"/>
        <v>51577.096066812854</v>
      </c>
      <c r="M22">
        <f t="shared" si="1"/>
        <v>66061.358652545139</v>
      </c>
    </row>
    <row r="23" spans="1:13" ht="14.25">
      <c r="A23" s="3050">
        <v>20</v>
      </c>
      <c r="B23" s="3051" t="s">
        <v>3051</v>
      </c>
      <c r="C23" s="3052" t="s">
        <v>3052</v>
      </c>
      <c r="D23" s="3053">
        <v>29</v>
      </c>
      <c r="E23" s="3054">
        <v>104</v>
      </c>
      <c r="F23" s="3055">
        <v>214.33</v>
      </c>
      <c r="G23" s="3056" t="s">
        <v>3053</v>
      </c>
      <c r="H23" s="3056">
        <v>11459694</v>
      </c>
      <c r="I23" s="3056"/>
      <c r="J23" s="3056">
        <v>2263810</v>
      </c>
      <c r="K23" s="3056">
        <v>13723504</v>
      </c>
      <c r="L23">
        <f t="shared" si="0"/>
        <v>53467.52204544394</v>
      </c>
      <c r="M23">
        <f t="shared" si="1"/>
        <v>64029.785844258848</v>
      </c>
    </row>
    <row r="24" spans="1:13" ht="14.25">
      <c r="A24" s="3050">
        <v>21</v>
      </c>
      <c r="B24" s="3051" t="s">
        <v>3051</v>
      </c>
      <c r="C24" s="3052" t="s">
        <v>3052</v>
      </c>
      <c r="D24" s="3053">
        <v>30</v>
      </c>
      <c r="E24" s="3054">
        <v>101</v>
      </c>
      <c r="F24" s="3055">
        <v>214.33</v>
      </c>
      <c r="G24" s="3056" t="s">
        <v>3053</v>
      </c>
      <c r="H24" s="3056">
        <v>12078571</v>
      </c>
      <c r="I24" s="3056"/>
      <c r="J24" s="3056">
        <v>2698298</v>
      </c>
      <c r="K24" s="3056">
        <v>14776869</v>
      </c>
      <c r="L24">
        <f t="shared" si="0"/>
        <v>56355.01796295432</v>
      </c>
      <c r="M24">
        <f t="shared" si="1"/>
        <v>68944.473475481733</v>
      </c>
    </row>
    <row r="25" spans="1:13" ht="14.25">
      <c r="A25" s="3050">
        <v>22</v>
      </c>
      <c r="B25" s="3051" t="s">
        <v>3051</v>
      </c>
      <c r="C25" s="3052" t="s">
        <v>3052</v>
      </c>
      <c r="D25" s="3053">
        <v>30</v>
      </c>
      <c r="E25" s="3054">
        <v>102</v>
      </c>
      <c r="F25" s="3055">
        <v>218.18</v>
      </c>
      <c r="G25" s="3056" t="s">
        <v>3053</v>
      </c>
      <c r="H25" s="3056">
        <v>9937484</v>
      </c>
      <c r="I25" s="3056"/>
      <c r="J25" s="3056">
        <v>3266567</v>
      </c>
      <c r="K25" s="3056">
        <v>13204051</v>
      </c>
      <c r="L25">
        <f t="shared" si="0"/>
        <v>45547.18122651022</v>
      </c>
      <c r="M25">
        <f t="shared" si="1"/>
        <v>60519.071408928408</v>
      </c>
    </row>
    <row r="26" spans="1:13" ht="14.25">
      <c r="A26" s="3050">
        <v>23</v>
      </c>
      <c r="B26" s="3051" t="s">
        <v>3051</v>
      </c>
      <c r="C26" s="3052" t="s">
        <v>3052</v>
      </c>
      <c r="D26" s="3053">
        <v>30</v>
      </c>
      <c r="E26" s="3054">
        <v>103</v>
      </c>
      <c r="F26" s="3055">
        <v>218.18</v>
      </c>
      <c r="G26" s="3056" t="s">
        <v>3053</v>
      </c>
      <c r="H26" s="3056">
        <v>9937484</v>
      </c>
      <c r="I26" s="3056"/>
      <c r="J26" s="3056">
        <v>3200911</v>
      </c>
      <c r="K26" s="3056">
        <v>13138395</v>
      </c>
      <c r="L26">
        <f t="shared" si="0"/>
        <v>45547.18122651022</v>
      </c>
      <c r="M26">
        <f t="shared" si="1"/>
        <v>60218.145567879728</v>
      </c>
    </row>
    <row r="27" spans="1:13" ht="14.25">
      <c r="A27" s="3050">
        <v>24</v>
      </c>
      <c r="B27" s="3051" t="s">
        <v>3051</v>
      </c>
      <c r="C27" s="3052" t="s">
        <v>3052</v>
      </c>
      <c r="D27" s="3053">
        <v>30</v>
      </c>
      <c r="E27" s="3054">
        <v>104</v>
      </c>
      <c r="F27" s="3055">
        <v>214.33</v>
      </c>
      <c r="G27" s="3056" t="s">
        <v>3053</v>
      </c>
      <c r="H27" s="3056">
        <v>11459694</v>
      </c>
      <c r="I27" s="3056"/>
      <c r="J27" s="3056">
        <v>2398407</v>
      </c>
      <c r="K27" s="3056">
        <v>13858101</v>
      </c>
      <c r="L27">
        <f t="shared" si="0"/>
        <v>53467.52204544394</v>
      </c>
      <c r="M27">
        <f t="shared" si="1"/>
        <v>64657.775393085423</v>
      </c>
    </row>
    <row r="28" spans="1:13" ht="14.25">
      <c r="A28" s="3050">
        <v>25</v>
      </c>
      <c r="B28" s="3051" t="s">
        <v>3051</v>
      </c>
      <c r="C28" s="3052" t="s">
        <v>3052</v>
      </c>
      <c r="D28" s="3053">
        <v>31</v>
      </c>
      <c r="E28" s="3054">
        <v>103</v>
      </c>
      <c r="F28" s="3055">
        <v>218.18</v>
      </c>
      <c r="G28" s="3056" t="s">
        <v>3053</v>
      </c>
      <c r="H28" s="3056">
        <v>9937484</v>
      </c>
      <c r="I28" s="3056"/>
      <c r="J28" s="3056">
        <v>3260598</v>
      </c>
      <c r="K28" s="3056">
        <v>13198082</v>
      </c>
      <c r="L28">
        <f t="shared" si="0"/>
        <v>45547.18122651022</v>
      </c>
      <c r="M28">
        <f t="shared" si="1"/>
        <v>60491.713264277198</v>
      </c>
    </row>
    <row r="29" spans="1:13" ht="14.25">
      <c r="A29" s="3050">
        <v>26</v>
      </c>
      <c r="B29" s="3051" t="s">
        <v>3051</v>
      </c>
      <c r="C29" s="3052" t="s">
        <v>3052</v>
      </c>
      <c r="D29" s="3053">
        <v>32</v>
      </c>
      <c r="E29" s="3054">
        <v>102</v>
      </c>
      <c r="F29" s="3055">
        <v>217.56</v>
      </c>
      <c r="G29" s="3056" t="s">
        <v>3053</v>
      </c>
      <c r="H29" s="3056">
        <v>9777921</v>
      </c>
      <c r="I29" s="3056"/>
      <c r="J29" s="3056">
        <v>3385083</v>
      </c>
      <c r="K29" s="3056">
        <v>13163004</v>
      </c>
      <c r="L29">
        <f t="shared" si="0"/>
        <v>44943.560397131827</v>
      </c>
      <c r="M29">
        <f t="shared" si="1"/>
        <v>60502.868174296746</v>
      </c>
    </row>
    <row r="30" spans="1:13" ht="14.25">
      <c r="A30" s="3050">
        <v>27</v>
      </c>
      <c r="B30" s="3051" t="s">
        <v>3051</v>
      </c>
      <c r="C30" s="3052" t="s">
        <v>3052</v>
      </c>
      <c r="D30" s="3053">
        <v>32</v>
      </c>
      <c r="E30" s="3054">
        <v>103</v>
      </c>
      <c r="F30" s="3055">
        <v>217.56</v>
      </c>
      <c r="G30" s="3056" t="s">
        <v>3053</v>
      </c>
      <c r="H30" s="3056">
        <v>9777921</v>
      </c>
      <c r="I30" s="3056"/>
      <c r="J30" s="3056">
        <v>3396861</v>
      </c>
      <c r="K30" s="3056">
        <v>13174782</v>
      </c>
      <c r="L30">
        <f t="shared" si="0"/>
        <v>44943.560397131827</v>
      </c>
      <c r="M30">
        <f t="shared" si="1"/>
        <v>60557.004964147818</v>
      </c>
    </row>
    <row r="31" spans="1:13" ht="14.25">
      <c r="A31" s="3050">
        <v>28</v>
      </c>
      <c r="B31" s="3051" t="s">
        <v>3051</v>
      </c>
      <c r="C31" s="3051" t="s">
        <v>3055</v>
      </c>
      <c r="D31" s="3053">
        <v>36</v>
      </c>
      <c r="E31" s="3054">
        <v>102</v>
      </c>
      <c r="F31" s="3055">
        <v>167.57</v>
      </c>
      <c r="G31" s="3056" t="s">
        <v>3053</v>
      </c>
      <c r="H31" s="3056">
        <v>5377163</v>
      </c>
      <c r="I31" s="3056"/>
      <c r="J31" s="3056">
        <v>426535</v>
      </c>
      <c r="K31" s="3056">
        <v>5803698</v>
      </c>
      <c r="L31">
        <f t="shared" si="0"/>
        <v>32089.055320164709</v>
      </c>
      <c r="M31">
        <f t="shared" si="1"/>
        <v>34634.469177060331</v>
      </c>
    </row>
    <row r="32" spans="1:13" ht="14.25">
      <c r="A32" s="3050">
        <v>29</v>
      </c>
      <c r="B32" s="3051" t="s">
        <v>3051</v>
      </c>
      <c r="C32" s="3051" t="s">
        <v>3055</v>
      </c>
      <c r="D32" s="3053">
        <v>36</v>
      </c>
      <c r="E32" s="3054">
        <v>103</v>
      </c>
      <c r="F32" s="3055">
        <v>164.38</v>
      </c>
      <c r="G32" s="3056" t="s">
        <v>3053</v>
      </c>
      <c r="H32" s="3056">
        <v>5265280</v>
      </c>
      <c r="I32" s="3056"/>
      <c r="J32" s="3056">
        <v>427934</v>
      </c>
      <c r="K32" s="3056">
        <v>5693214</v>
      </c>
      <c r="L32">
        <f t="shared" si="0"/>
        <v>32031.147341525735</v>
      </c>
      <c r="M32">
        <f t="shared" si="1"/>
        <v>34634.468913493125</v>
      </c>
    </row>
    <row r="33" spans="1:13" ht="14.25">
      <c r="A33" s="3050">
        <v>30</v>
      </c>
      <c r="B33" s="3051" t="s">
        <v>3051</v>
      </c>
      <c r="C33" s="3051" t="s">
        <v>3055</v>
      </c>
      <c r="D33" s="3053">
        <v>36</v>
      </c>
      <c r="E33" s="3054">
        <v>104</v>
      </c>
      <c r="F33" s="3055">
        <v>163.97</v>
      </c>
      <c r="G33" s="3056" t="s">
        <v>3053</v>
      </c>
      <c r="H33" s="3056">
        <v>5250900</v>
      </c>
      <c r="I33" s="3056"/>
      <c r="J33" s="3056">
        <v>370605</v>
      </c>
      <c r="K33" s="3056">
        <v>5621505</v>
      </c>
      <c r="L33">
        <f t="shared" si="0"/>
        <v>32023.540891626519</v>
      </c>
      <c r="M33">
        <f t="shared" si="1"/>
        <v>34283.740928218576</v>
      </c>
    </row>
    <row r="34" spans="1:13" ht="14.25">
      <c r="A34" s="3050">
        <v>31</v>
      </c>
      <c r="B34" s="3051" t="s">
        <v>3051</v>
      </c>
      <c r="C34" s="3051" t="s">
        <v>3055</v>
      </c>
      <c r="D34" s="3053">
        <v>36</v>
      </c>
      <c r="E34" s="3054">
        <v>105</v>
      </c>
      <c r="F34" s="3055">
        <v>164.38</v>
      </c>
      <c r="G34" s="3056" t="s">
        <v>3053</v>
      </c>
      <c r="H34" s="3056">
        <v>5265280</v>
      </c>
      <c r="I34" s="3056"/>
      <c r="J34" s="3056">
        <v>427934</v>
      </c>
      <c r="K34" s="3056">
        <v>5693214</v>
      </c>
      <c r="L34">
        <f t="shared" si="0"/>
        <v>32031.147341525735</v>
      </c>
      <c r="M34">
        <f t="shared" si="1"/>
        <v>34634.468913493125</v>
      </c>
    </row>
    <row r="35" spans="1:13" ht="14.25">
      <c r="A35" s="3050">
        <v>32</v>
      </c>
      <c r="B35" s="3051" t="s">
        <v>3051</v>
      </c>
      <c r="C35" s="3051" t="s">
        <v>3055</v>
      </c>
      <c r="D35" s="3053">
        <v>36</v>
      </c>
      <c r="E35" s="3054">
        <v>106</v>
      </c>
      <c r="F35" s="3055">
        <v>163.97</v>
      </c>
      <c r="G35" s="3056" t="s">
        <v>3053</v>
      </c>
      <c r="H35" s="3056">
        <v>5250900</v>
      </c>
      <c r="I35" s="3056"/>
      <c r="J35" s="3056">
        <v>428114</v>
      </c>
      <c r="K35" s="3056">
        <v>5679014</v>
      </c>
      <c r="L35">
        <f t="shared" si="0"/>
        <v>32023.540891626519</v>
      </c>
      <c r="M35">
        <f t="shared" si="1"/>
        <v>34634.469720070745</v>
      </c>
    </row>
    <row r="36" spans="1:13" ht="14.25">
      <c r="A36" s="3050">
        <v>33</v>
      </c>
      <c r="B36" s="3051" t="s">
        <v>3051</v>
      </c>
      <c r="C36" s="3051" t="s">
        <v>3055</v>
      </c>
      <c r="D36" s="3053">
        <v>36</v>
      </c>
      <c r="E36" s="3054">
        <v>302</v>
      </c>
      <c r="F36" s="3055">
        <v>167.57</v>
      </c>
      <c r="G36" s="3056" t="s">
        <v>3053</v>
      </c>
      <c r="H36" s="3056">
        <v>5100069</v>
      </c>
      <c r="I36" s="3056"/>
      <c r="J36" s="3056">
        <v>429999</v>
      </c>
      <c r="K36" s="3056">
        <v>5530068</v>
      </c>
      <c r="L36">
        <f t="shared" si="0"/>
        <v>30435.453840186194</v>
      </c>
      <c r="M36">
        <f t="shared" si="1"/>
        <v>33001.539655069522</v>
      </c>
    </row>
    <row r="37" spans="1:13" ht="14.25">
      <c r="A37" s="3050">
        <v>34</v>
      </c>
      <c r="B37" s="3051" t="s">
        <v>3051</v>
      </c>
      <c r="C37" s="3051" t="s">
        <v>3055</v>
      </c>
      <c r="D37" s="3053">
        <v>36</v>
      </c>
      <c r="E37" s="3054">
        <v>303</v>
      </c>
      <c r="F37" s="3055">
        <v>164.38</v>
      </c>
      <c r="G37" s="3056" t="s">
        <v>3053</v>
      </c>
      <c r="H37" s="3056">
        <v>4993461</v>
      </c>
      <c r="I37" s="3056"/>
      <c r="J37" s="3056">
        <v>431332</v>
      </c>
      <c r="K37" s="3056">
        <v>5424793</v>
      </c>
      <c r="L37">
        <f t="shared" si="0"/>
        <v>30377.545930161821</v>
      </c>
      <c r="M37">
        <f t="shared" si="1"/>
        <v>33001.539116680862</v>
      </c>
    </row>
    <row r="38" spans="1:13" ht="14.25">
      <c r="A38" s="3050">
        <v>35</v>
      </c>
      <c r="B38" s="3051" t="s">
        <v>3051</v>
      </c>
      <c r="C38" s="3051" t="s">
        <v>3055</v>
      </c>
      <c r="D38" s="3053">
        <v>36</v>
      </c>
      <c r="E38" s="3054">
        <v>304</v>
      </c>
      <c r="F38" s="3055">
        <v>163.97</v>
      </c>
      <c r="G38" s="3056" t="s">
        <v>3053</v>
      </c>
      <c r="H38" s="3056">
        <v>4979759</v>
      </c>
      <c r="I38" s="3056"/>
      <c r="J38" s="3056">
        <v>376706</v>
      </c>
      <c r="K38" s="3056">
        <v>5356465</v>
      </c>
      <c r="L38">
        <f t="shared" si="0"/>
        <v>30369.939623101785</v>
      </c>
      <c r="M38">
        <f t="shared" si="1"/>
        <v>32667.347685552235</v>
      </c>
    </row>
    <row r="39" spans="1:13" ht="14.25">
      <c r="A39" s="3050">
        <v>36</v>
      </c>
      <c r="B39" s="3051" t="s">
        <v>3051</v>
      </c>
      <c r="C39" s="3051" t="s">
        <v>3055</v>
      </c>
      <c r="D39" s="3053">
        <v>36</v>
      </c>
      <c r="E39" s="3054">
        <v>305</v>
      </c>
      <c r="F39" s="3055">
        <v>164.38</v>
      </c>
      <c r="G39" s="3056" t="s">
        <v>3053</v>
      </c>
      <c r="H39" s="3056">
        <v>4993461</v>
      </c>
      <c r="I39" s="3056"/>
      <c r="J39" s="3056">
        <v>431332</v>
      </c>
      <c r="K39" s="3056">
        <v>5424793</v>
      </c>
      <c r="L39">
        <f t="shared" si="0"/>
        <v>30377.545930161821</v>
      </c>
      <c r="M39">
        <f t="shared" si="1"/>
        <v>33001.539116680862</v>
      </c>
    </row>
    <row r="40" spans="1:13" ht="14.25">
      <c r="A40" s="3050">
        <v>37</v>
      </c>
      <c r="B40" s="3051" t="s">
        <v>3051</v>
      </c>
      <c r="C40" s="3051" t="s">
        <v>3055</v>
      </c>
      <c r="D40" s="3053">
        <v>36</v>
      </c>
      <c r="E40" s="3054">
        <v>306</v>
      </c>
      <c r="F40" s="3055">
        <v>163.97</v>
      </c>
      <c r="G40" s="3056" t="s">
        <v>3053</v>
      </c>
      <c r="H40" s="3056">
        <v>4979759</v>
      </c>
      <c r="I40" s="3056"/>
      <c r="J40" s="3056">
        <v>431503</v>
      </c>
      <c r="K40" s="3056">
        <v>5411262</v>
      </c>
      <c r="L40">
        <f t="shared" si="0"/>
        <v>30369.939623101785</v>
      </c>
      <c r="M40">
        <f t="shared" si="1"/>
        <v>33001.53686649997</v>
      </c>
    </row>
    <row r="41" spans="1:13" ht="14.25">
      <c r="A41" s="3050">
        <v>38</v>
      </c>
      <c r="B41" s="3051" t="s">
        <v>3051</v>
      </c>
      <c r="C41" s="3052" t="s">
        <v>3054</v>
      </c>
      <c r="D41" s="3053">
        <v>14</v>
      </c>
      <c r="E41" s="3054">
        <v>101</v>
      </c>
      <c r="F41" s="3058">
        <v>555.30999999999995</v>
      </c>
      <c r="G41" s="3056" t="s">
        <v>3053</v>
      </c>
      <c r="H41" s="3056">
        <v>28541415</v>
      </c>
      <c r="I41" s="3056">
        <v>9000000</v>
      </c>
      <c r="J41" s="3056">
        <v>6587576</v>
      </c>
      <c r="K41" s="3056">
        <v>44128991</v>
      </c>
      <c r="L41">
        <f t="shared" si="0"/>
        <v>51397.264590949206</v>
      </c>
      <c r="M41">
        <f t="shared" si="1"/>
        <v>79467.308350290841</v>
      </c>
    </row>
    <row r="42" spans="1:13" ht="14.25">
      <c r="A42" s="3050">
        <v>39</v>
      </c>
      <c r="B42" s="3051" t="s">
        <v>3051</v>
      </c>
      <c r="C42" s="3052" t="s">
        <v>3054</v>
      </c>
      <c r="D42" s="3053">
        <v>14</v>
      </c>
      <c r="E42" s="3054">
        <v>102</v>
      </c>
      <c r="F42" s="3058">
        <v>555.30999999999995</v>
      </c>
      <c r="G42" s="3056" t="s">
        <v>3053</v>
      </c>
      <c r="H42" s="3056">
        <v>27141549</v>
      </c>
      <c r="I42" s="3056">
        <v>9000000</v>
      </c>
      <c r="J42" s="3056">
        <v>6252946</v>
      </c>
      <c r="K42" s="3056">
        <v>42394495</v>
      </c>
      <c r="L42">
        <f t="shared" si="0"/>
        <v>48876.391565071768</v>
      </c>
      <c r="M42">
        <f t="shared" si="1"/>
        <v>76343.834975058984</v>
      </c>
    </row>
    <row r="43" spans="1:13" ht="14.25">
      <c r="A43" s="3050">
        <v>40</v>
      </c>
      <c r="B43" s="3051" t="s">
        <v>3051</v>
      </c>
      <c r="C43" s="3052" t="s">
        <v>3054</v>
      </c>
      <c r="D43" s="3053">
        <v>15</v>
      </c>
      <c r="E43" s="3054">
        <v>101</v>
      </c>
      <c r="F43" s="3058">
        <v>562.6</v>
      </c>
      <c r="G43" s="3056" t="s">
        <v>3053</v>
      </c>
      <c r="H43" s="3056">
        <v>33894077</v>
      </c>
      <c r="I43" s="3056">
        <v>9000000</v>
      </c>
      <c r="J43" s="3056">
        <v>2499490</v>
      </c>
      <c r="K43" s="3056">
        <v>45393567</v>
      </c>
      <c r="L43">
        <f t="shared" si="0"/>
        <v>60245.426590828298</v>
      </c>
      <c r="M43">
        <f t="shared" si="1"/>
        <v>80685.330607891927</v>
      </c>
    </row>
    <row r="44" spans="1:13" ht="14.25">
      <c r="A44" s="3050">
        <v>41</v>
      </c>
      <c r="B44" s="3051" t="s">
        <v>3051</v>
      </c>
      <c r="C44" s="3052" t="s">
        <v>3054</v>
      </c>
      <c r="D44" s="3053">
        <v>15</v>
      </c>
      <c r="E44" s="3054">
        <v>102</v>
      </c>
      <c r="F44" s="3058">
        <v>562.6</v>
      </c>
      <c r="G44" s="3056" t="s">
        <v>3053</v>
      </c>
      <c r="H44" s="3056">
        <v>31530338</v>
      </c>
      <c r="I44" s="3056">
        <v>9000000</v>
      </c>
      <c r="J44" s="3056">
        <v>3936841</v>
      </c>
      <c r="K44" s="3056">
        <v>44467180</v>
      </c>
      <c r="L44">
        <f t="shared" si="0"/>
        <v>56043.970849626734</v>
      </c>
      <c r="M44">
        <f t="shared" si="1"/>
        <v>79038.713117667969</v>
      </c>
    </row>
    <row r="45" spans="1:13" ht="14.25">
      <c r="A45" s="3050">
        <v>42</v>
      </c>
      <c r="B45" s="3051" t="s">
        <v>3051</v>
      </c>
      <c r="C45" s="3052" t="s">
        <v>3054</v>
      </c>
      <c r="D45" s="3053">
        <v>16</v>
      </c>
      <c r="E45" s="3054">
        <v>101</v>
      </c>
      <c r="F45" s="3058">
        <v>555.30999999999995</v>
      </c>
      <c r="G45" s="3056" t="s">
        <v>3053</v>
      </c>
      <c r="H45" s="3056">
        <v>33207634</v>
      </c>
      <c r="I45" s="3056">
        <v>12000000</v>
      </c>
      <c r="J45" s="3056">
        <v>9729961</v>
      </c>
      <c r="K45" s="3056">
        <v>54937595</v>
      </c>
      <c r="L45">
        <f t="shared" si="0"/>
        <v>59800.17287641138</v>
      </c>
      <c r="M45">
        <f t="shared" si="1"/>
        <v>98931.398678215788</v>
      </c>
    </row>
    <row r="46" spans="1:13" ht="14.25">
      <c r="A46" s="3050">
        <v>43</v>
      </c>
      <c r="B46" s="3051" t="s">
        <v>3051</v>
      </c>
      <c r="C46" s="3052" t="s">
        <v>3054</v>
      </c>
      <c r="D46" s="3053">
        <v>16</v>
      </c>
      <c r="E46" s="3054">
        <v>102</v>
      </c>
      <c r="F46" s="3058">
        <v>555.30999999999995</v>
      </c>
      <c r="G46" s="3056" t="s">
        <v>3053</v>
      </c>
      <c r="H46" s="3056">
        <v>30874525</v>
      </c>
      <c r="I46" s="3056">
        <v>12000000</v>
      </c>
      <c r="J46" s="3056">
        <v>10195710</v>
      </c>
      <c r="K46" s="3056">
        <v>53070235</v>
      </c>
      <c r="L46">
        <f t="shared" si="0"/>
        <v>55598.719634078268</v>
      </c>
      <c r="M46">
        <f t="shared" si="1"/>
        <v>95568.664349642553</v>
      </c>
    </row>
    <row r="47" spans="1:13" ht="14.25">
      <c r="A47" s="3050">
        <v>44</v>
      </c>
      <c r="B47" s="3051" t="s">
        <v>3051</v>
      </c>
      <c r="C47" s="3051" t="s">
        <v>3055</v>
      </c>
      <c r="D47" s="3053">
        <v>33</v>
      </c>
      <c r="E47" s="3054">
        <v>302</v>
      </c>
      <c r="F47" s="3058">
        <v>167.87</v>
      </c>
      <c r="G47" s="3056" t="s">
        <v>3053</v>
      </c>
      <c r="H47" s="3056">
        <v>4997084</v>
      </c>
      <c r="I47" s="3056"/>
      <c r="J47" s="3056">
        <v>472515</v>
      </c>
      <c r="K47" s="3056">
        <v>5469599</v>
      </c>
      <c r="L47">
        <f t="shared" si="0"/>
        <v>29767.582057544529</v>
      </c>
      <c r="M47">
        <f t="shared" si="1"/>
        <v>32582.349437064393</v>
      </c>
    </row>
    <row r="48" spans="1:13" ht="14.25">
      <c r="A48" s="3050">
        <v>45</v>
      </c>
      <c r="B48" s="3051" t="s">
        <v>3051</v>
      </c>
      <c r="C48" s="3051" t="s">
        <v>3055</v>
      </c>
      <c r="D48" s="3053">
        <v>33</v>
      </c>
      <c r="E48" s="3054">
        <v>303</v>
      </c>
      <c r="F48" s="3058">
        <v>168.29</v>
      </c>
      <c r="G48" s="3056" t="s">
        <v>3053</v>
      </c>
      <c r="H48" s="3056">
        <v>5010838</v>
      </c>
      <c r="I48" s="3056"/>
      <c r="J48" s="3056">
        <v>431114</v>
      </c>
      <c r="K48" s="3056">
        <v>5441952</v>
      </c>
      <c r="L48">
        <f t="shared" si="0"/>
        <v>29775.019311902077</v>
      </c>
      <c r="M48">
        <f t="shared" si="1"/>
        <v>32336.752035177375</v>
      </c>
    </row>
    <row r="49" spans="1:13" ht="14.25">
      <c r="A49" s="3050">
        <v>46</v>
      </c>
      <c r="B49" s="3051" t="s">
        <v>3051</v>
      </c>
      <c r="C49" s="3051" t="s">
        <v>3055</v>
      </c>
      <c r="D49" s="3053">
        <v>34</v>
      </c>
      <c r="E49" s="3054">
        <v>101</v>
      </c>
      <c r="F49" s="3059">
        <v>164.81</v>
      </c>
      <c r="G49" s="3056" t="s">
        <v>3053</v>
      </c>
      <c r="H49" s="3056">
        <v>5724162</v>
      </c>
      <c r="I49" s="3056"/>
      <c r="J49" s="3056">
        <v>500000</v>
      </c>
      <c r="K49" s="3057">
        <v>6224162</v>
      </c>
      <c r="L49">
        <f t="shared" si="0"/>
        <v>34731.885201140707</v>
      </c>
      <c r="M49">
        <f t="shared" si="1"/>
        <v>37765.681694071958</v>
      </c>
    </row>
    <row r="50" spans="1:13" ht="14.25">
      <c r="A50" s="3050">
        <v>47</v>
      </c>
      <c r="B50" s="3051" t="s">
        <v>3051</v>
      </c>
      <c r="C50" s="3051" t="s">
        <v>3055</v>
      </c>
      <c r="D50" s="3053">
        <v>34</v>
      </c>
      <c r="E50" s="3054">
        <v>104</v>
      </c>
      <c r="F50" s="3059">
        <v>164.09</v>
      </c>
      <c r="G50" s="3060" t="s">
        <v>3053</v>
      </c>
      <c r="H50" s="3060">
        <v>5365574</v>
      </c>
      <c r="I50" s="3060"/>
      <c r="J50" s="3056">
        <v>209654</v>
      </c>
      <c r="K50" s="3056">
        <v>5575228</v>
      </c>
      <c r="L50">
        <f t="shared" si="0"/>
        <v>32698.970077396549</v>
      </c>
      <c r="M50">
        <f t="shared" si="1"/>
        <v>33976.646962033032</v>
      </c>
    </row>
    <row r="51" spans="1:13" ht="14.25">
      <c r="A51" s="3050">
        <v>48</v>
      </c>
      <c r="B51" s="3051" t="s">
        <v>3051</v>
      </c>
      <c r="C51" s="3051" t="s">
        <v>3055</v>
      </c>
      <c r="D51" s="3053">
        <v>35</v>
      </c>
      <c r="E51" s="3054">
        <v>304</v>
      </c>
      <c r="F51" s="3058">
        <v>163.97</v>
      </c>
      <c r="G51" s="3060" t="s">
        <v>3053</v>
      </c>
      <c r="H51" s="3060">
        <v>5090144</v>
      </c>
      <c r="I51" s="3060"/>
      <c r="J51" s="3056">
        <v>374222</v>
      </c>
      <c r="K51" s="3056">
        <v>5464366</v>
      </c>
      <c r="L51">
        <f t="shared" si="0"/>
        <v>31043.142038177717</v>
      </c>
      <c r="M51">
        <f t="shared" si="1"/>
        <v>33325.400987985609</v>
      </c>
    </row>
    <row r="52" spans="1:13" ht="14.25">
      <c r="A52" s="3050">
        <v>49</v>
      </c>
      <c r="B52" s="3051" t="s">
        <v>3051</v>
      </c>
      <c r="C52" s="3051" t="s">
        <v>3055</v>
      </c>
      <c r="D52" s="3053">
        <v>37</v>
      </c>
      <c r="E52" s="3054">
        <v>102</v>
      </c>
      <c r="F52" s="3058">
        <v>167.7</v>
      </c>
      <c r="G52" s="3060" t="s">
        <v>3053</v>
      </c>
      <c r="H52" s="3060">
        <v>5381722</v>
      </c>
      <c r="I52" s="3060"/>
      <c r="J52" s="3056">
        <v>479414</v>
      </c>
      <c r="K52" s="3056">
        <v>5861136</v>
      </c>
      <c r="L52">
        <f t="shared" si="0"/>
        <v>32091.365533691118</v>
      </c>
      <c r="M52">
        <f t="shared" si="1"/>
        <v>34950.125223613599</v>
      </c>
    </row>
    <row r="53" spans="1:13" ht="14.25">
      <c r="A53" s="3050">
        <v>50</v>
      </c>
      <c r="B53" s="3051" t="s">
        <v>3051</v>
      </c>
      <c r="C53" s="3051" t="s">
        <v>3055</v>
      </c>
      <c r="D53" s="3053">
        <v>37</v>
      </c>
      <c r="E53" s="3054">
        <v>302</v>
      </c>
      <c r="F53" s="3058">
        <v>167.7</v>
      </c>
      <c r="G53" s="3060" t="s">
        <v>3053</v>
      </c>
      <c r="H53" s="3060">
        <v>5104413</v>
      </c>
      <c r="I53" s="3060"/>
      <c r="J53" s="3056">
        <v>581264</v>
      </c>
      <c r="K53" s="3056">
        <v>5685677</v>
      </c>
      <c r="L53">
        <f t="shared" si="0"/>
        <v>30437.763864042936</v>
      </c>
      <c r="M53">
        <f t="shared" si="1"/>
        <v>33903.858079904596</v>
      </c>
    </row>
    <row r="54" spans="1:13" ht="14.25">
      <c r="A54" s="3050">
        <v>51</v>
      </c>
      <c r="B54" s="3051" t="s">
        <v>3051</v>
      </c>
      <c r="C54" s="3051" t="s">
        <v>3055</v>
      </c>
      <c r="D54" s="3053">
        <v>37</v>
      </c>
      <c r="E54" s="3054">
        <v>303</v>
      </c>
      <c r="F54" s="3058">
        <v>164.5</v>
      </c>
      <c r="G54" s="3060" t="s">
        <v>3053</v>
      </c>
      <c r="H54" s="3060">
        <v>4997472</v>
      </c>
      <c r="I54" s="3060"/>
      <c r="J54" s="3056">
        <v>585210</v>
      </c>
      <c r="K54" s="3056">
        <v>5582682</v>
      </c>
      <c r="L54">
        <f t="shared" si="0"/>
        <v>30379.768996960487</v>
      </c>
      <c r="M54">
        <f t="shared" si="1"/>
        <v>33937.276595744683</v>
      </c>
    </row>
    <row r="55" spans="1:13" ht="14.25">
      <c r="A55" s="3050">
        <v>52</v>
      </c>
      <c r="B55" s="3051" t="s">
        <v>3051</v>
      </c>
      <c r="C55" s="3051" t="s">
        <v>3055</v>
      </c>
      <c r="D55" s="3053">
        <v>37</v>
      </c>
      <c r="E55" s="3054">
        <v>304</v>
      </c>
      <c r="F55" s="3058">
        <v>164.09</v>
      </c>
      <c r="G55" s="3060" t="s">
        <v>3053</v>
      </c>
      <c r="H55" s="3060">
        <v>4983770</v>
      </c>
      <c r="I55" s="3060"/>
      <c r="J55" s="3056">
        <v>590482</v>
      </c>
      <c r="K55" s="3056">
        <v>5574252</v>
      </c>
      <c r="L55">
        <f t="shared" si="0"/>
        <v>30372.173807057101</v>
      </c>
      <c r="M55">
        <f t="shared" si="1"/>
        <v>33970.699006642695</v>
      </c>
    </row>
    <row r="56" spans="1:13" ht="14.25">
      <c r="A56" s="3050">
        <v>53</v>
      </c>
      <c r="B56" s="3051" t="s">
        <v>3051</v>
      </c>
      <c r="C56" s="3051" t="s">
        <v>3055</v>
      </c>
      <c r="D56" s="3053">
        <v>38</v>
      </c>
      <c r="E56" s="3054">
        <v>103</v>
      </c>
      <c r="F56" s="3058">
        <v>164.49</v>
      </c>
      <c r="G56" s="3060" t="s">
        <v>3053</v>
      </c>
      <c r="H56" s="3060">
        <v>4992301</v>
      </c>
      <c r="I56" s="3060"/>
      <c r="J56" s="3056">
        <v>376424</v>
      </c>
      <c r="K56" s="3056">
        <v>5368725</v>
      </c>
      <c r="L56">
        <f t="shared" si="0"/>
        <v>30350.179342209252</v>
      </c>
      <c r="M56">
        <f t="shared" si="1"/>
        <v>32638.610249863214</v>
      </c>
    </row>
    <row r="57" spans="1:13" ht="14.25">
      <c r="A57" s="3050">
        <v>54</v>
      </c>
      <c r="B57" s="3051" t="s">
        <v>3051</v>
      </c>
      <c r="C57" s="3051" t="s">
        <v>3055</v>
      </c>
      <c r="D57" s="3053">
        <v>38</v>
      </c>
      <c r="E57" s="3054">
        <v>104</v>
      </c>
      <c r="F57" s="3058">
        <v>164.08</v>
      </c>
      <c r="G57" s="3060" t="s">
        <v>3053</v>
      </c>
      <c r="H57" s="3060">
        <v>4978612</v>
      </c>
      <c r="I57" s="3060"/>
      <c r="J57" s="3056">
        <v>349338</v>
      </c>
      <c r="K57" s="3056">
        <v>5327950</v>
      </c>
      <c r="L57">
        <f t="shared" si="0"/>
        <v>30342.588980984881</v>
      </c>
      <c r="M57">
        <f t="shared" si="1"/>
        <v>32471.660165772792</v>
      </c>
    </row>
    <row r="58" spans="1:13" ht="14.25">
      <c r="A58" s="3050">
        <v>55</v>
      </c>
      <c r="B58" s="3051" t="s">
        <v>3051</v>
      </c>
      <c r="C58" s="3051" t="s">
        <v>3055</v>
      </c>
      <c r="D58" s="3053">
        <v>38</v>
      </c>
      <c r="E58" s="3054">
        <v>604</v>
      </c>
      <c r="F58" s="3058">
        <v>164.08</v>
      </c>
      <c r="G58" s="3060" t="s">
        <v>3053</v>
      </c>
      <c r="H58" s="3060">
        <v>4928206</v>
      </c>
      <c r="I58" s="3060"/>
      <c r="J58" s="3056">
        <v>500000</v>
      </c>
      <c r="K58" s="3056">
        <v>5428206</v>
      </c>
      <c r="L58">
        <f t="shared" si="0"/>
        <v>30035.385177961969</v>
      </c>
      <c r="M58">
        <f t="shared" si="1"/>
        <v>33082.679180887368</v>
      </c>
    </row>
    <row r="59" spans="1:13" ht="14.25">
      <c r="A59" s="3050">
        <v>56</v>
      </c>
      <c r="B59" s="3051" t="s">
        <v>3051</v>
      </c>
      <c r="C59" s="3051" t="s">
        <v>3055</v>
      </c>
      <c r="D59" s="3053">
        <v>39</v>
      </c>
      <c r="E59" s="3054">
        <v>302</v>
      </c>
      <c r="F59" s="3058">
        <v>167.7</v>
      </c>
      <c r="G59" s="3060" t="s">
        <v>3053</v>
      </c>
      <c r="H59" s="3060">
        <v>5104413</v>
      </c>
      <c r="I59" s="3060"/>
      <c r="J59" s="3056">
        <v>514011</v>
      </c>
      <c r="K59" s="3056">
        <v>5618424</v>
      </c>
      <c r="L59">
        <f t="shared" si="0"/>
        <v>30437.763864042936</v>
      </c>
      <c r="M59">
        <f t="shared" si="1"/>
        <v>33502.826475849732</v>
      </c>
    </row>
    <row r="60" spans="1:13" ht="14.25">
      <c r="A60" s="3050">
        <v>57</v>
      </c>
      <c r="B60" s="3051" t="s">
        <v>3051</v>
      </c>
      <c r="C60" s="3051" t="s">
        <v>3055</v>
      </c>
      <c r="D60" s="3053">
        <v>39</v>
      </c>
      <c r="E60" s="3054">
        <v>303</v>
      </c>
      <c r="F60" s="3058">
        <v>164.5</v>
      </c>
      <c r="G60" s="3060" t="s">
        <v>3053</v>
      </c>
      <c r="H60" s="3060">
        <v>4997472</v>
      </c>
      <c r="I60" s="3060"/>
      <c r="J60" s="3056">
        <v>535733</v>
      </c>
      <c r="K60" s="3056">
        <v>5533205</v>
      </c>
      <c r="L60">
        <f t="shared" si="0"/>
        <v>30379.768996960487</v>
      </c>
      <c r="M60">
        <f t="shared" si="1"/>
        <v>33636.504559270514</v>
      </c>
    </row>
    <row r="61" spans="1:13" ht="14.25">
      <c r="A61" s="3050">
        <v>58</v>
      </c>
      <c r="B61" s="3051" t="s">
        <v>3051</v>
      </c>
      <c r="C61" s="3051" t="s">
        <v>3055</v>
      </c>
      <c r="D61" s="3053">
        <v>39</v>
      </c>
      <c r="E61" s="3054">
        <v>304</v>
      </c>
      <c r="F61" s="3058">
        <v>164.09</v>
      </c>
      <c r="G61" s="3060" t="s">
        <v>3053</v>
      </c>
      <c r="H61" s="3060">
        <v>4983770</v>
      </c>
      <c r="I61" s="3060"/>
      <c r="J61" s="3056">
        <v>491774</v>
      </c>
      <c r="K61" s="3056">
        <v>5475544</v>
      </c>
      <c r="L61">
        <f t="shared" si="0"/>
        <v>30372.173807057101</v>
      </c>
      <c r="M61">
        <f t="shared" si="1"/>
        <v>33369.151075629226</v>
      </c>
    </row>
    <row r="62" spans="1:13" ht="14.25">
      <c r="A62" s="3050"/>
      <c r="B62" s="3061"/>
      <c r="C62" s="3062"/>
      <c r="D62" s="3063"/>
      <c r="E62" s="3064"/>
      <c r="F62" s="3065">
        <f>SUM(F4:F61)</f>
        <v>16412.019999999993</v>
      </c>
      <c r="G62" s="3066"/>
      <c r="H62" s="3067">
        <f t="shared" ref="H62:K62" si="2">SUM(H4:H61)</f>
        <v>781315172</v>
      </c>
      <c r="I62" s="3067">
        <f t="shared" si="2"/>
        <v>159000000</v>
      </c>
      <c r="J62" s="3067">
        <f t="shared" si="2"/>
        <v>174517656</v>
      </c>
      <c r="K62" s="3067">
        <f t="shared" si="2"/>
        <v>1114832829</v>
      </c>
      <c r="L62">
        <f t="shared" si="0"/>
        <v>47606.277106657217</v>
      </c>
      <c r="M62">
        <f t="shared" si="1"/>
        <v>67927.825398701709</v>
      </c>
    </row>
    <row r="63" spans="1:13">
      <c r="K63" s="3073"/>
    </row>
    <row r="64" spans="1:13">
      <c r="G64" s="3084" t="s">
        <v>3296</v>
      </c>
      <c r="H64" s="3084"/>
      <c r="I64" s="3084" t="s">
        <v>3297</v>
      </c>
    </row>
    <row r="65" spans="3:10">
      <c r="C65" s="3076" t="s">
        <v>3061</v>
      </c>
      <c r="F65" s="3077">
        <f>SUM(F31:F40,F47:F61)</f>
        <v>4130.4999999999991</v>
      </c>
      <c r="G65" s="3077">
        <f>SUM(H31:H40,H47:H61)</f>
        <v>128095985</v>
      </c>
      <c r="H65" s="3077">
        <f>G65/F65</f>
        <v>31012.222491223831</v>
      </c>
      <c r="I65" s="3077">
        <f>SUM(K31:K40,K47:K61)</f>
        <v>139269134</v>
      </c>
      <c r="J65" s="3071">
        <f>I65/F65</f>
        <v>33717.257959084862</v>
      </c>
    </row>
    <row r="66" spans="3:10">
      <c r="C66" s="3076" t="s">
        <v>3062</v>
      </c>
      <c r="F66" s="3077">
        <f>SUM(F4:F6,F16:F30)</f>
        <v>3893.5499999999993</v>
      </c>
      <c r="G66" s="3077">
        <f>SUM(H4:H6,H16:H30)</f>
        <v>185750340</v>
      </c>
      <c r="H66" s="3077">
        <f>G66/F66</f>
        <v>47707.192664791779</v>
      </c>
      <c r="I66" s="3077">
        <f>SUM(K4:K6,K16:K30)</f>
        <v>231519712</v>
      </c>
      <c r="J66" s="3071">
        <f>I66/F66</f>
        <v>59462.370330418264</v>
      </c>
    </row>
    <row r="67" spans="3:10">
      <c r="C67" s="3076" t="s">
        <v>3063</v>
      </c>
      <c r="F67" s="3077">
        <f>SUM(F7:F15,F41:F46)</f>
        <v>8387.9699999999993</v>
      </c>
      <c r="G67" s="3077">
        <f>SUM(H7:H15,H41:H46)</f>
        <v>467468847</v>
      </c>
      <c r="H67" s="3077">
        <f>G67/F67</f>
        <v>55730.867778497064</v>
      </c>
      <c r="I67" s="3077">
        <f>SUM(K7:K15,K41:K46)</f>
        <v>744043983</v>
      </c>
      <c r="J67" s="3071">
        <f>I67/F67</f>
        <v>88703.701014667444</v>
      </c>
    </row>
    <row r="68" spans="3:10">
      <c r="F68" s="3077">
        <f>SUM(F65:F67)</f>
        <v>16412.019999999997</v>
      </c>
    </row>
    <row r="82" spans="5:5">
      <c r="E82" s="3068"/>
    </row>
    <row r="83" spans="5:5">
      <c r="E83" s="3068"/>
    </row>
    <row r="84" spans="5:5">
      <c r="E84" s="3068"/>
    </row>
    <row r="85" spans="5:5">
      <c r="E85" s="3068"/>
    </row>
    <row r="86" spans="5:5">
      <c r="E86" s="3068"/>
    </row>
    <row r="87" spans="5:5">
      <c r="E87" s="3068"/>
    </row>
    <row r="88" spans="5:5">
      <c r="E88" s="3068"/>
    </row>
    <row r="89" spans="5:5">
      <c r="E89" s="3068"/>
    </row>
    <row r="90" spans="5:5">
      <c r="E90" s="3068"/>
    </row>
    <row r="91" spans="5:5">
      <c r="E91" s="3068"/>
    </row>
    <row r="92" spans="5:5">
      <c r="E92" s="3068"/>
    </row>
    <row r="93" spans="5:5">
      <c r="E93" s="3068"/>
    </row>
    <row r="94" spans="5:5">
      <c r="E94" s="3068"/>
    </row>
    <row r="95" spans="5:5">
      <c r="E95" s="3068"/>
    </row>
    <row r="96" spans="5:5">
      <c r="E96" s="3068"/>
    </row>
    <row r="97" spans="5:5">
      <c r="E97" s="3068"/>
    </row>
    <row r="98" spans="5:5">
      <c r="E98" s="3068"/>
    </row>
    <row r="99" spans="5:5">
      <c r="E99" s="3068"/>
    </row>
    <row r="100" spans="5:5">
      <c r="E100" s="3068"/>
    </row>
    <row r="101" spans="5:5">
      <c r="E101" s="3068"/>
    </row>
    <row r="102" spans="5:5">
      <c r="E102" s="3068"/>
    </row>
    <row r="103" spans="5:5">
      <c r="E103" s="3068"/>
    </row>
    <row r="104" spans="5:5">
      <c r="E104" s="3068"/>
    </row>
    <row r="105" spans="5:5">
      <c r="E105" s="3068"/>
    </row>
    <row r="106" spans="5:5">
      <c r="E106" s="3068"/>
    </row>
    <row r="107" spans="5:5">
      <c r="E107" s="3068"/>
    </row>
    <row r="108" spans="5:5">
      <c r="E108" s="3068"/>
    </row>
    <row r="109" spans="5:5">
      <c r="E109" s="3068"/>
    </row>
    <row r="110" spans="5:5">
      <c r="E110" s="3068"/>
    </row>
    <row r="111" spans="5:5">
      <c r="E111" s="3068"/>
    </row>
    <row r="112" spans="5:5">
      <c r="E112" s="3068"/>
    </row>
    <row r="113" spans="5:5">
      <c r="E113" s="3068"/>
    </row>
    <row r="114" spans="5:5">
      <c r="E114" s="3068"/>
    </row>
    <row r="115" spans="5:5">
      <c r="E115" s="3068"/>
    </row>
    <row r="116" spans="5:5">
      <c r="E116" s="3068"/>
    </row>
    <row r="117" spans="5:5">
      <c r="E117" s="3068"/>
    </row>
    <row r="118" spans="5:5">
      <c r="E118" s="3068"/>
    </row>
    <row r="119" spans="5:5">
      <c r="E119" s="3068"/>
    </row>
    <row r="120" spans="5:5">
      <c r="E120" s="3068"/>
    </row>
    <row r="121" spans="5:5">
      <c r="E121" s="3068"/>
    </row>
    <row r="122" spans="5:5">
      <c r="E122" s="3068"/>
    </row>
    <row r="123" spans="5:5">
      <c r="E123" s="3068"/>
    </row>
    <row r="124" spans="5:5">
      <c r="E124" s="3068"/>
    </row>
    <row r="125" spans="5:5">
      <c r="E125" s="3068"/>
    </row>
    <row r="126" spans="5:5">
      <c r="E126" s="3068"/>
    </row>
    <row r="127" spans="5:5">
      <c r="E127" s="3068"/>
    </row>
    <row r="128" spans="5:5">
      <c r="E128" s="3068"/>
    </row>
    <row r="129" spans="5:5">
      <c r="E129" s="3068"/>
    </row>
    <row r="130" spans="5:5">
      <c r="E130" s="3068"/>
    </row>
    <row r="131" spans="5:5">
      <c r="E131" s="3068"/>
    </row>
    <row r="132" spans="5:5">
      <c r="E132" s="3068"/>
    </row>
    <row r="133" spans="5:5">
      <c r="E133" s="3068"/>
    </row>
    <row r="134" spans="5:5">
      <c r="E134" s="3068"/>
    </row>
    <row r="135" spans="5:5">
      <c r="E135" s="3068"/>
    </row>
    <row r="136" spans="5:5">
      <c r="E136" s="3068"/>
    </row>
    <row r="137" spans="5:5">
      <c r="E137" s="3068"/>
    </row>
    <row r="138" spans="5:5">
      <c r="E138" s="3068"/>
    </row>
    <row r="139" spans="5:5">
      <c r="E139" s="3068"/>
    </row>
    <row r="140" spans="5:5">
      <c r="E140" s="3068"/>
    </row>
    <row r="141" spans="5:5">
      <c r="E141" s="3068"/>
    </row>
    <row r="142" spans="5:5">
      <c r="E142" s="3068"/>
    </row>
    <row r="143" spans="5:5">
      <c r="E143" s="3068"/>
    </row>
    <row r="144" spans="5:5">
      <c r="E144" s="3068"/>
    </row>
    <row r="145" spans="5:5">
      <c r="E145" s="3068"/>
    </row>
    <row r="146" spans="5:5">
      <c r="E146" s="3068"/>
    </row>
    <row r="147" spans="5:5">
      <c r="E147" s="3068"/>
    </row>
    <row r="148" spans="5:5">
      <c r="E148" s="3068"/>
    </row>
    <row r="149" spans="5:5">
      <c r="E149" s="3068"/>
    </row>
    <row r="150" spans="5:5">
      <c r="E150" s="3068"/>
    </row>
    <row r="151" spans="5:5">
      <c r="E151" s="3068"/>
    </row>
    <row r="152" spans="5:5">
      <c r="E152" s="3068"/>
    </row>
    <row r="153" spans="5:5">
      <c r="E153" s="3068"/>
    </row>
    <row r="154" spans="5:5">
      <c r="E154" s="3068"/>
    </row>
    <row r="155" spans="5:5">
      <c r="E155" s="3068"/>
    </row>
    <row r="156" spans="5:5">
      <c r="E156" s="3068"/>
    </row>
    <row r="157" spans="5:5">
      <c r="E157" s="3068"/>
    </row>
    <row r="158" spans="5:5">
      <c r="E158" s="3068"/>
    </row>
    <row r="159" spans="5:5">
      <c r="E159" s="3068"/>
    </row>
    <row r="160" spans="5:5">
      <c r="E160" s="3068"/>
    </row>
    <row r="161" spans="5:5">
      <c r="E161" s="3068"/>
    </row>
    <row r="162" spans="5:5">
      <c r="E162" s="3068"/>
    </row>
    <row r="163" spans="5:5">
      <c r="E163" s="3068"/>
    </row>
    <row r="164" spans="5:5">
      <c r="E164" s="3068"/>
    </row>
    <row r="165" spans="5:5">
      <c r="E165" s="3068"/>
    </row>
    <row r="166" spans="5:5">
      <c r="E166" s="3068"/>
    </row>
    <row r="167" spans="5:5">
      <c r="E167" s="3068"/>
    </row>
    <row r="168" spans="5:5">
      <c r="E168" s="3068"/>
    </row>
    <row r="169" spans="5:5">
      <c r="E169" s="3068"/>
    </row>
    <row r="170" spans="5:5">
      <c r="E170" s="3068"/>
    </row>
    <row r="171" spans="5:5">
      <c r="E171" s="3068"/>
    </row>
    <row r="172" spans="5:5">
      <c r="E172" s="3068"/>
    </row>
    <row r="173" spans="5:5">
      <c r="E173" s="3068"/>
    </row>
    <row r="174" spans="5:5">
      <c r="E174" s="3068"/>
    </row>
    <row r="175" spans="5:5">
      <c r="E175" s="3068"/>
    </row>
    <row r="176" spans="5:5">
      <c r="E176" s="3068"/>
    </row>
    <row r="177" spans="5:5">
      <c r="E177" s="3068"/>
    </row>
    <row r="178" spans="5:5">
      <c r="E178" s="3068"/>
    </row>
    <row r="179" spans="5:5">
      <c r="E179" s="3068"/>
    </row>
    <row r="180" spans="5:5">
      <c r="E180" s="3068"/>
    </row>
    <row r="181" spans="5:5">
      <c r="E181" s="3068"/>
    </row>
    <row r="182" spans="5:5">
      <c r="E182" s="3068"/>
    </row>
    <row r="183" spans="5:5">
      <c r="E183" s="3068"/>
    </row>
    <row r="184" spans="5:5">
      <c r="E184" s="3068"/>
    </row>
    <row r="185" spans="5:5">
      <c r="E185" s="3068"/>
    </row>
    <row r="186" spans="5:5">
      <c r="E186" s="3068"/>
    </row>
    <row r="187" spans="5:5">
      <c r="E187" s="3068"/>
    </row>
    <row r="188" spans="5:5">
      <c r="E188" s="3068"/>
    </row>
    <row r="189" spans="5:5">
      <c r="E189" s="3068"/>
    </row>
    <row r="190" spans="5:5">
      <c r="E190" s="3068"/>
    </row>
    <row r="191" spans="5:5">
      <c r="E191" s="3068"/>
    </row>
    <row r="192" spans="5:5">
      <c r="E192" s="3068"/>
    </row>
    <row r="193" spans="5:5">
      <c r="E193" s="3068"/>
    </row>
    <row r="194" spans="5:5">
      <c r="E194" s="3068"/>
    </row>
    <row r="195" spans="5:5">
      <c r="E195" s="3068"/>
    </row>
    <row r="196" spans="5:5">
      <c r="E196" s="3068"/>
    </row>
    <row r="197" spans="5:5">
      <c r="E197" s="3068"/>
    </row>
    <row r="198" spans="5:5">
      <c r="E198" s="3068"/>
    </row>
    <row r="199" spans="5:5">
      <c r="E199" s="3068"/>
    </row>
    <row r="1048339" spans="10:11">
      <c r="J1048339"/>
      <c r="K1048339"/>
    </row>
    <row r="1048340" spans="10:11">
      <c r="J1048340"/>
      <c r="K1048340"/>
    </row>
    <row r="1048341" spans="10:11">
      <c r="J1048341"/>
      <c r="K1048341"/>
    </row>
    <row r="1048342" spans="10:11">
      <c r="J1048342"/>
      <c r="K1048342"/>
    </row>
    <row r="1048343" spans="10:11">
      <c r="J1048343"/>
      <c r="K1048343"/>
    </row>
    <row r="1048344" spans="10:11">
      <c r="J1048344"/>
      <c r="K1048344"/>
    </row>
    <row r="1048345" spans="10:11">
      <c r="J1048345"/>
      <c r="K1048345"/>
    </row>
    <row r="1048346" spans="10:11">
      <c r="J1048346"/>
      <c r="K1048346"/>
    </row>
    <row r="1048347" spans="10:11">
      <c r="J1048347"/>
      <c r="K1048347"/>
    </row>
    <row r="1048348" spans="10:11">
      <c r="J1048348"/>
      <c r="K1048348"/>
    </row>
    <row r="1048349" spans="10:11">
      <c r="J1048349"/>
      <c r="K1048349"/>
    </row>
    <row r="1048350" spans="10:11">
      <c r="J1048350"/>
      <c r="K1048350"/>
    </row>
    <row r="1048351" spans="10:11">
      <c r="J1048351"/>
      <c r="K1048351"/>
    </row>
    <row r="1048352" spans="10:11">
      <c r="J1048352"/>
      <c r="K1048352"/>
    </row>
    <row r="1048353" spans="10:11">
      <c r="J1048353"/>
      <c r="K1048353"/>
    </row>
    <row r="1048354" spans="10:11">
      <c r="J1048354"/>
      <c r="K1048354"/>
    </row>
    <row r="1048355" spans="10:11">
      <c r="J1048355"/>
      <c r="K1048355"/>
    </row>
    <row r="1048356" spans="10:11">
      <c r="J1048356"/>
      <c r="K1048356"/>
    </row>
    <row r="1048357" spans="10:11">
      <c r="J1048357"/>
      <c r="K1048357"/>
    </row>
    <row r="1048358" spans="10:11">
      <c r="J1048358"/>
      <c r="K1048358"/>
    </row>
    <row r="1048359" spans="10:11">
      <c r="J1048359"/>
      <c r="K1048359"/>
    </row>
    <row r="1048360" spans="10:11">
      <c r="J1048360"/>
      <c r="K1048360"/>
    </row>
    <row r="1048361" spans="10:11">
      <c r="J1048361"/>
      <c r="K1048361"/>
    </row>
    <row r="1048362" spans="10:11">
      <c r="J1048362"/>
      <c r="K1048362"/>
    </row>
    <row r="1048363" spans="10:11">
      <c r="J1048363"/>
      <c r="K1048363"/>
    </row>
    <row r="1048364" spans="10:11">
      <c r="J1048364"/>
      <c r="K1048364"/>
    </row>
    <row r="1048365" spans="10:11">
      <c r="J1048365"/>
      <c r="K1048365"/>
    </row>
    <row r="1048366" spans="10:11">
      <c r="J1048366"/>
      <c r="K1048366"/>
    </row>
    <row r="1048367" spans="10:11">
      <c r="J1048367"/>
      <c r="K1048367"/>
    </row>
    <row r="1048368" spans="10:11">
      <c r="J1048368"/>
      <c r="K1048368"/>
    </row>
    <row r="1048369" spans="10:11">
      <c r="J1048369"/>
      <c r="K1048369"/>
    </row>
    <row r="1048370" spans="10:11">
      <c r="J1048370"/>
      <c r="K1048370"/>
    </row>
    <row r="1048371" spans="10:11">
      <c r="J1048371"/>
      <c r="K1048371"/>
    </row>
    <row r="1048372" spans="10:11">
      <c r="J1048372"/>
      <c r="K1048372"/>
    </row>
    <row r="1048373" spans="10:11">
      <c r="J1048373"/>
      <c r="K1048373"/>
    </row>
    <row r="1048374" spans="10:11">
      <c r="J1048374"/>
      <c r="K1048374"/>
    </row>
    <row r="1048375" spans="10:11">
      <c r="J1048375"/>
      <c r="K1048375"/>
    </row>
    <row r="1048376" spans="10:11">
      <c r="J1048376"/>
      <c r="K1048376"/>
    </row>
    <row r="1048377" spans="10:11">
      <c r="J1048377"/>
      <c r="K1048377"/>
    </row>
    <row r="1048378" spans="10:11">
      <c r="J1048378"/>
      <c r="K1048378"/>
    </row>
    <row r="1048379" spans="10:11">
      <c r="J1048379"/>
      <c r="K1048379"/>
    </row>
    <row r="1048380" spans="10:11">
      <c r="J1048380"/>
      <c r="K1048380"/>
    </row>
    <row r="1048381" spans="10:11">
      <c r="J1048381"/>
      <c r="K1048381"/>
    </row>
    <row r="1048382" spans="10:11">
      <c r="J1048382"/>
      <c r="K1048382"/>
    </row>
    <row r="1048383" spans="10:11">
      <c r="J1048383"/>
      <c r="K1048383"/>
    </row>
    <row r="1048384" spans="10:11">
      <c r="J1048384"/>
      <c r="K1048384"/>
    </row>
    <row r="1048385" spans="10:11">
      <c r="J1048385"/>
      <c r="K1048385"/>
    </row>
    <row r="1048386" spans="10:11">
      <c r="J1048386"/>
      <c r="K1048386"/>
    </row>
    <row r="1048387" spans="10:11">
      <c r="J1048387"/>
      <c r="K1048387"/>
    </row>
    <row r="1048388" spans="10:11">
      <c r="J1048388"/>
      <c r="K1048388"/>
    </row>
    <row r="1048389" spans="10:11">
      <c r="J1048389"/>
      <c r="K1048389"/>
    </row>
    <row r="1048390" spans="10:11">
      <c r="J1048390"/>
      <c r="K1048390"/>
    </row>
    <row r="1048391" spans="10:11">
      <c r="J1048391"/>
      <c r="K1048391"/>
    </row>
    <row r="1048392" spans="10:11">
      <c r="J1048392"/>
      <c r="K1048392"/>
    </row>
    <row r="1048393" spans="10:11">
      <c r="J1048393"/>
      <c r="K1048393"/>
    </row>
    <row r="1048394" spans="10:11">
      <c r="J1048394"/>
      <c r="K1048394"/>
    </row>
    <row r="1048395" spans="10:11">
      <c r="J1048395"/>
      <c r="K1048395"/>
    </row>
    <row r="1048396" spans="10:11">
      <c r="J1048396"/>
      <c r="K1048396"/>
    </row>
    <row r="1048397" spans="10:11">
      <c r="J1048397"/>
      <c r="K1048397"/>
    </row>
    <row r="1048398" spans="10:11">
      <c r="J1048398"/>
      <c r="K1048398"/>
    </row>
    <row r="1048399" spans="10:11">
      <c r="J1048399"/>
      <c r="K1048399"/>
    </row>
    <row r="1048400" spans="10:11">
      <c r="J1048400"/>
      <c r="K1048400"/>
    </row>
    <row r="1048401" spans="10:11">
      <c r="J1048401"/>
      <c r="K1048401"/>
    </row>
    <row r="1048402" spans="10:11">
      <c r="J1048402"/>
      <c r="K1048402"/>
    </row>
    <row r="1048403" spans="10:11">
      <c r="J1048403"/>
      <c r="K1048403"/>
    </row>
    <row r="1048404" spans="10:11">
      <c r="J1048404"/>
      <c r="K1048404"/>
    </row>
    <row r="1048405" spans="10:11">
      <c r="J1048405"/>
      <c r="K1048405"/>
    </row>
    <row r="1048406" spans="10:11">
      <c r="J1048406"/>
      <c r="K1048406"/>
    </row>
    <row r="1048407" spans="10:11">
      <c r="J1048407"/>
      <c r="K1048407"/>
    </row>
    <row r="1048408" spans="10:11">
      <c r="J1048408"/>
      <c r="K1048408"/>
    </row>
    <row r="1048409" spans="10:11">
      <c r="J1048409"/>
      <c r="K1048409"/>
    </row>
    <row r="1048410" spans="10:11">
      <c r="J1048410"/>
      <c r="K1048410"/>
    </row>
    <row r="1048411" spans="10:11">
      <c r="J1048411"/>
      <c r="K1048411"/>
    </row>
    <row r="1048412" spans="10:11">
      <c r="J1048412"/>
      <c r="K1048412"/>
    </row>
    <row r="1048413" spans="10:11">
      <c r="J1048413"/>
      <c r="K1048413"/>
    </row>
    <row r="1048414" spans="10:11">
      <c r="J1048414"/>
      <c r="K1048414"/>
    </row>
    <row r="1048415" spans="10:11">
      <c r="J1048415"/>
      <c r="K1048415"/>
    </row>
    <row r="1048416" spans="10:11">
      <c r="J1048416"/>
      <c r="K1048416"/>
    </row>
    <row r="1048417" spans="10:11">
      <c r="J1048417"/>
      <c r="K1048417"/>
    </row>
    <row r="1048418" spans="10:11">
      <c r="J1048418"/>
      <c r="K1048418"/>
    </row>
    <row r="1048419" spans="10:11">
      <c r="J1048419"/>
      <c r="K1048419"/>
    </row>
    <row r="1048420" spans="10:11">
      <c r="J1048420"/>
      <c r="K1048420"/>
    </row>
    <row r="1048421" spans="10:11">
      <c r="J1048421"/>
      <c r="K1048421"/>
    </row>
    <row r="1048422" spans="10:11">
      <c r="J1048422"/>
      <c r="K1048422"/>
    </row>
    <row r="1048423" spans="10:11">
      <c r="J1048423"/>
      <c r="K1048423"/>
    </row>
    <row r="1048424" spans="10:11">
      <c r="J1048424"/>
      <c r="K1048424"/>
    </row>
    <row r="1048425" spans="10:11">
      <c r="J1048425"/>
      <c r="K1048425"/>
    </row>
    <row r="1048426" spans="10:11">
      <c r="J1048426"/>
      <c r="K1048426"/>
    </row>
    <row r="1048427" spans="10:11">
      <c r="J1048427"/>
      <c r="K1048427"/>
    </row>
    <row r="1048428" spans="10:11">
      <c r="J1048428"/>
      <c r="K1048428"/>
    </row>
    <row r="1048429" spans="10:11">
      <c r="J1048429"/>
      <c r="K1048429"/>
    </row>
    <row r="1048430" spans="10:11">
      <c r="J1048430"/>
      <c r="K1048430"/>
    </row>
    <row r="1048431" spans="10:11">
      <c r="J1048431"/>
      <c r="K1048431"/>
    </row>
    <row r="1048432" spans="10:11">
      <c r="J1048432"/>
      <c r="K1048432"/>
    </row>
    <row r="1048433" spans="10:11">
      <c r="J1048433"/>
      <c r="K1048433"/>
    </row>
    <row r="1048434" spans="10:11">
      <c r="J1048434"/>
      <c r="K1048434"/>
    </row>
    <row r="1048435" spans="10:11">
      <c r="J1048435"/>
      <c r="K1048435"/>
    </row>
    <row r="1048436" spans="10:11">
      <c r="J1048436"/>
      <c r="K1048436"/>
    </row>
    <row r="1048437" spans="10:11">
      <c r="J1048437"/>
      <c r="K1048437"/>
    </row>
    <row r="1048438" spans="10:11">
      <c r="J1048438"/>
      <c r="K1048438"/>
    </row>
    <row r="1048439" spans="10:11">
      <c r="J1048439"/>
      <c r="K1048439"/>
    </row>
    <row r="1048440" spans="10:11">
      <c r="J1048440"/>
      <c r="K1048440"/>
    </row>
    <row r="1048441" spans="10:11">
      <c r="J1048441"/>
      <c r="K1048441"/>
    </row>
    <row r="1048442" spans="10:11">
      <c r="J1048442"/>
      <c r="K1048442"/>
    </row>
    <row r="1048443" spans="10:11">
      <c r="J1048443"/>
      <c r="K1048443"/>
    </row>
    <row r="1048444" spans="10:11">
      <c r="J1048444"/>
      <c r="K1048444"/>
    </row>
    <row r="1048445" spans="10:11">
      <c r="J1048445"/>
      <c r="K1048445"/>
    </row>
    <row r="1048446" spans="10:11">
      <c r="J1048446"/>
      <c r="K1048446"/>
    </row>
    <row r="1048447" spans="10:11">
      <c r="J1048447"/>
      <c r="K1048447"/>
    </row>
    <row r="1048448" spans="10:11">
      <c r="J1048448"/>
      <c r="K1048448"/>
    </row>
    <row r="1048449" spans="10:11">
      <c r="J1048449"/>
      <c r="K1048449"/>
    </row>
    <row r="1048450" spans="10:11">
      <c r="J1048450"/>
      <c r="K1048450"/>
    </row>
    <row r="1048451" spans="10:11">
      <c r="J1048451"/>
      <c r="K1048451"/>
    </row>
    <row r="1048452" spans="10:11">
      <c r="J1048452"/>
      <c r="K1048452"/>
    </row>
    <row r="1048453" spans="10:11">
      <c r="J1048453"/>
      <c r="K1048453"/>
    </row>
    <row r="1048454" spans="10:11">
      <c r="J1048454"/>
      <c r="K1048454"/>
    </row>
    <row r="1048455" spans="10:11">
      <c r="J1048455"/>
      <c r="K1048455"/>
    </row>
    <row r="1048456" spans="10:11">
      <c r="J1048456"/>
      <c r="K1048456"/>
    </row>
    <row r="1048457" spans="10:11">
      <c r="J1048457"/>
      <c r="K1048457"/>
    </row>
    <row r="1048458" spans="10:11">
      <c r="J1048458"/>
      <c r="K1048458"/>
    </row>
    <row r="1048459" spans="10:11">
      <c r="J1048459"/>
      <c r="K1048459"/>
    </row>
    <row r="1048460" spans="10:11">
      <c r="J1048460"/>
      <c r="K1048460"/>
    </row>
    <row r="1048461" spans="10:11">
      <c r="J1048461"/>
      <c r="K1048461"/>
    </row>
    <row r="1048462" spans="10:11">
      <c r="J1048462"/>
      <c r="K1048462"/>
    </row>
    <row r="1048463" spans="10:11">
      <c r="J1048463"/>
      <c r="K1048463"/>
    </row>
    <row r="1048464" spans="10:11">
      <c r="J1048464"/>
      <c r="K1048464"/>
    </row>
    <row r="1048465" spans="10:11">
      <c r="J1048465"/>
      <c r="K1048465"/>
    </row>
    <row r="1048466" spans="10:11">
      <c r="J1048466"/>
      <c r="K1048466"/>
    </row>
    <row r="1048467" spans="10:11">
      <c r="J1048467"/>
      <c r="K1048467"/>
    </row>
    <row r="1048468" spans="10:11">
      <c r="J1048468"/>
      <c r="K1048468"/>
    </row>
    <row r="1048469" spans="10:11">
      <c r="J1048469"/>
      <c r="K1048469"/>
    </row>
    <row r="1048470" spans="10:11">
      <c r="J1048470"/>
      <c r="K1048470"/>
    </row>
    <row r="1048471" spans="10:11">
      <c r="J1048471"/>
      <c r="K1048471"/>
    </row>
    <row r="1048472" spans="10:11">
      <c r="J1048472"/>
      <c r="K1048472"/>
    </row>
    <row r="1048473" spans="10:11">
      <c r="J1048473"/>
      <c r="K1048473"/>
    </row>
    <row r="1048474" spans="10:11">
      <c r="J1048474"/>
      <c r="K1048474"/>
    </row>
    <row r="1048475" spans="10:11">
      <c r="J1048475"/>
      <c r="K1048475"/>
    </row>
    <row r="1048476" spans="10:11">
      <c r="J1048476"/>
      <c r="K1048476"/>
    </row>
    <row r="1048477" spans="10:11">
      <c r="J1048477"/>
      <c r="K1048477"/>
    </row>
    <row r="1048478" spans="10:11">
      <c r="J1048478"/>
      <c r="K1048478"/>
    </row>
    <row r="1048479" spans="10:11">
      <c r="J1048479"/>
      <c r="K1048479"/>
    </row>
    <row r="1048480" spans="10:11">
      <c r="J1048480"/>
      <c r="K1048480"/>
    </row>
    <row r="1048481" spans="10:11">
      <c r="J1048481"/>
      <c r="K1048481"/>
    </row>
    <row r="1048482" spans="10:11">
      <c r="J1048482"/>
      <c r="K1048482"/>
    </row>
    <row r="1048483" spans="10:11">
      <c r="J1048483"/>
      <c r="K1048483"/>
    </row>
    <row r="1048484" spans="10:11">
      <c r="J1048484"/>
      <c r="K1048484"/>
    </row>
    <row r="1048485" spans="10:11">
      <c r="J1048485"/>
      <c r="K1048485"/>
    </row>
    <row r="1048486" spans="10:11">
      <c r="J1048486"/>
      <c r="K1048486"/>
    </row>
    <row r="1048487" spans="10:11">
      <c r="J1048487"/>
      <c r="K1048487"/>
    </row>
    <row r="1048488" spans="10:11">
      <c r="J1048488"/>
      <c r="K1048488"/>
    </row>
    <row r="1048489" spans="10:11">
      <c r="J1048489"/>
      <c r="K1048489"/>
    </row>
    <row r="1048490" spans="10:11">
      <c r="J1048490"/>
      <c r="K1048490"/>
    </row>
    <row r="1048491" spans="10:11">
      <c r="J1048491"/>
      <c r="K1048491"/>
    </row>
    <row r="1048492" spans="10:11">
      <c r="J1048492"/>
      <c r="K1048492"/>
    </row>
    <row r="1048493" spans="10:11">
      <c r="J1048493"/>
      <c r="K1048493"/>
    </row>
    <row r="1048494" spans="10:11">
      <c r="J1048494"/>
      <c r="K1048494"/>
    </row>
    <row r="1048495" spans="10:11">
      <c r="J1048495"/>
      <c r="K1048495"/>
    </row>
    <row r="1048496" spans="10:11">
      <c r="J1048496"/>
      <c r="K1048496"/>
    </row>
    <row r="1048497" spans="10:11">
      <c r="J1048497"/>
      <c r="K1048497"/>
    </row>
    <row r="1048498" spans="10:11">
      <c r="J1048498"/>
      <c r="K1048498"/>
    </row>
    <row r="1048499" spans="10:11">
      <c r="J1048499"/>
      <c r="K1048499"/>
    </row>
    <row r="1048500" spans="10:11">
      <c r="J1048500"/>
      <c r="K1048500"/>
    </row>
    <row r="1048501" spans="10:11">
      <c r="J1048501"/>
      <c r="K1048501"/>
    </row>
    <row r="1048502" spans="10:11">
      <c r="J1048502"/>
      <c r="K1048502"/>
    </row>
    <row r="1048503" spans="10:11">
      <c r="J1048503"/>
      <c r="K1048503"/>
    </row>
    <row r="1048504" spans="10:11">
      <c r="J1048504"/>
      <c r="K1048504"/>
    </row>
    <row r="1048505" spans="10:11">
      <c r="J1048505"/>
      <c r="K1048505"/>
    </row>
    <row r="1048506" spans="10:11">
      <c r="J1048506"/>
      <c r="K1048506"/>
    </row>
    <row r="1048507" spans="10:11">
      <c r="J1048507"/>
      <c r="K1048507"/>
    </row>
    <row r="1048508" spans="10:11">
      <c r="J1048508"/>
      <c r="K1048508"/>
    </row>
    <row r="1048509" spans="10:11">
      <c r="J1048509"/>
      <c r="K1048509"/>
    </row>
    <row r="1048510" spans="10:11">
      <c r="J1048510"/>
      <c r="K1048510"/>
    </row>
    <row r="1048511" spans="10:11">
      <c r="J1048511"/>
      <c r="K1048511"/>
    </row>
    <row r="1048512" spans="10:11">
      <c r="J1048512"/>
      <c r="K1048512"/>
    </row>
    <row r="1048513" spans="10:11">
      <c r="J1048513"/>
      <c r="K1048513"/>
    </row>
    <row r="1048514" spans="10:11">
      <c r="J1048514"/>
      <c r="K1048514"/>
    </row>
    <row r="1048515" spans="10:11">
      <c r="J1048515"/>
      <c r="K1048515"/>
    </row>
    <row r="1048516" spans="10:11">
      <c r="J1048516"/>
      <c r="K1048516"/>
    </row>
    <row r="1048517" spans="10:11">
      <c r="J1048517"/>
      <c r="K1048517"/>
    </row>
    <row r="1048518" spans="10:11">
      <c r="J1048518"/>
      <c r="K1048518"/>
    </row>
    <row r="1048519" spans="10:11">
      <c r="J1048519"/>
      <c r="K1048519"/>
    </row>
    <row r="1048520" spans="10:11">
      <c r="J1048520"/>
      <c r="K1048520"/>
    </row>
    <row r="1048521" spans="10:11">
      <c r="J1048521"/>
      <c r="K1048521"/>
    </row>
    <row r="1048522" spans="10:11">
      <c r="J1048522"/>
      <c r="K1048522"/>
    </row>
    <row r="1048523" spans="10:11">
      <c r="J1048523"/>
      <c r="K1048523"/>
    </row>
    <row r="1048524" spans="10:11">
      <c r="J1048524"/>
      <c r="K1048524"/>
    </row>
    <row r="1048525" spans="10:11">
      <c r="J1048525"/>
      <c r="K1048525"/>
    </row>
    <row r="1048526" spans="10:11">
      <c r="J1048526"/>
      <c r="K1048526"/>
    </row>
    <row r="1048527" spans="10:11">
      <c r="J1048527"/>
      <c r="K1048527"/>
    </row>
    <row r="1048528" spans="10:11">
      <c r="J1048528"/>
      <c r="K1048528"/>
    </row>
    <row r="1048529" spans="10:11">
      <c r="J1048529"/>
      <c r="K1048529"/>
    </row>
    <row r="1048530" spans="10:11">
      <c r="J1048530"/>
      <c r="K1048530"/>
    </row>
    <row r="1048531" spans="10:11">
      <c r="J1048531"/>
      <c r="K1048531"/>
    </row>
    <row r="1048532" spans="10:11">
      <c r="J1048532"/>
      <c r="K1048532"/>
    </row>
    <row r="1048533" spans="10:11">
      <c r="J1048533"/>
      <c r="K1048533"/>
    </row>
    <row r="1048534" spans="10:11">
      <c r="J1048534"/>
      <c r="K1048534"/>
    </row>
    <row r="1048535" spans="10:11">
      <c r="J1048535"/>
      <c r="K1048535"/>
    </row>
    <row r="1048536" spans="10:11">
      <c r="J1048536"/>
      <c r="K1048536"/>
    </row>
    <row r="1048537" spans="10:11">
      <c r="J1048537"/>
      <c r="K1048537"/>
    </row>
    <row r="1048538" spans="10:11">
      <c r="J1048538"/>
      <c r="K1048538"/>
    </row>
    <row r="1048539" spans="10:11">
      <c r="J1048539"/>
      <c r="K1048539"/>
    </row>
    <row r="1048540" spans="10:11">
      <c r="J1048540"/>
      <c r="K1048540"/>
    </row>
    <row r="1048541" spans="10:11">
      <c r="J1048541"/>
      <c r="K1048541"/>
    </row>
    <row r="1048542" spans="10:11">
      <c r="J1048542"/>
      <c r="K1048542"/>
    </row>
    <row r="1048543" spans="10:11">
      <c r="J1048543"/>
      <c r="K1048543"/>
    </row>
    <row r="1048544" spans="10:11">
      <c r="J1048544"/>
      <c r="K1048544"/>
    </row>
    <row r="1048545" spans="10:11">
      <c r="J1048545"/>
      <c r="K1048545"/>
    </row>
    <row r="1048546" spans="10:11">
      <c r="J1048546"/>
      <c r="K1048546"/>
    </row>
    <row r="1048547" spans="10:11">
      <c r="J1048547"/>
      <c r="K1048547"/>
    </row>
    <row r="1048548" spans="10:11">
      <c r="J1048548"/>
      <c r="K1048548"/>
    </row>
    <row r="1048549" spans="10:11">
      <c r="J1048549"/>
      <c r="K1048549"/>
    </row>
    <row r="1048550" spans="10:11">
      <c r="J1048550"/>
      <c r="K1048550"/>
    </row>
    <row r="1048551" spans="10:11">
      <c r="J1048551"/>
      <c r="K1048551"/>
    </row>
    <row r="1048552" spans="10:11">
      <c r="J1048552"/>
      <c r="K1048552"/>
    </row>
    <row r="1048553" spans="10:11">
      <c r="J1048553"/>
      <c r="K1048553"/>
    </row>
    <row r="1048554" spans="10:11">
      <c r="J1048554"/>
      <c r="K1048554"/>
    </row>
    <row r="1048555" spans="10:11">
      <c r="J1048555"/>
      <c r="K1048555"/>
    </row>
    <row r="1048556" spans="10:11">
      <c r="J1048556"/>
      <c r="K1048556"/>
    </row>
    <row r="1048557" spans="10:11">
      <c r="J1048557"/>
      <c r="K1048557"/>
    </row>
    <row r="1048558" spans="10:11">
      <c r="J1048558"/>
      <c r="K1048558"/>
    </row>
    <row r="1048559" spans="10:11">
      <c r="J1048559"/>
      <c r="K1048559"/>
    </row>
    <row r="1048560" spans="10:11">
      <c r="J1048560"/>
      <c r="K1048560"/>
    </row>
    <row r="1048561" spans="10:11">
      <c r="J1048561"/>
      <c r="K1048561"/>
    </row>
    <row r="1048562" spans="10:11">
      <c r="J1048562"/>
      <c r="K1048562"/>
    </row>
    <row r="1048563" spans="10:11">
      <c r="J1048563"/>
      <c r="K1048563"/>
    </row>
    <row r="1048564" spans="10:11">
      <c r="J1048564"/>
      <c r="K1048564"/>
    </row>
    <row r="1048565" spans="10:11">
      <c r="J1048565"/>
      <c r="K1048565"/>
    </row>
    <row r="1048566" spans="10:11">
      <c r="J1048566"/>
      <c r="K1048566"/>
    </row>
    <row r="1048567" spans="10:11">
      <c r="J1048567"/>
      <c r="K1048567"/>
    </row>
    <row r="1048568" spans="10:11">
      <c r="J1048568"/>
      <c r="K1048568"/>
    </row>
    <row r="1048569" spans="10:11">
      <c r="J1048569"/>
      <c r="K1048569"/>
    </row>
    <row r="1048570" spans="10:11">
      <c r="J1048570"/>
      <c r="K1048570"/>
    </row>
    <row r="1048571" spans="10:11">
      <c r="J1048571"/>
      <c r="K1048571"/>
    </row>
    <row r="1048572" spans="10:11">
      <c r="J1048572"/>
      <c r="K1048572"/>
    </row>
    <row r="1048573" spans="10:11">
      <c r="J1048573"/>
      <c r="K1048573"/>
    </row>
    <row r="1048574" spans="10:11">
      <c r="J1048574"/>
      <c r="K1048574"/>
    </row>
    <row r="1048575" spans="10:11">
      <c r="J1048575"/>
      <c r="K1048575"/>
    </row>
    <row r="1048576" spans="10:11">
      <c r="J1048576"/>
      <c r="K1048576"/>
    </row>
  </sheetData>
  <mergeCells count="12">
    <mergeCell ref="J2:J3"/>
    <mergeCell ref="K2:K3"/>
    <mergeCell ref="A1:K1"/>
    <mergeCell ref="A2:A3"/>
    <mergeCell ref="B2:B3"/>
    <mergeCell ref="C2:C3"/>
    <mergeCell ref="D2:D3"/>
    <mergeCell ref="E2:E3"/>
    <mergeCell ref="F2:F3"/>
    <mergeCell ref="G2:G3"/>
    <mergeCell ref="H2:H3"/>
    <mergeCell ref="I2:I3"/>
  </mergeCells>
  <phoneticPr fontId="1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125" defaultRowHeight="14.25"/>
  <cols>
    <col min="1" max="1" width="12.125" style="1821" customWidth="1"/>
    <col min="2" max="2" width="10.1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125" style="1821"/>
  </cols>
  <sheetData>
    <row r="1" spans="1:16" ht="19.5" thickBot="1">
      <c r="A1" s="1820" t="s">
        <v>1793</v>
      </c>
      <c r="B1" s="1298"/>
      <c r="C1" s="1298"/>
      <c r="D1" s="1298"/>
      <c r="E1" s="1298"/>
      <c r="F1" s="1298"/>
      <c r="G1" s="1298"/>
      <c r="H1" s="1298"/>
      <c r="I1" s="1298"/>
      <c r="J1" s="1298"/>
      <c r="K1" s="1298"/>
      <c r="L1" s="1298"/>
      <c r="M1" s="1298"/>
      <c r="N1" s="1298"/>
      <c r="O1" s="1298"/>
      <c r="P1" s="1298"/>
    </row>
    <row r="2" spans="1:16" ht="15">
      <c r="A2" s="3194" t="s">
        <v>1794</v>
      </c>
      <c r="B2" s="3194"/>
      <c r="C2" s="3194"/>
      <c r="D2" s="901" t="s">
        <v>1770</v>
      </c>
      <c r="E2" s="1822" t="s">
        <v>1771</v>
      </c>
      <c r="F2" s="2883"/>
      <c r="G2" s="2874"/>
      <c r="H2" s="2875"/>
      <c r="I2" s="2545" t="s">
        <v>1795</v>
      </c>
      <c r="J2" s="2883"/>
      <c r="K2" s="2883"/>
      <c r="L2" s="2883"/>
      <c r="M2" s="2883"/>
      <c r="N2" s="2885"/>
      <c r="O2" s="2883"/>
      <c r="P2" s="2883"/>
    </row>
    <row r="3" spans="1:16" ht="15.75" thickBot="1">
      <c r="A3" s="3195" t="s">
        <v>1768</v>
      </c>
      <c r="B3" s="3195"/>
      <c r="C3" s="3195"/>
      <c r="D3" s="43">
        <f>'数据-基础表'!AY6</f>
        <v>71942</v>
      </c>
      <c r="E3" s="43">
        <f>'数据-基础表'!AZ5</f>
        <v>125203.41</v>
      </c>
      <c r="F3" s="2883"/>
      <c r="G3" s="1304"/>
      <c r="H3" s="1154" t="s">
        <v>1769</v>
      </c>
      <c r="I3" s="961">
        <f>ROUND('数据-基础表'!B3/'数据-基础表'!A3,2)</f>
        <v>1.74</v>
      </c>
      <c r="J3" s="2883"/>
      <c r="K3" s="2883"/>
      <c r="L3" s="2883"/>
      <c r="M3" s="2883"/>
      <c r="N3" s="2885"/>
      <c r="O3" s="2883"/>
      <c r="P3" s="2883"/>
    </row>
    <row r="4" spans="1:16" ht="15">
      <c r="A4" s="3196"/>
      <c r="B4" s="3197"/>
      <c r="C4" s="3198"/>
      <c r="D4" s="1824" t="s">
        <v>1770</v>
      </c>
      <c r="E4" s="1825" t="s">
        <v>1771</v>
      </c>
      <c r="F4" s="2883"/>
      <c r="G4" s="2876" t="s">
        <v>1796</v>
      </c>
      <c r="H4" s="1154" t="s">
        <v>1776</v>
      </c>
      <c r="I4" s="961">
        <f>ROUND(SUMIF('数据-基础表'!I9:AS9,"地上",'数据-基础表'!I5:AS5)/'数据-基础表'!A3,2)</f>
        <v>0.97</v>
      </c>
      <c r="J4" s="2883"/>
      <c r="K4" s="2883"/>
      <c r="L4" s="2883"/>
      <c r="M4" s="2883"/>
      <c r="N4" s="2885"/>
      <c r="O4" s="2883"/>
      <c r="P4" s="2883"/>
    </row>
    <row r="5" spans="1:16">
      <c r="A5" s="44" t="s">
        <v>1772</v>
      </c>
      <c r="B5" s="3199" t="s">
        <v>1773</v>
      </c>
      <c r="C5" s="3199"/>
      <c r="D5" s="45">
        <f>ROUND($D$3*E5/$E$3,2)</f>
        <v>39165.629999999997</v>
      </c>
      <c r="E5" s="46">
        <f>SUMIF('数据-基础表'!$11:$11,"住宅",'数据-基础表'!$5:$5)</f>
        <v>68161.440000000002</v>
      </c>
      <c r="F5" s="2883"/>
      <c r="G5" s="1304"/>
      <c r="H5" s="1154" t="s">
        <v>1769</v>
      </c>
      <c r="I5" s="961">
        <f>ROUND(E31/D31,2)</f>
        <v>1.74</v>
      </c>
      <c r="J5" s="2883"/>
      <c r="K5" s="2883"/>
      <c r="L5" s="2883"/>
      <c r="M5" s="2883"/>
      <c r="N5" s="2883"/>
      <c r="O5" s="2883"/>
      <c r="P5" s="2883"/>
    </row>
    <row r="6" spans="1:16" ht="15" thickBot="1">
      <c r="A6" s="1827"/>
      <c r="B6" s="3199" t="s">
        <v>1774</v>
      </c>
      <c r="C6" s="3199"/>
      <c r="D6" s="45">
        <f>ROUND($D$3*E6/$E$3,2)</f>
        <v>32776.370000000003</v>
      </c>
      <c r="E6" s="46">
        <f>E3-E5</f>
        <v>57041.97</v>
      </c>
      <c r="F6" s="2883"/>
      <c r="G6" s="2877" t="s">
        <v>1775</v>
      </c>
      <c r="H6" s="1305" t="s">
        <v>1776</v>
      </c>
      <c r="I6" s="2878">
        <f>ROUND(F31/D31,2)</f>
        <v>0.97</v>
      </c>
      <c r="J6" s="2883"/>
      <c r="K6" s="2883"/>
      <c r="L6" s="2883"/>
      <c r="M6" s="2883"/>
      <c r="N6" s="2883"/>
      <c r="O6" s="2883"/>
      <c r="P6" s="2883"/>
    </row>
    <row r="7" spans="1:16" ht="15.75" thickBot="1">
      <c r="A7" s="3191"/>
      <c r="B7" s="3192"/>
      <c r="C7" s="3193"/>
      <c r="D7" s="1824" t="s">
        <v>1770</v>
      </c>
      <c r="E7" s="1828" t="s">
        <v>1777</v>
      </c>
      <c r="F7" s="2883"/>
      <c r="G7" s="2879" t="s">
        <v>1778</v>
      </c>
      <c r="H7" s="2880"/>
      <c r="I7" s="2881"/>
      <c r="J7" s="2883"/>
      <c r="K7" s="2883"/>
      <c r="L7" s="2883"/>
      <c r="M7" s="2883"/>
      <c r="N7" s="2883"/>
      <c r="O7" s="2883"/>
      <c r="P7" s="2883"/>
    </row>
    <row r="8" spans="1:16">
      <c r="A8" s="44" t="s">
        <v>1779</v>
      </c>
      <c r="B8" s="47" t="s">
        <v>1780</v>
      </c>
      <c r="C8" s="45" t="s">
        <v>1781</v>
      </c>
      <c r="D8" s="45">
        <f t="shared" ref="D8:D15" si="0">ROUND($D$3*E8/$E$3,2)</f>
        <v>39165.629999999997</v>
      </c>
      <c r="E8" s="48">
        <f>SUMIF('数据-基础表'!BB10:BK10,"地上",'数据-基础表'!BB5:BK5)</f>
        <v>68161.440000000002</v>
      </c>
      <c r="F8" s="2883"/>
      <c r="G8" s="2884"/>
      <c r="H8" s="2884"/>
      <c r="I8" s="2883"/>
      <c r="J8" s="2883"/>
      <c r="K8" s="2883"/>
      <c r="L8" s="2883"/>
      <c r="M8" s="2883"/>
      <c r="N8" s="2883"/>
      <c r="O8" s="2883"/>
      <c r="P8" s="2883"/>
    </row>
    <row r="9" spans="1:16">
      <c r="A9" s="1829"/>
      <c r="B9" s="1830"/>
      <c r="C9" s="45" t="s">
        <v>1782</v>
      </c>
      <c r="D9" s="45">
        <f t="shared" si="0"/>
        <v>0</v>
      </c>
      <c r="E9" s="49">
        <v>0</v>
      </c>
      <c r="F9" s="2883"/>
      <c r="G9" s="2884"/>
      <c r="H9" s="2884"/>
      <c r="I9" s="2883"/>
      <c r="J9" s="2883"/>
      <c r="K9" s="2883"/>
      <c r="L9" s="2883"/>
      <c r="M9" s="2883"/>
      <c r="N9" s="2883"/>
      <c r="O9" s="2883"/>
      <c r="P9" s="2883"/>
    </row>
    <row r="10" spans="1:16">
      <c r="A10" s="1829"/>
      <c r="B10" s="1830"/>
      <c r="C10" s="45" t="s">
        <v>1791</v>
      </c>
      <c r="D10" s="45">
        <f t="shared" si="0"/>
        <v>0</v>
      </c>
      <c r="E10" s="48">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5" t="s">
        <v>1783</v>
      </c>
      <c r="D11" s="45">
        <f t="shared" si="0"/>
        <v>0</v>
      </c>
      <c r="E11" s="48">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5" t="s">
        <v>1784</v>
      </c>
      <c r="D12" s="45">
        <f t="shared" si="0"/>
        <v>0</v>
      </c>
      <c r="E12" s="48">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5" t="s">
        <v>1785</v>
      </c>
      <c r="D13" s="45">
        <f t="shared" si="0"/>
        <v>0</v>
      </c>
      <c r="E13" s="48">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5" t="s">
        <v>1797</v>
      </c>
      <c r="D14" s="45">
        <f t="shared" si="0"/>
        <v>0</v>
      </c>
      <c r="E14" s="48">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5" t="s">
        <v>1792</v>
      </c>
      <c r="D15" s="45">
        <f t="shared" si="0"/>
        <v>0</v>
      </c>
      <c r="E15" s="48">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47" t="s">
        <v>1786</v>
      </c>
      <c r="D16" s="47">
        <f>SUM(D8:D15)</f>
        <v>39165.629999999997</v>
      </c>
      <c r="E16" s="50">
        <f>SUM(E8:E15)</f>
        <v>68161.440000000002</v>
      </c>
      <c r="F16" s="2883"/>
      <c r="G16" s="2884"/>
      <c r="H16" s="1831" t="s">
        <v>1798</v>
      </c>
      <c r="I16" s="1832"/>
      <c r="J16" s="1298"/>
      <c r="K16" s="3188" t="s">
        <v>1798</v>
      </c>
      <c r="L16" s="3189"/>
      <c r="M16" s="3189"/>
      <c r="N16" s="3189"/>
      <c r="O16" s="3189"/>
      <c r="P16" s="3190"/>
    </row>
    <row r="17" spans="1:19" ht="15">
      <c r="A17" s="1833" t="s">
        <v>1799</v>
      </c>
      <c r="B17" s="1834" t="s">
        <v>1800</v>
      </c>
      <c r="C17" s="1835" t="s">
        <v>1801</v>
      </c>
      <c r="D17" s="1836" t="s">
        <v>1789</v>
      </c>
      <c r="E17" s="1837" t="s">
        <v>1790</v>
      </c>
      <c r="F17" s="1838"/>
      <c r="G17" s="1839"/>
      <c r="H17" s="1840" t="s">
        <v>1802</v>
      </c>
      <c r="I17" s="1841" t="s">
        <v>1787</v>
      </c>
      <c r="J17" s="1298"/>
      <c r="K17" s="3185" t="s">
        <v>1803</v>
      </c>
      <c r="L17" s="3186"/>
      <c r="M17" s="3187"/>
      <c r="N17" s="3185" t="s">
        <v>1804</v>
      </c>
      <c r="O17" s="3186"/>
      <c r="P17" s="3187"/>
      <c r="R17" s="1823" t="s">
        <v>1805</v>
      </c>
      <c r="S17" s="57"/>
    </row>
    <row r="18" spans="1:19" ht="15">
      <c r="A18" s="1829"/>
      <c r="B18" s="1842"/>
      <c r="C18" s="1843"/>
      <c r="D18" s="1844"/>
      <c r="E18" s="1845" t="s">
        <v>1806</v>
      </c>
      <c r="F18" s="1846" t="s">
        <v>1807</v>
      </c>
      <c r="G18" s="1847" t="s">
        <v>1808</v>
      </c>
      <c r="H18" s="1169" t="s">
        <v>1809</v>
      </c>
      <c r="I18" s="1848" t="s">
        <v>1810</v>
      </c>
      <c r="J18" s="1298"/>
      <c r="K18" s="1169" t="s">
        <v>1811</v>
      </c>
      <c r="L18" s="1849" t="s">
        <v>1812</v>
      </c>
      <c r="M18" s="961" t="s">
        <v>1813</v>
      </c>
      <c r="N18" s="1169" t="s">
        <v>1811</v>
      </c>
      <c r="O18" s="1849" t="s">
        <v>1812</v>
      </c>
      <c r="P18" s="961" t="s">
        <v>1813</v>
      </c>
      <c r="R18" s="1154" t="s">
        <v>1814</v>
      </c>
      <c r="S18" s="1154" t="s">
        <v>1815</v>
      </c>
    </row>
    <row r="19" spans="1:19">
      <c r="A19" s="1850"/>
      <c r="B19" s="47" t="s">
        <v>1788</v>
      </c>
      <c r="C19" s="3075" t="s">
        <v>3315</v>
      </c>
      <c r="D19" s="45">
        <f>ROUND($D$3*E19/$E$3,2)</f>
        <v>13685.13</v>
      </c>
      <c r="E19" s="53">
        <f t="shared" ref="E19:E26" si="1">SUM(F19:G19)</f>
        <v>23816.76</v>
      </c>
      <c r="F19" s="3023">
        <f>'06地块指标'!D5</f>
        <v>23816.76</v>
      </c>
      <c r="G19" s="3024"/>
      <c r="H19" s="676">
        <f>ROUND($D$3*I19/$E$3,2)</f>
        <v>11084.29</v>
      </c>
      <c r="I19" s="48">
        <f t="shared" ref="I19:I26" si="2">IF($I$17="自定义",P19,M19)</f>
        <v>19290.41</v>
      </c>
      <c r="J19" s="1298"/>
      <c r="K19" s="1297">
        <f t="shared" ref="K19:K26" si="3">ROUND(E$28*E19/E$27,2)</f>
        <v>19290.41</v>
      </c>
      <c r="L19" s="1154">
        <f t="shared" ref="L19:L26" si="4">ROUND(IF(COUNTIF(C19,"*住宅*")&gt;0,E$29*E19/E$32,0),2)</f>
        <v>0</v>
      </c>
      <c r="M19" s="1309">
        <f>K19+L19</f>
        <v>19290.41</v>
      </c>
      <c r="N19" s="1851"/>
      <c r="O19" s="1852"/>
      <c r="P19" s="1309">
        <f>N19+O19</f>
        <v>0</v>
      </c>
      <c r="R19" s="1154">
        <f t="shared" ref="R19:S26" si="5">D19+H19</f>
        <v>24769.42</v>
      </c>
      <c r="S19" s="1155">
        <f t="shared" si="5"/>
        <v>43107.17</v>
      </c>
    </row>
    <row r="20" spans="1:19">
      <c r="A20" s="1853"/>
      <c r="B20" s="47" t="s">
        <v>1816</v>
      </c>
      <c r="C20" s="3075" t="s">
        <v>3317</v>
      </c>
      <c r="D20" s="45">
        <f t="shared" ref="D20:D26" si="6">ROUND($D$3*E20/$E$3,2)</f>
        <v>2617.25</v>
      </c>
      <c r="E20" s="53">
        <f t="shared" si="1"/>
        <v>4554.8999999999996</v>
      </c>
      <c r="F20" s="3023">
        <f>'06地块指标'!D6</f>
        <v>4554.8999999999996</v>
      </c>
      <c r="G20" s="3024"/>
      <c r="H20" s="676">
        <f t="shared" ref="H20:H26" si="7">ROUND($D$3*I20/$E$3,2)</f>
        <v>2119.85</v>
      </c>
      <c r="I20" s="48">
        <f t="shared" si="2"/>
        <v>3689.25</v>
      </c>
      <c r="J20" s="1298"/>
      <c r="K20" s="1297">
        <f t="shared" si="3"/>
        <v>3689.25</v>
      </c>
      <c r="L20" s="1154">
        <f t="shared" si="4"/>
        <v>0</v>
      </c>
      <c r="M20" s="1309">
        <f t="shared" ref="M20:M26" si="8">K20+L20</f>
        <v>3689.25</v>
      </c>
      <c r="N20" s="1851"/>
      <c r="O20" s="1852"/>
      <c r="P20" s="1309">
        <f t="shared" ref="P20:P26" si="9">N20+O20</f>
        <v>0</v>
      </c>
      <c r="R20" s="1154">
        <f t="shared" si="5"/>
        <v>4737.1000000000004</v>
      </c>
      <c r="S20" s="1155">
        <f t="shared" si="5"/>
        <v>8244.15</v>
      </c>
    </row>
    <row r="21" spans="1:19">
      <c r="A21" s="1853"/>
      <c r="B21" s="47" t="s">
        <v>1816</v>
      </c>
      <c r="C21" s="3075" t="s">
        <v>3319</v>
      </c>
      <c r="D21" s="45">
        <f t="shared" si="6"/>
        <v>19618.98</v>
      </c>
      <c r="E21" s="53">
        <f t="shared" si="1"/>
        <v>34143.660000000003</v>
      </c>
      <c r="F21" s="3023">
        <f>'06地块指标'!D7</f>
        <v>34143.660000000003</v>
      </c>
      <c r="G21" s="3024"/>
      <c r="H21" s="676">
        <f t="shared" si="7"/>
        <v>15890.41</v>
      </c>
      <c r="I21" s="48">
        <f t="shared" si="2"/>
        <v>27654.69</v>
      </c>
      <c r="J21" s="1298"/>
      <c r="K21" s="1297">
        <f t="shared" si="3"/>
        <v>27654.69</v>
      </c>
      <c r="L21" s="1154">
        <f t="shared" si="4"/>
        <v>0</v>
      </c>
      <c r="M21" s="1309">
        <f t="shared" si="8"/>
        <v>27654.69</v>
      </c>
      <c r="N21" s="1851"/>
      <c r="O21" s="1852"/>
      <c r="P21" s="1309">
        <f t="shared" si="9"/>
        <v>0</v>
      </c>
      <c r="R21" s="1154">
        <f t="shared" si="5"/>
        <v>35509.39</v>
      </c>
      <c r="S21" s="1155">
        <f t="shared" si="5"/>
        <v>61798.350000000006</v>
      </c>
    </row>
    <row r="22" spans="1:19">
      <c r="A22" s="1853"/>
      <c r="B22" s="47" t="s">
        <v>1816</v>
      </c>
      <c r="C22" s="3091" t="s">
        <v>3321</v>
      </c>
      <c r="D22" s="45">
        <f t="shared" si="6"/>
        <v>3244.27</v>
      </c>
      <c r="E22" s="53">
        <f t="shared" si="1"/>
        <v>5646.12</v>
      </c>
      <c r="F22" s="3025">
        <f>'06地块指标'!D8</f>
        <v>5646.12</v>
      </c>
      <c r="G22" s="3026"/>
      <c r="H22" s="676">
        <f t="shared" si="7"/>
        <v>2627.7</v>
      </c>
      <c r="I22" s="48">
        <f t="shared" si="2"/>
        <v>4573.08</v>
      </c>
      <c r="J22" s="1298"/>
      <c r="K22" s="1297">
        <f t="shared" si="3"/>
        <v>4573.08</v>
      </c>
      <c r="L22" s="1154">
        <f t="shared" si="4"/>
        <v>0</v>
      </c>
      <c r="M22" s="1309">
        <f t="shared" si="8"/>
        <v>4573.08</v>
      </c>
      <c r="N22" s="1851"/>
      <c r="O22" s="1852"/>
      <c r="P22" s="1309">
        <f t="shared" si="9"/>
        <v>0</v>
      </c>
      <c r="R22" s="1154">
        <f t="shared" si="5"/>
        <v>5871.9699999999993</v>
      </c>
      <c r="S22" s="1155">
        <f t="shared" si="5"/>
        <v>10219.200000000001</v>
      </c>
    </row>
    <row r="23" spans="1:19">
      <c r="A23" s="1853"/>
      <c r="B23" s="47" t="s">
        <v>1816</v>
      </c>
      <c r="C23" s="55"/>
      <c r="D23" s="45">
        <f>ROUND($D$3*E23/$E$3,2)</f>
        <v>0</v>
      </c>
      <c r="E23" s="53">
        <f>SUM(F23:G23)</f>
        <v>0</v>
      </c>
      <c r="F23" s="3025"/>
      <c r="G23" s="3026"/>
      <c r="H23" s="676">
        <f>ROUND($D$3*I23/$E$3,2)</f>
        <v>0</v>
      </c>
      <c r="I23" s="48">
        <f t="shared" si="2"/>
        <v>0</v>
      </c>
      <c r="J23" s="1298"/>
      <c r="K23" s="1297">
        <f t="shared" si="3"/>
        <v>0</v>
      </c>
      <c r="L23" s="1154">
        <f t="shared" si="4"/>
        <v>0</v>
      </c>
      <c r="M23" s="1309">
        <f t="shared" si="8"/>
        <v>0</v>
      </c>
      <c r="N23" s="1851"/>
      <c r="O23" s="1852"/>
      <c r="P23" s="1309">
        <f t="shared" si="9"/>
        <v>0</v>
      </c>
      <c r="R23" s="1154">
        <f t="shared" si="5"/>
        <v>0</v>
      </c>
      <c r="S23" s="1155">
        <f t="shared" si="5"/>
        <v>0</v>
      </c>
    </row>
    <row r="24" spans="1:19">
      <c r="A24" s="1853"/>
      <c r="B24" s="47" t="s">
        <v>1816</v>
      </c>
      <c r="C24" s="55"/>
      <c r="D24" s="45">
        <f>ROUND($D$3*E24/$E$3,2)</f>
        <v>0</v>
      </c>
      <c r="E24" s="53">
        <f>SUM(F24:G24)</f>
        <v>0</v>
      </c>
      <c r="F24" s="3025"/>
      <c r="G24" s="3026"/>
      <c r="H24" s="676">
        <f>ROUND($D$3*I24/$E$3,2)</f>
        <v>0</v>
      </c>
      <c r="I24" s="48">
        <f t="shared" si="2"/>
        <v>0</v>
      </c>
      <c r="J24" s="1298"/>
      <c r="K24" s="1297">
        <f t="shared" si="3"/>
        <v>0</v>
      </c>
      <c r="L24" s="1154">
        <f t="shared" si="4"/>
        <v>0</v>
      </c>
      <c r="M24" s="1309">
        <f t="shared" si="8"/>
        <v>0</v>
      </c>
      <c r="N24" s="1851"/>
      <c r="O24" s="1852"/>
      <c r="P24" s="1309">
        <f t="shared" si="9"/>
        <v>0</v>
      </c>
      <c r="R24" s="1154">
        <f t="shared" si="5"/>
        <v>0</v>
      </c>
      <c r="S24" s="1155">
        <f t="shared" si="5"/>
        <v>0</v>
      </c>
    </row>
    <row r="25" spans="1:19">
      <c r="A25" s="1853"/>
      <c r="B25" s="47" t="s">
        <v>1816</v>
      </c>
      <c r="C25" s="55"/>
      <c r="D25" s="45">
        <f t="shared" si="6"/>
        <v>0</v>
      </c>
      <c r="E25" s="53">
        <f t="shared" si="1"/>
        <v>0</v>
      </c>
      <c r="F25" s="3025"/>
      <c r="G25" s="3026"/>
      <c r="H25" s="44">
        <f t="shared" si="7"/>
        <v>0</v>
      </c>
      <c r="I25" s="48">
        <f t="shared" si="2"/>
        <v>0</v>
      </c>
      <c r="J25" s="1298"/>
      <c r="K25" s="1297">
        <f t="shared" si="3"/>
        <v>0</v>
      </c>
      <c r="L25" s="1154">
        <f t="shared" si="4"/>
        <v>0</v>
      </c>
      <c r="M25" s="1309">
        <f t="shared" si="8"/>
        <v>0</v>
      </c>
      <c r="N25" s="1851"/>
      <c r="O25" s="1852"/>
      <c r="P25" s="1309">
        <f t="shared" si="9"/>
        <v>0</v>
      </c>
      <c r="R25" s="1154">
        <f t="shared" si="5"/>
        <v>0</v>
      </c>
      <c r="S25" s="1155">
        <f t="shared" si="5"/>
        <v>0</v>
      </c>
    </row>
    <row r="26" spans="1:19">
      <c r="A26" s="1853"/>
      <c r="B26" s="47" t="s">
        <v>1816</v>
      </c>
      <c r="C26" s="56"/>
      <c r="D26" s="45">
        <f t="shared" si="6"/>
        <v>0</v>
      </c>
      <c r="E26" s="53">
        <f t="shared" si="1"/>
        <v>0</v>
      </c>
      <c r="F26" s="3025"/>
      <c r="G26" s="3026"/>
      <c r="H26" s="44">
        <f t="shared" si="7"/>
        <v>0</v>
      </c>
      <c r="I26" s="48">
        <f t="shared" si="2"/>
        <v>0</v>
      </c>
      <c r="J26" s="1298"/>
      <c r="K26" s="1304">
        <f t="shared" si="3"/>
        <v>0</v>
      </c>
      <c r="L26" s="1305">
        <f t="shared" si="4"/>
        <v>0</v>
      </c>
      <c r="M26" s="60">
        <f t="shared" si="8"/>
        <v>0</v>
      </c>
      <c r="N26" s="1854"/>
      <c r="O26" s="1855"/>
      <c r="P26" s="60">
        <f t="shared" si="9"/>
        <v>0</v>
      </c>
      <c r="R26" s="1154">
        <f t="shared" si="5"/>
        <v>0</v>
      </c>
      <c r="S26" s="1155">
        <f t="shared" si="5"/>
        <v>0</v>
      </c>
    </row>
    <row r="27" spans="1:19" ht="43.5" thickBot="1">
      <c r="A27" s="1853"/>
      <c r="B27" s="45"/>
      <c r="C27" s="1856" t="s">
        <v>1817</v>
      </c>
      <c r="D27" s="1299">
        <f>SUM(D19:D26)</f>
        <v>39165.629999999997</v>
      </c>
      <c r="E27" s="1300">
        <f>IF(SUM(E19:E26)='数据-基础表'!BA5,SUM(E19:E26),IF(F27="地上面积有误","面积有误","地下面积有误"))</f>
        <v>68161.440000000002</v>
      </c>
      <c r="F27" s="1299">
        <f>IF(SUM(F19:F26)=E8,SUM(F19:F26),"地上面积有误")</f>
        <v>68161.440000000002</v>
      </c>
      <c r="G27" s="1301">
        <f>SUM(G19:G26)</f>
        <v>0</v>
      </c>
      <c r="H27" s="1302">
        <f>SUM(H19:H26)</f>
        <v>31722.250000000004</v>
      </c>
      <c r="I27" s="1303">
        <f>SUM(I19:I26)</f>
        <v>55207.43</v>
      </c>
      <c r="J27" s="1298"/>
      <c r="K27" s="1306">
        <f>SUM(K19:K26)</f>
        <v>55207.43</v>
      </c>
      <c r="L27" s="1307">
        <f>SUM(L19:L26)</f>
        <v>0</v>
      </c>
      <c r="M27" s="1310">
        <f>SUM(M19:M26)</f>
        <v>55207.43</v>
      </c>
      <c r="N27" s="1306">
        <f t="shared" ref="N27:O27" si="10">SUM(N19:N26)</f>
        <v>0</v>
      </c>
      <c r="O27" s="1307">
        <f t="shared" si="10"/>
        <v>0</v>
      </c>
      <c r="P27" s="1308">
        <f>SUM(P19:P26)</f>
        <v>0</v>
      </c>
      <c r="R27" s="1156" t="str">
        <f>IF(SUM(R19:R26)=$D$3,SUM(R19:R26),SUM(R19:R26)&amp;"误差"&amp;ROUND(SUM(R19:R26)-$D$3,2))</f>
        <v>70887.88误差-1054.12</v>
      </c>
      <c r="S27" s="1154" t="str">
        <f>IF(SUM(S19:S26)=$E$3,SUM(S19:S26),SUM(S19:S26)&amp;"误差"&amp;ROUND(SUM(S19:S26)-E3,2))</f>
        <v>123368.87误差-1834.54</v>
      </c>
    </row>
    <row r="28" spans="1:19">
      <c r="A28" s="1853"/>
      <c r="B28" s="47" t="s">
        <v>1818</v>
      </c>
      <c r="C28" s="1166" t="s">
        <v>1819</v>
      </c>
      <c r="D28" s="45">
        <f>ROUND($D$3*E28/$E$3,2)</f>
        <v>31722.240000000002</v>
      </c>
      <c r="E28" s="53">
        <f>SUM(F28:G28)</f>
        <v>55207.43</v>
      </c>
      <c r="F28" s="57">
        <f>'数据-基础表'!BQ5+'数据-基础表'!BS5</f>
        <v>0</v>
      </c>
      <c r="G28" s="58">
        <f>'数据-基础表'!BR5+'数据-基础表'!BT5</f>
        <v>55207.43</v>
      </c>
      <c r="H28" s="2883"/>
      <c r="I28" s="2883"/>
      <c r="J28" s="2883"/>
      <c r="K28" s="2883"/>
      <c r="L28" s="2883"/>
      <c r="M28" s="2883"/>
      <c r="N28" s="2883"/>
      <c r="O28" s="2883"/>
      <c r="P28" s="2883"/>
    </row>
    <row r="29" spans="1:19">
      <c r="A29" s="1853"/>
      <c r="B29" s="47" t="s">
        <v>1818</v>
      </c>
      <c r="C29" s="1857" t="s">
        <v>1820</v>
      </c>
      <c r="D29" s="45">
        <f>ROUND($D$3*E29/$E$3,2)</f>
        <v>1054.1300000000001</v>
      </c>
      <c r="E29" s="53">
        <f>SUM(F29:G29)</f>
        <v>1834.54</v>
      </c>
      <c r="F29" s="59">
        <f>'数据-基础表'!BM5+'数据-基础表'!BO5</f>
        <v>1834.54</v>
      </c>
      <c r="G29" s="60">
        <f>'数据-基础表'!BN5+'数据-基础表'!BP5</f>
        <v>0</v>
      </c>
      <c r="H29" s="2883"/>
      <c r="I29" s="2883"/>
      <c r="J29" s="2883"/>
      <c r="K29" s="2883"/>
      <c r="L29" s="2883"/>
      <c r="M29" s="2883"/>
      <c r="N29" s="2883"/>
      <c r="O29" s="2883"/>
      <c r="P29" s="2883"/>
    </row>
    <row r="30" spans="1:19" ht="15">
      <c r="A30" s="1853"/>
      <c r="B30" s="47"/>
      <c r="C30" s="1858" t="s">
        <v>1817</v>
      </c>
      <c r="D30" s="1299">
        <f>SUM(D28:D29)</f>
        <v>32776.370000000003</v>
      </c>
      <c r="E30" s="1299">
        <f>SUM(E28:E29)</f>
        <v>57041.97</v>
      </c>
      <c r="F30" s="1299">
        <f>SUM(F28:F29)</f>
        <v>1834.54</v>
      </c>
      <c r="G30" s="1301">
        <f>SUM(G28:G29)</f>
        <v>55207.43</v>
      </c>
      <c r="H30" s="2883"/>
      <c r="I30" s="2883"/>
      <c r="J30" s="2883"/>
      <c r="K30" s="2883"/>
      <c r="L30" s="2883"/>
      <c r="M30" s="2883"/>
      <c r="N30" s="2883"/>
      <c r="O30" s="2883"/>
      <c r="P30" s="2883"/>
    </row>
    <row r="31" spans="1:19" ht="15.75" thickBot="1">
      <c r="A31" s="1859"/>
      <c r="B31" s="1860"/>
      <c r="C31" s="941" t="s">
        <v>1821</v>
      </c>
      <c r="D31" s="682">
        <f>D27+D30</f>
        <v>71942</v>
      </c>
      <c r="E31" s="682">
        <f>E27+E30</f>
        <v>125203.41</v>
      </c>
      <c r="F31" s="683">
        <f>F27+F30</f>
        <v>69995.98</v>
      </c>
      <c r="G31" s="684">
        <f>G27+G30</f>
        <v>55207.43</v>
      </c>
      <c r="H31" s="2883"/>
      <c r="I31" s="2883"/>
      <c r="J31" s="2883"/>
      <c r="K31" s="2883"/>
      <c r="L31" s="2883"/>
      <c r="M31" s="2883"/>
      <c r="N31" s="2883"/>
      <c r="O31" s="2883"/>
      <c r="P31" s="2883"/>
    </row>
    <row r="32" spans="1:19">
      <c r="A32" s="1826"/>
      <c r="B32" s="1826" t="s">
        <v>1822</v>
      </c>
      <c r="C32" s="1826"/>
      <c r="D32" s="1826"/>
      <c r="E32" s="1181">
        <f>SUMIF(C19:C26,"*住宅*",E19:E26)</f>
        <v>0</v>
      </c>
      <c r="F32" s="1826"/>
      <c r="G32" s="1826"/>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N9"/>
    </sheetView>
  </sheetViews>
  <sheetFormatPr defaultColWidth="13.875" defaultRowHeight="12.75"/>
  <cols>
    <col min="1" max="1" width="20.875" style="1928" customWidth="1"/>
    <col min="2" max="2" width="12" style="1865" customWidth="1"/>
    <col min="3" max="3" width="12.8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875" style="1865" customWidth="1"/>
    <col min="31" max="31" width="8" style="1865" customWidth="1"/>
    <col min="32" max="34" width="7.125" style="1865" customWidth="1"/>
    <col min="35" max="39" width="8" style="1865" customWidth="1"/>
    <col min="40" max="40" width="13.875" style="1864"/>
    <col min="41" max="41" width="11.625" style="1864" customWidth="1"/>
    <col min="42" max="42" width="9.875" style="1864" customWidth="1"/>
    <col min="43" max="67" width="13.875" style="1864"/>
    <col min="68" max="16384" width="13.875" style="1865"/>
  </cols>
  <sheetData>
    <row r="1" spans="1:67" ht="19.5" thickBot="1">
      <c r="A1" s="1862" t="s">
        <v>1823</v>
      </c>
      <c r="B1" s="685"/>
      <c r="C1" s="1350"/>
      <c r="D1" s="1863"/>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2" customFormat="1" ht="15.75" thickBot="1">
      <c r="A2" s="1866" t="s">
        <v>1824</v>
      </c>
      <c r="B2" s="1173">
        <f>项目基本情况!D3</f>
        <v>44236</v>
      </c>
      <c r="C2" s="1867"/>
      <c r="D2" s="1868"/>
      <c r="E2" s="1867"/>
      <c r="F2" s="1867"/>
      <c r="G2" s="1867"/>
      <c r="H2" s="1867"/>
      <c r="I2" s="1867"/>
      <c r="J2" s="1867"/>
      <c r="K2" s="1327"/>
      <c r="L2" s="1327"/>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7"/>
      <c r="L3" s="1327"/>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1" t="s">
        <v>1825</v>
      </c>
      <c r="B4" s="1871"/>
      <c r="C4" s="1872"/>
      <c r="D4" s="1873"/>
      <c r="E4" s="1872" t="s">
        <v>1826</v>
      </c>
      <c r="F4" s="1872"/>
      <c r="G4" s="1872"/>
      <c r="H4" s="1872"/>
      <c r="I4" s="1872"/>
      <c r="J4" s="1874"/>
      <c r="K4" s="1875"/>
      <c r="L4" s="1876"/>
      <c r="M4" s="1872"/>
      <c r="N4" s="1872" t="s">
        <v>1827</v>
      </c>
      <c r="O4" s="1872"/>
      <c r="P4" s="1872"/>
      <c r="Q4" s="1872"/>
      <c r="R4" s="1872"/>
      <c r="S4" s="1874"/>
      <c r="T4" s="2882" t="str">
        <f>'数据-汇总表'!I17</f>
        <v>按面积比例</v>
      </c>
      <c r="U4" s="1871" t="s">
        <v>1828</v>
      </c>
      <c r="V4" s="1872"/>
      <c r="W4" s="1872"/>
      <c r="X4" s="1872"/>
      <c r="Y4" s="1874"/>
      <c r="Z4" s="1835" t="s">
        <v>1829</v>
      </c>
      <c r="AA4" s="1835"/>
      <c r="AB4" s="1835"/>
      <c r="AC4" s="1835"/>
      <c r="AD4" s="1835"/>
      <c r="AE4" s="1833" t="s">
        <v>1830</v>
      </c>
      <c r="AF4" s="1835"/>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1831</v>
      </c>
      <c r="B5" s="1879" t="s">
        <v>1832</v>
      </c>
      <c r="C5" s="1880" t="s">
        <v>1833</v>
      </c>
      <c r="D5" s="1881" t="s">
        <v>1834</v>
      </c>
      <c r="E5" s="1175" t="s">
        <v>1835</v>
      </c>
      <c r="F5" s="1882" t="s">
        <v>1836</v>
      </c>
      <c r="G5" s="1175" t="s">
        <v>1837</v>
      </c>
      <c r="H5" s="1175" t="s">
        <v>1838</v>
      </c>
      <c r="I5" s="1175" t="s">
        <v>1839</v>
      </c>
      <c r="J5" s="1883" t="s">
        <v>1840</v>
      </c>
      <c r="K5" s="1884" t="s">
        <v>1841</v>
      </c>
      <c r="L5" s="1885" t="s">
        <v>1842</v>
      </c>
      <c r="M5" s="1886" t="s">
        <v>1843</v>
      </c>
      <c r="N5" s="1887" t="s">
        <v>1844</v>
      </c>
      <c r="O5" s="1885" t="s">
        <v>1845</v>
      </c>
      <c r="P5" s="1888" t="s">
        <v>1846</v>
      </c>
      <c r="Q5" s="62" t="s">
        <v>1847</v>
      </c>
      <c r="R5" s="1889" t="s">
        <v>1848</v>
      </c>
      <c r="S5" s="1890" t="s">
        <v>1849</v>
      </c>
      <c r="T5" s="1891" t="s">
        <v>1850</v>
      </c>
      <c r="U5" s="1174" t="s">
        <v>1851</v>
      </c>
      <c r="V5" s="1175" t="s">
        <v>1852</v>
      </c>
      <c r="W5" s="1175" t="s">
        <v>1853</v>
      </c>
      <c r="X5" s="64"/>
      <c r="Y5" s="63" t="s">
        <v>1854</v>
      </c>
      <c r="Z5" s="1892" t="s">
        <v>1851</v>
      </c>
      <c r="AA5" s="1175" t="s">
        <v>1852</v>
      </c>
      <c r="AB5" s="1175" t="s">
        <v>1853</v>
      </c>
      <c r="AC5" s="64"/>
      <c r="AD5" s="64" t="s">
        <v>1854</v>
      </c>
      <c r="AE5" s="1174" t="s">
        <v>1855</v>
      </c>
      <c r="AF5" s="1175" t="s">
        <v>1856</v>
      </c>
      <c r="AG5" s="63" t="s">
        <v>1857</v>
      </c>
      <c r="AH5" s="1174" t="s">
        <v>1858</v>
      </c>
      <c r="AI5" s="1892" t="s">
        <v>1859</v>
      </c>
      <c r="AJ5" s="1892" t="s">
        <v>1860</v>
      </c>
      <c r="AK5" s="1175" t="s">
        <v>1861</v>
      </c>
      <c r="AL5" s="1175" t="s">
        <v>1862</v>
      </c>
      <c r="AM5" s="63" t="s">
        <v>1863</v>
      </c>
      <c r="AN5" s="1893" t="s">
        <v>1864</v>
      </c>
      <c r="AO5" s="1745" t="s">
        <v>1865</v>
      </c>
      <c r="AP5" s="1156" t="s">
        <v>1866</v>
      </c>
      <c r="AQ5" s="1894" t="s">
        <v>1867</v>
      </c>
      <c r="AR5" s="1894" t="s">
        <v>1868</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叠拼洋房</v>
      </c>
      <c r="B6" s="1896" t="str">
        <f>IF(A6=0,"","经营性")</f>
        <v>经营性</v>
      </c>
      <c r="C6" s="1897" t="s">
        <v>3059</v>
      </c>
      <c r="D6" s="964">
        <f>SUMIF(项目基本情况!D$12:I$12,C6,项目基本情况!D$14:I$14)</f>
        <v>70</v>
      </c>
      <c r="E6" s="963">
        <f>IF(B6="","",SUMIF(项目基本情况!D$12:I$12,C6,项目基本情况!D$13:I$13))</f>
        <v>66581</v>
      </c>
      <c r="F6" s="65">
        <f>SUMIF(项目基本情况!D$12:I$12,C6,项目基本情况!D$15:I$15)</f>
        <v>61.21</v>
      </c>
      <c r="G6" s="66">
        <f>IF(ISERROR(ROUND(POWER(1+H6,D6-F6)*(POWER(1+H6,F6)-1)/(POWER(1+H6,D6)-1),3)),0,ROUND(POWER(1+H6,D6-F6)*(POWER(1+H6,F6)-1)/(POWER(1+H6,D6)-1),3))</f>
        <v>0.97699999999999998</v>
      </c>
      <c r="H6" s="738">
        <v>4.4999999999999998E-2</v>
      </c>
      <c r="I6" s="738">
        <v>0.05</v>
      </c>
      <c r="J6" s="67">
        <v>8.5000000000000006E-2</v>
      </c>
      <c r="K6" s="1158">
        <f>SUMIF('数据-汇总表'!C$19:C$33,A6,'数据-汇总表'!E$19:E$33)</f>
        <v>23816.76</v>
      </c>
      <c r="L6" s="739">
        <v>4000</v>
      </c>
      <c r="M6" s="68">
        <f t="shared" ref="M6:M14" si="0">ROUND(K6*L6/10000,0)</f>
        <v>9527</v>
      </c>
      <c r="N6" s="737">
        <v>0.1</v>
      </c>
      <c r="O6" s="68">
        <f>IF($N$5="成新度","——",ROUND(M6*N6,0))</f>
        <v>953</v>
      </c>
      <c r="P6" s="69">
        <f>IF($N$5="成新度","——",M6-O6)</f>
        <v>8574</v>
      </c>
      <c r="Q6" s="740">
        <v>0.3</v>
      </c>
      <c r="R6" s="70">
        <f ca="1">SUMIF('数据-汇总表'!C$19:C$33,A6,'数据-汇总表'!R$19:R$27)</f>
        <v>24769.42</v>
      </c>
      <c r="S6" s="51">
        <f>IF('数据-汇总表'!$I$17="按面积比例",SUMIF('数据-汇总表'!C$19:C$33,A6,'数据-汇总表'!K$19:K$33),SUMIF('数据-汇总表'!C$19:C$33,A6,'数据-汇总表'!N$19:N$33))</f>
        <v>19290.41</v>
      </c>
      <c r="T6" s="1331">
        <f>ROUND($L$14*S6/10000,0)</f>
        <v>7716</v>
      </c>
      <c r="U6" s="71"/>
      <c r="V6" s="72"/>
      <c r="W6" s="72"/>
      <c r="X6" s="1168"/>
      <c r="Y6" s="73"/>
      <c r="Z6" s="74"/>
      <c r="AA6" s="67"/>
      <c r="AB6" s="67"/>
      <c r="AC6" s="1168"/>
      <c r="AD6" s="75"/>
      <c r="AE6" s="1169">
        <f ca="1">IF(AN6="",0,SUMIF(INDIRECT("'"&amp;AN6&amp;"'"&amp;"!E:E"),$AE$5,INDIRECT("'"&amp;AN6&amp;"'"&amp;"!F:F")))</f>
        <v>0</v>
      </c>
      <c r="AF6" s="1530"/>
      <c r="AG6" s="140">
        <f>IF(AF6="",0,AE6-AF6)</f>
        <v>0</v>
      </c>
      <c r="AH6" s="76"/>
      <c r="AI6" s="78"/>
      <c r="AJ6" s="79"/>
      <c r="AK6" s="80"/>
      <c r="AL6" s="81"/>
      <c r="AM6" s="82"/>
      <c r="AN6" s="1898"/>
      <c r="AO6" s="52" t="e">
        <f ca="1">SUMIF(INDIRECT("'"&amp;AN6&amp;"'"&amp;"!A:A"),"总价",INDIRECT("'"&amp;AN6&amp;"'"&amp;"!B:B"))</f>
        <v>#REF!</v>
      </c>
      <c r="AP6" s="1899">
        <f>IF(C6="住宅",K6*L6,0)</f>
        <v>95267040</v>
      </c>
      <c r="AQ6" s="52">
        <f>ROUND($L$14*$N$14*S6/10000,0)</f>
        <v>772</v>
      </c>
      <c r="AR6" s="52">
        <f>ROUND($L$14*(1-$N$14)*S6/10000,0)</f>
        <v>6945</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t="str">
        <f>'数据-汇总表'!C20</f>
        <v>平层洋房</v>
      </c>
      <c r="B7" s="1896" t="str">
        <f t="shared" ref="B7:B13" si="1">IF(A7=0,"","经营性")</f>
        <v>经营性</v>
      </c>
      <c r="C7" s="1897" t="s">
        <v>3059</v>
      </c>
      <c r="D7" s="964">
        <f>SUMIF(项目基本情况!D$12:I$12,C7,项目基本情况!D$14:I$14)</f>
        <v>70</v>
      </c>
      <c r="E7" s="963">
        <f>IF(B7="","",SUMIF(项目基本情况!D$12:I$12,C7,项目基本情况!D$13:I$13))</f>
        <v>66581</v>
      </c>
      <c r="F7" s="65">
        <f>SUMIF(项目基本情况!D$12:I$12,C7,项目基本情况!D$15:I$15)</f>
        <v>61.21</v>
      </c>
      <c r="G7" s="66">
        <f t="shared" ref="G7:G11" si="2">IF(ISERROR(ROUND(POWER(1+H7,D7-F7)*(POWER(1+H7,F7)-1)/(POWER(1+H7,D7)-1),3)),0,ROUND(POWER(1+H7,D7-F7)*(POWER(1+H7,F7)-1)/(POWER(1+H7,D7)-1),3))</f>
        <v>0.97699999999999998</v>
      </c>
      <c r="H7" s="738">
        <f>H6</f>
        <v>4.4999999999999998E-2</v>
      </c>
      <c r="I7" s="738">
        <f>I6</f>
        <v>0.05</v>
      </c>
      <c r="J7" s="67">
        <f>J6</f>
        <v>8.5000000000000006E-2</v>
      </c>
      <c r="K7" s="1158">
        <f>SUMIF('数据-汇总表'!C$19:C$33,A7,'数据-汇总表'!E$19:E$33)</f>
        <v>4554.8999999999996</v>
      </c>
      <c r="L7" s="739">
        <v>4000</v>
      </c>
      <c r="M7" s="68">
        <f t="shared" si="0"/>
        <v>1822</v>
      </c>
      <c r="N7" s="737">
        <f>N6</f>
        <v>0.1</v>
      </c>
      <c r="O7" s="68">
        <f t="shared" ref="O7:O14" si="3">IF($N$5="成新度","——",ROUND(M7*N7,0))</f>
        <v>182</v>
      </c>
      <c r="P7" s="69">
        <f t="shared" ref="P7:P14" si="4">IF($N$5="成新度","——",M7-O7)</f>
        <v>1640</v>
      </c>
      <c r="Q7" s="740">
        <f>Q6</f>
        <v>0.3</v>
      </c>
      <c r="R7" s="70">
        <f ca="1">SUMIF('数据-汇总表'!C$19:C$33,A7,'数据-汇总表'!R$19:R$27)</f>
        <v>4737.1000000000004</v>
      </c>
      <c r="S7" s="51">
        <f>IF('数据-汇总表'!$I$17="按面积比例",SUMIF('数据-汇总表'!C$19:C$33,A7,'数据-汇总表'!K$19:K$33),SUMIF('数据-汇总表'!C$19:C$33,A7,'数据-汇总表'!N$19:N$33))</f>
        <v>3689.25</v>
      </c>
      <c r="T7" s="1331">
        <f t="shared" ref="T7:T13" si="5">ROUND($L$14*S7/10000,0)</f>
        <v>1476</v>
      </c>
      <c r="U7" s="71"/>
      <c r="V7" s="72"/>
      <c r="W7" s="72"/>
      <c r="X7" s="1168"/>
      <c r="Y7" s="73"/>
      <c r="Z7" s="74"/>
      <c r="AA7" s="67"/>
      <c r="AB7" s="67"/>
      <c r="AC7" s="1168"/>
      <c r="AD7" s="75"/>
      <c r="AE7" s="1169">
        <f t="shared" ref="AE7:AE13" ca="1" si="6">IF(AN7="",0,SUMIF(INDIRECT("'"&amp;AN7&amp;"'"&amp;"!E:E"),$AE$5,INDIRECT("'"&amp;AN7&amp;"'"&amp;"!F:F")))</f>
        <v>0</v>
      </c>
      <c r="AF7" s="1530"/>
      <c r="AG7" s="140">
        <f t="shared" ref="AG7:AG13" si="7">IF(AF7="",0,AE7-AF7)</f>
        <v>0</v>
      </c>
      <c r="AH7" s="76"/>
      <c r="AI7" s="78"/>
      <c r="AJ7" s="79"/>
      <c r="AK7" s="80"/>
      <c r="AL7" s="81"/>
      <c r="AM7" s="82"/>
      <c r="AN7" s="1898"/>
      <c r="AO7" s="52" t="e">
        <f t="shared" ref="AO7:AO13" ca="1" si="8">SUMIF(INDIRECT("'"&amp;AN7&amp;"'"&amp;"!A:A"),"总价",INDIRECT("'"&amp;AN7&amp;"'"&amp;"!B:B"))</f>
        <v>#REF!</v>
      </c>
      <c r="AP7" s="1899">
        <f t="shared" ref="AP7:AP13" si="9">IF(C7="住宅",K7*L7,0)</f>
        <v>18219600</v>
      </c>
      <c r="AQ7" s="52">
        <f t="shared" ref="AQ7:AQ13" si="10">ROUND($L$14*$N$14*S7/10000,0)</f>
        <v>148</v>
      </c>
      <c r="AR7" s="52">
        <f t="shared" ref="AR7:AR13" si="11">ROUND($L$14*(1-$N$14)*S7/10000,0)</f>
        <v>1328</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t="str">
        <f>'数据-汇总表'!C21</f>
        <v>小双拼</v>
      </c>
      <c r="B8" s="1896" t="str">
        <f t="shared" si="1"/>
        <v>经营性</v>
      </c>
      <c r="C8" s="1897" t="s">
        <v>3059</v>
      </c>
      <c r="D8" s="964">
        <f>SUMIF(项目基本情况!D$12:I$12,C8,项目基本情况!D$14:I$14)</f>
        <v>70</v>
      </c>
      <c r="E8" s="963">
        <f>IF(B8="","",SUMIF(项目基本情况!D$12:I$12,C8,项目基本情况!D$13:I$13))</f>
        <v>66581</v>
      </c>
      <c r="F8" s="65">
        <f>SUMIF(项目基本情况!D$12:I$12,C8,项目基本情况!D$15:I$15)</f>
        <v>61.21</v>
      </c>
      <c r="G8" s="66">
        <f t="shared" si="2"/>
        <v>0.97699999999999998</v>
      </c>
      <c r="H8" s="738">
        <f>H6</f>
        <v>4.4999999999999998E-2</v>
      </c>
      <c r="I8" s="738">
        <f>I6</f>
        <v>0.05</v>
      </c>
      <c r="J8" s="67">
        <f>J6</f>
        <v>8.5000000000000006E-2</v>
      </c>
      <c r="K8" s="1158">
        <f>SUMIF('数据-汇总表'!C$19:C$33,A8,'数据-汇总表'!E$19:E$33)</f>
        <v>34143.660000000003</v>
      </c>
      <c r="L8" s="739">
        <v>4000</v>
      </c>
      <c r="M8" s="68">
        <f>ROUND(K8*L8/10000,0)</f>
        <v>13657</v>
      </c>
      <c r="N8" s="737">
        <f>N6</f>
        <v>0.1</v>
      </c>
      <c r="O8" s="68">
        <f t="shared" si="3"/>
        <v>1366</v>
      </c>
      <c r="P8" s="69">
        <f t="shared" si="4"/>
        <v>12291</v>
      </c>
      <c r="Q8" s="740">
        <f>Q6</f>
        <v>0.3</v>
      </c>
      <c r="R8" s="70">
        <f ca="1">SUMIF('数据-汇总表'!C$19:C$33,A8,'数据-汇总表'!R$19:R$27)</f>
        <v>35509.39</v>
      </c>
      <c r="S8" s="51">
        <f>IF('数据-汇总表'!$I$17="按面积比例",SUMIF('数据-汇总表'!C$19:C$33,A8,'数据-汇总表'!K$19:K$33),SUMIF('数据-汇总表'!C$19:C$33,A8,'数据-汇总表'!N$19:N$33))</f>
        <v>27654.69</v>
      </c>
      <c r="T8" s="1331">
        <f t="shared" si="5"/>
        <v>11062</v>
      </c>
      <c r="U8" s="741"/>
      <c r="V8" s="742"/>
      <c r="W8" s="742"/>
      <c r="X8" s="1168"/>
      <c r="Y8" s="743"/>
      <c r="Z8" s="74"/>
      <c r="AA8" s="67"/>
      <c r="AB8" s="67"/>
      <c r="AC8" s="1168"/>
      <c r="AD8" s="75"/>
      <c r="AE8" s="1169">
        <f t="shared" ca="1" si="6"/>
        <v>0</v>
      </c>
      <c r="AF8" s="1530"/>
      <c r="AG8" s="140">
        <f t="shared" si="7"/>
        <v>0</v>
      </c>
      <c r="AH8" s="744"/>
      <c r="AI8" s="78"/>
      <c r="AJ8" s="79"/>
      <c r="AK8" s="745"/>
      <c r="AL8" s="746"/>
      <c r="AM8" s="747"/>
      <c r="AN8" s="1898"/>
      <c r="AO8" s="52" t="e">
        <f t="shared" ca="1" si="8"/>
        <v>#REF!</v>
      </c>
      <c r="AP8" s="1899">
        <f t="shared" si="9"/>
        <v>136574640</v>
      </c>
      <c r="AQ8" s="52">
        <f t="shared" si="10"/>
        <v>1106</v>
      </c>
      <c r="AR8" s="52">
        <f t="shared" si="11"/>
        <v>9956</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t="str">
        <f>'数据-汇总表'!C22</f>
        <v>大双拼</v>
      </c>
      <c r="B9" s="1896" t="str">
        <f t="shared" si="1"/>
        <v>经营性</v>
      </c>
      <c r="C9" s="1897" t="s">
        <v>3059</v>
      </c>
      <c r="D9" s="964">
        <f>SUMIF(项目基本情况!D$12:I$12,C9,项目基本情况!D$14:I$14)</f>
        <v>70</v>
      </c>
      <c r="E9" s="963">
        <f>IF(B9="","",SUMIF(项目基本情况!D$12:I$12,C9,项目基本情况!D$13:I$13))</f>
        <v>66581</v>
      </c>
      <c r="F9" s="65">
        <f>SUMIF(项目基本情况!D$12:I$12,C9,项目基本情况!D$15:I$15)</f>
        <v>61.21</v>
      </c>
      <c r="G9" s="66">
        <f t="shared" si="2"/>
        <v>0.97699999999999998</v>
      </c>
      <c r="H9" s="67">
        <f>H6</f>
        <v>4.4999999999999998E-2</v>
      </c>
      <c r="I9" s="67">
        <f>I6</f>
        <v>0.05</v>
      </c>
      <c r="J9" s="67">
        <f>J6</f>
        <v>8.5000000000000006E-2</v>
      </c>
      <c r="K9" s="1158">
        <f>SUMIF('数据-汇总表'!C$19:C$33,A9,'数据-汇总表'!E$19:E$33)</f>
        <v>5646.12</v>
      </c>
      <c r="L9" s="739">
        <v>4000</v>
      </c>
      <c r="M9" s="68">
        <f t="shared" si="0"/>
        <v>2258</v>
      </c>
      <c r="N9" s="737">
        <f>N6</f>
        <v>0.1</v>
      </c>
      <c r="O9" s="68">
        <f t="shared" si="3"/>
        <v>226</v>
      </c>
      <c r="P9" s="69">
        <f t="shared" si="4"/>
        <v>2032</v>
      </c>
      <c r="Q9" s="83">
        <v>0.3</v>
      </c>
      <c r="R9" s="70">
        <f ca="1">SUMIF('数据-汇总表'!C$19:C$33,A9,'数据-汇总表'!R$19:R$27)</f>
        <v>5871.9699999999993</v>
      </c>
      <c r="S9" s="51">
        <f>IF('数据-汇总表'!$I$17="按面积比例",SUMIF('数据-汇总表'!C$19:C$33,A9,'数据-汇总表'!K$19:K$33),SUMIF('数据-汇总表'!C$19:C$33,A9,'数据-汇总表'!N$19:N$33))</f>
        <v>4573.08</v>
      </c>
      <c r="T9" s="1331">
        <f t="shared" si="5"/>
        <v>1829</v>
      </c>
      <c r="U9" s="71"/>
      <c r="V9" s="72"/>
      <c r="W9" s="72"/>
      <c r="X9" s="1168"/>
      <c r="Y9" s="73"/>
      <c r="Z9" s="74"/>
      <c r="AA9" s="67"/>
      <c r="AB9" s="67"/>
      <c r="AC9" s="1168"/>
      <c r="AD9" s="75"/>
      <c r="AE9" s="1169">
        <f t="shared" ca="1" si="6"/>
        <v>0</v>
      </c>
      <c r="AF9" s="1530"/>
      <c r="AG9" s="140">
        <f t="shared" si="7"/>
        <v>0</v>
      </c>
      <c r="AH9" s="76"/>
      <c r="AI9" s="78"/>
      <c r="AJ9" s="79"/>
      <c r="AK9" s="80"/>
      <c r="AL9" s="81"/>
      <c r="AM9" s="82"/>
      <c r="AN9" s="1898"/>
      <c r="AO9" s="52" t="e">
        <f t="shared" ca="1" si="8"/>
        <v>#REF!</v>
      </c>
      <c r="AP9" s="1899">
        <f t="shared" si="9"/>
        <v>22584480</v>
      </c>
      <c r="AQ9" s="52">
        <f t="shared" si="10"/>
        <v>183</v>
      </c>
      <c r="AR9" s="52">
        <f t="shared" si="11"/>
        <v>1646</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5">
        <f>SUMIF(项目基本情况!D$12:I$12,C10,项目基本情况!D$15:I$15)</f>
        <v>0</v>
      </c>
      <c r="G10" s="66">
        <f t="shared" si="2"/>
        <v>0</v>
      </c>
      <c r="H10" s="67"/>
      <c r="I10" s="67"/>
      <c r="J10" s="67"/>
      <c r="K10" s="1158">
        <f>SUMIF('数据-汇总表'!C$19:C$33,A10,'数据-汇总表'!E$19:E$33)</f>
        <v>0</v>
      </c>
      <c r="L10" s="739"/>
      <c r="M10" s="68">
        <f t="shared" si="0"/>
        <v>0</v>
      </c>
      <c r="N10" s="737"/>
      <c r="O10" s="68">
        <f t="shared" si="3"/>
        <v>0</v>
      </c>
      <c r="P10" s="69">
        <f t="shared" si="4"/>
        <v>0</v>
      </c>
      <c r="Q10" s="83"/>
      <c r="R10" s="70">
        <f ca="1">SUMIF('数据-汇总表'!C$19:C$33,A10,'数据-汇总表'!R$19:R$27)</f>
        <v>0</v>
      </c>
      <c r="S10" s="51">
        <f>IF('数据-汇总表'!$I$17="按面积比例",SUMIF('数据-汇总表'!C$19:C$33,A10,'数据-汇总表'!K$19:K$33),SUMIF('数据-汇总表'!C$19:C$33,A10,'数据-汇总表'!N$19:N$33))</f>
        <v>0</v>
      </c>
      <c r="T10" s="1331">
        <f t="shared" si="5"/>
        <v>0</v>
      </c>
      <c r="U10" s="71"/>
      <c r="V10" s="72"/>
      <c r="W10" s="72"/>
      <c r="X10" s="1168"/>
      <c r="Y10" s="73"/>
      <c r="Z10" s="74"/>
      <c r="AA10" s="67"/>
      <c r="AB10" s="67"/>
      <c r="AC10" s="1168"/>
      <c r="AD10" s="75"/>
      <c r="AE10" s="1169">
        <f t="shared" ca="1" si="6"/>
        <v>0</v>
      </c>
      <c r="AF10" s="1530"/>
      <c r="AG10" s="140">
        <f t="shared" si="7"/>
        <v>0</v>
      </c>
      <c r="AH10" s="76"/>
      <c r="AI10" s="78"/>
      <c r="AJ10" s="79"/>
      <c r="AK10" s="80"/>
      <c r="AL10" s="81"/>
      <c r="AM10" s="82"/>
      <c r="AN10" s="1898"/>
      <c r="AO10" s="52" t="e">
        <f t="shared" ca="1" si="8"/>
        <v>#REF!</v>
      </c>
      <c r="AP10" s="1899">
        <f t="shared" si="9"/>
        <v>0</v>
      </c>
      <c r="AQ10" s="52">
        <f t="shared" si="10"/>
        <v>0</v>
      </c>
      <c r="AR10" s="52">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5">
        <f>SUMIF(项目基本情况!D$12:I$12,C11,项目基本情况!D$15:I$15)</f>
        <v>0</v>
      </c>
      <c r="G11" s="66">
        <f t="shared" si="2"/>
        <v>0</v>
      </c>
      <c r="H11" s="67"/>
      <c r="I11" s="67"/>
      <c r="J11" s="67"/>
      <c r="K11" s="1158">
        <f>SUMIF('数据-汇总表'!C$19:C$33,A11,'数据-汇总表'!E$19:E$33)</f>
        <v>0</v>
      </c>
      <c r="L11" s="84"/>
      <c r="M11" s="68">
        <f t="shared" si="0"/>
        <v>0</v>
      </c>
      <c r="N11" s="85"/>
      <c r="O11" s="68">
        <f t="shared" si="3"/>
        <v>0</v>
      </c>
      <c r="P11" s="69">
        <f t="shared" si="4"/>
        <v>0</v>
      </c>
      <c r="Q11" s="83"/>
      <c r="R11" s="70">
        <f ca="1">SUMIF('数据-汇总表'!C$19:C$33,A11,'数据-汇总表'!R$19:R$27)</f>
        <v>0</v>
      </c>
      <c r="S11" s="51">
        <f>IF('数据-汇总表'!$I$17="按面积比例",SUMIF('数据-汇总表'!C$19:C$33,A11,'数据-汇总表'!K$19:K$33),SUMIF('数据-汇总表'!C$19:C$33,A11,'数据-汇总表'!N$19:N$33))</f>
        <v>0</v>
      </c>
      <c r="T11" s="1331">
        <f t="shared" si="5"/>
        <v>0</v>
      </c>
      <c r="U11" s="76"/>
      <c r="V11" s="67"/>
      <c r="W11" s="67"/>
      <c r="X11" s="1168"/>
      <c r="Y11" s="73"/>
      <c r="Z11" s="86"/>
      <c r="AA11" s="67"/>
      <c r="AB11" s="67"/>
      <c r="AC11" s="1168"/>
      <c r="AD11" s="75"/>
      <c r="AE11" s="1169">
        <f t="shared" ca="1" si="6"/>
        <v>0</v>
      </c>
      <c r="AF11" s="1530"/>
      <c r="AG11" s="140">
        <f t="shared" si="7"/>
        <v>0</v>
      </c>
      <c r="AH11" s="76"/>
      <c r="AI11" s="78"/>
      <c r="AJ11" s="79"/>
      <c r="AK11" s="87"/>
      <c r="AL11" s="88"/>
      <c r="AM11" s="89"/>
      <c r="AN11" s="1898"/>
      <c r="AO11" s="52" t="e">
        <f t="shared" ca="1" si="8"/>
        <v>#REF!</v>
      </c>
      <c r="AP11" s="1899">
        <f t="shared" si="9"/>
        <v>0</v>
      </c>
      <c r="AQ11" s="52">
        <f t="shared" si="10"/>
        <v>0</v>
      </c>
      <c r="AR11" s="52">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158">
        <f>SUMIF('数据-汇总表'!C$19:C$33,A12,'数据-汇总表'!E$19:E$33)</f>
        <v>0</v>
      </c>
      <c r="L12" s="84"/>
      <c r="M12" s="68">
        <f>ROUND(K12*L12/10000,0)</f>
        <v>0</v>
      </c>
      <c r="N12" s="85"/>
      <c r="O12" s="68">
        <f t="shared" si="3"/>
        <v>0</v>
      </c>
      <c r="P12" s="69">
        <f t="shared" si="4"/>
        <v>0</v>
      </c>
      <c r="Q12" s="83"/>
      <c r="R12" s="70">
        <f ca="1">SUMIF('数据-汇总表'!C$19:C$33,A12,'数据-汇总表'!R$19:R$27)</f>
        <v>0</v>
      </c>
      <c r="S12" s="51">
        <f>IF('数据-汇总表'!$I$17="按面积比例",SUMIF('数据-汇总表'!C$19:C$33,A12,'数据-汇总表'!K$19:K$33),SUMIF('数据-汇总表'!C$19:C$33,A12,'数据-汇总表'!N$19:N$33))</f>
        <v>0</v>
      </c>
      <c r="T12" s="1331">
        <f t="shared" si="5"/>
        <v>0</v>
      </c>
      <c r="U12" s="76"/>
      <c r="V12" s="67"/>
      <c r="W12" s="67"/>
      <c r="X12" s="1168"/>
      <c r="Y12" s="73"/>
      <c r="Z12" s="86"/>
      <c r="AA12" s="67"/>
      <c r="AB12" s="67"/>
      <c r="AC12" s="1168"/>
      <c r="AD12" s="75"/>
      <c r="AE12" s="1169">
        <f t="shared" ca="1" si="6"/>
        <v>0</v>
      </c>
      <c r="AF12" s="1530"/>
      <c r="AG12" s="140">
        <f t="shared" si="7"/>
        <v>0</v>
      </c>
      <c r="AH12" s="76"/>
      <c r="AI12" s="78"/>
      <c r="AJ12" s="79"/>
      <c r="AK12" s="87"/>
      <c r="AL12" s="88"/>
      <c r="AM12" s="89"/>
      <c r="AN12" s="1898"/>
      <c r="AO12" s="52" t="e">
        <f t="shared" ca="1" si="8"/>
        <v>#REF!</v>
      </c>
      <c r="AP12" s="1899">
        <f t="shared" si="9"/>
        <v>0</v>
      </c>
      <c r="AQ12" s="52">
        <f t="shared" si="10"/>
        <v>0</v>
      </c>
      <c r="AR12" s="52">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158">
        <f>SUMIF('数据-汇总表'!C$19:C$33,A13,'数据-汇总表'!E$19:E$33)</f>
        <v>0</v>
      </c>
      <c r="L13" s="84"/>
      <c r="M13" s="68">
        <f>ROUND(K13*L13/10000,0)</f>
        <v>0</v>
      </c>
      <c r="N13" s="85"/>
      <c r="O13" s="68">
        <f t="shared" si="3"/>
        <v>0</v>
      </c>
      <c r="P13" s="69">
        <f t="shared" si="4"/>
        <v>0</v>
      </c>
      <c r="Q13" s="83"/>
      <c r="R13" s="70">
        <f ca="1">SUMIF('数据-汇总表'!C$19:C$33,A13,'数据-汇总表'!R$19:R$27)</f>
        <v>0</v>
      </c>
      <c r="S13" s="51">
        <f>IF('数据-汇总表'!$I$17="按面积比例",SUMIF('数据-汇总表'!C$19:C$33,A13,'数据-汇总表'!K$19:K$33),SUMIF('数据-汇总表'!C$19:C$33,A13,'数据-汇总表'!N$19:N$33))</f>
        <v>0</v>
      </c>
      <c r="T13" s="1331">
        <f t="shared" si="5"/>
        <v>0</v>
      </c>
      <c r="U13" s="71"/>
      <c r="V13" s="72"/>
      <c r="W13" s="72"/>
      <c r="X13" s="1168"/>
      <c r="Y13" s="73"/>
      <c r="Z13" s="74"/>
      <c r="AA13" s="67"/>
      <c r="AB13" s="67"/>
      <c r="AC13" s="1168"/>
      <c r="AD13" s="75"/>
      <c r="AE13" s="1169">
        <f t="shared" ca="1" si="6"/>
        <v>0</v>
      </c>
      <c r="AF13" s="1530"/>
      <c r="AG13" s="140">
        <f t="shared" si="7"/>
        <v>0</v>
      </c>
      <c r="AH13" s="76"/>
      <c r="AI13" s="78"/>
      <c r="AJ13" s="79"/>
      <c r="AK13" s="80"/>
      <c r="AL13" s="81"/>
      <c r="AM13" s="82"/>
      <c r="AN13" s="1898"/>
      <c r="AO13" s="52" t="e">
        <f t="shared" ca="1" si="8"/>
        <v>#REF!</v>
      </c>
      <c r="AP13" s="1899">
        <f t="shared" si="9"/>
        <v>0</v>
      </c>
      <c r="AQ13" s="52">
        <f t="shared" si="10"/>
        <v>0</v>
      </c>
      <c r="AR13" s="52">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1869</v>
      </c>
      <c r="B14" s="1896" t="s">
        <v>1870</v>
      </c>
      <c r="C14" s="1901" t="s">
        <v>1869</v>
      </c>
      <c r="D14" s="964"/>
      <c r="E14" s="963"/>
      <c r="F14" s="65"/>
      <c r="G14" s="66"/>
      <c r="H14" s="1157"/>
      <c r="I14" s="1157"/>
      <c r="J14" s="1157"/>
      <c r="K14" s="1158">
        <f>SUMIF('数据-汇总表'!C$19:C$33,A14,'数据-汇总表'!E$19:E$33)</f>
        <v>55207.43</v>
      </c>
      <c r="L14" s="84">
        <v>4000</v>
      </c>
      <c r="M14" s="68">
        <f t="shared" si="0"/>
        <v>22083</v>
      </c>
      <c r="N14" s="85">
        <f>N6</f>
        <v>0.1</v>
      </c>
      <c r="O14" s="68">
        <f t="shared" si="3"/>
        <v>2208</v>
      </c>
      <c r="P14" s="69">
        <f t="shared" si="4"/>
        <v>19875</v>
      </c>
      <c r="Q14" s="1161"/>
      <c r="R14" s="70"/>
      <c r="S14" s="51"/>
      <c r="T14" s="1331"/>
      <c r="U14" s="676"/>
      <c r="V14" s="1163"/>
      <c r="W14" s="1163"/>
      <c r="X14" s="1164"/>
      <c r="Y14" s="1165"/>
      <c r="Z14" s="1166"/>
      <c r="AA14" s="1167"/>
      <c r="AB14" s="1167"/>
      <c r="AC14" s="1168"/>
      <c r="AD14" s="1164"/>
      <c r="AE14" s="1169"/>
      <c r="AF14" s="52"/>
      <c r="AG14" s="140"/>
      <c r="AH14" s="1169"/>
      <c r="AI14" s="1539"/>
      <c r="AJ14" s="710"/>
      <c r="AK14" s="1170"/>
      <c r="AL14" s="1171"/>
      <c r="AM14" s="1172"/>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1871</v>
      </c>
      <c r="B15" s="1896" t="s">
        <v>1870</v>
      </c>
      <c r="C15" s="1901" t="s">
        <v>1872</v>
      </c>
      <c r="D15" s="964"/>
      <c r="E15" s="963"/>
      <c r="F15" s="65"/>
      <c r="G15" s="66"/>
      <c r="H15" s="1157"/>
      <c r="I15" s="1157"/>
      <c r="J15" s="1157"/>
      <c r="K15" s="1158">
        <f>SUMIF('数据-汇总表'!C$19:C$33,A15,'数据-汇总表'!E$19:E$33)</f>
        <v>1834.54</v>
      </c>
      <c r="L15" s="1159"/>
      <c r="M15" s="68"/>
      <c r="N15" s="1160"/>
      <c r="O15" s="68"/>
      <c r="P15" s="69"/>
      <c r="Q15" s="1161"/>
      <c r="R15" s="70"/>
      <c r="S15" s="51"/>
      <c r="T15" s="1331"/>
      <c r="U15" s="676"/>
      <c r="V15" s="1163"/>
      <c r="W15" s="1163"/>
      <c r="X15" s="1164"/>
      <c r="Y15" s="1165"/>
      <c r="Z15" s="1166"/>
      <c r="AA15" s="1167"/>
      <c r="AB15" s="1167"/>
      <c r="AC15" s="1168"/>
      <c r="AD15" s="1164"/>
      <c r="AE15" s="1169"/>
      <c r="AF15" s="52"/>
      <c r="AG15" s="140"/>
      <c r="AH15" s="1169"/>
      <c r="AI15" s="1539"/>
      <c r="AJ15" s="710"/>
      <c r="AK15" s="1170"/>
      <c r="AL15" s="1171"/>
      <c r="AM15" s="1172"/>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1873</v>
      </c>
      <c r="B16" s="90"/>
      <c r="C16" s="939"/>
      <c r="D16" s="1903"/>
      <c r="E16" s="90"/>
      <c r="F16" s="90"/>
      <c r="G16" s="91">
        <f>ROUND(SUMPRODUCT(G6:G13,K6:K13)/SUMPRODUCT((G6:G13&gt;0)*(K6:K13)),3)</f>
        <v>0.97699999999999998</v>
      </c>
      <c r="H16" s="92">
        <f>ROUND(SUMPRODUCT(H6:H13,K6:K13)/SUMPRODUCT((H6:H13&gt;0)*(K6:K13)),3)</f>
        <v>4.4999999999999998E-2</v>
      </c>
      <c r="I16" s="93"/>
      <c r="J16" s="93"/>
      <c r="K16" s="94">
        <f>SUM(K6:K15)</f>
        <v>125203.40999999999</v>
      </c>
      <c r="L16" s="95">
        <f>ROUND(M16*10000/SUM(K6:K14),0)</f>
        <v>4000</v>
      </c>
      <c r="M16" s="95">
        <f>SUM(M6:M14)</f>
        <v>49347</v>
      </c>
      <c r="N16" s="96">
        <f>ROUND(SUMPRODUCT(M6:M14,N6:N14)/M16,3)</f>
        <v>0.1</v>
      </c>
      <c r="O16" s="95">
        <f>SUM(O6:O14)</f>
        <v>4935</v>
      </c>
      <c r="P16" s="95">
        <f>SUM(P6:P14)</f>
        <v>44412</v>
      </c>
      <c r="Q16" s="97">
        <f>ROUND(SUMPRODUCT(Q6:Q13,K6:K13)/SUMPRODUCT((Q6:Q13&gt;0)*(K6:K13)),2)</f>
        <v>0.3</v>
      </c>
      <c r="R16" s="1162">
        <f ca="1">SUM(R6:R13)</f>
        <v>70887.87999999999</v>
      </c>
      <c r="S16" s="98">
        <f>SUM(S6:S13)</f>
        <v>55207.43</v>
      </c>
      <c r="T16" s="99">
        <f>IF(SUMIF(T6:T13,"&lt;9E307")=M14,SUMIF(T6:T13,"&lt;9E307"),"有误，请检查")</f>
        <v>22083</v>
      </c>
      <c r="U16" s="100"/>
      <c r="V16" s="101"/>
      <c r="W16" s="101"/>
      <c r="X16" s="104"/>
      <c r="Y16" s="102"/>
      <c r="Z16" s="103"/>
      <c r="AA16" s="101"/>
      <c r="AB16" s="101"/>
      <c r="AC16" s="104"/>
      <c r="AD16" s="104"/>
      <c r="AE16" s="100"/>
      <c r="AF16" s="101"/>
      <c r="AG16" s="102"/>
      <c r="AH16" s="100"/>
      <c r="AI16" s="103"/>
      <c r="AJ16" s="103"/>
      <c r="AK16" s="101"/>
      <c r="AL16" s="101"/>
      <c r="AM16" s="102"/>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1" t="s">
        <v>1874</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1875</v>
      </c>
      <c r="B19" s="105">
        <v>0</v>
      </c>
      <c r="C19" s="3027" t="s">
        <v>3027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1876</v>
      </c>
      <c r="B20" s="106">
        <v>3</v>
      </c>
      <c r="C20" s="3028" t="s">
        <v>3025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1877</v>
      </c>
      <c r="B21" s="106">
        <f>B20*N16</f>
        <v>0.30000000000000004</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1878</v>
      </c>
      <c r="B22" s="107">
        <f>B19+B20</f>
        <v>3</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1879</v>
      </c>
      <c r="B23" s="107">
        <f>B19+B21</f>
        <v>0.30000000000000004</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1880</v>
      </c>
      <c r="B24" s="108">
        <f>B20-B21</f>
        <v>2.7</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1881</v>
      </c>
      <c r="B26" s="1909" t="s">
        <v>1882</v>
      </c>
      <c r="C26" s="2903" t="s">
        <v>1883</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1884</v>
      </c>
      <c r="B27" s="109">
        <v>50</v>
      </c>
      <c r="C27" s="3029" t="s">
        <v>3029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1885</v>
      </c>
      <c r="B28" s="112">
        <v>120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1886</v>
      </c>
      <c r="B29" s="114">
        <f ca="1">成本法!C9</f>
        <v>341</v>
      </c>
      <c r="C29" s="3030" t="s">
        <v>3016</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1887</v>
      </c>
      <c r="B30" s="677">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1888</v>
      </c>
      <c r="B31" s="113">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1889</v>
      </c>
      <c r="B32" s="678">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1890</v>
      </c>
      <c r="B33" s="679">
        <v>0.03</v>
      </c>
      <c r="C33" s="3031" t="s">
        <v>3017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1891</v>
      </c>
      <c r="B34" s="115">
        <v>0.05</v>
      </c>
      <c r="C34" s="3031" t="s">
        <v>3018</v>
      </c>
      <c r="D34" s="2910" t="s">
        <v>3026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1892</v>
      </c>
      <c r="B35" s="112">
        <v>200</v>
      </c>
      <c r="C35" s="3031" t="s">
        <v>3019</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1893</v>
      </c>
      <c r="B36" s="116">
        <v>1.4999999999999999E-2</v>
      </c>
      <c r="C36" s="3031" t="s">
        <v>3020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1894</v>
      </c>
      <c r="B37" s="117">
        <v>0.02</v>
      </c>
      <c r="C37" s="3031" t="s">
        <v>3021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1895</v>
      </c>
      <c r="B38" s="115">
        <v>0.02</v>
      </c>
      <c r="C38" s="3031" t="s">
        <v>3021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1896</v>
      </c>
      <c r="B39" s="320">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3042" t="s">
        <v>3038</v>
      </c>
      <c r="B40" s="1207">
        <f ca="1">IF(A40="利息：取LPR",存贷款利率!G1,存贷款利率!G1+C40)</f>
        <v>3.85E-2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1897</v>
      </c>
      <c r="B41" s="118">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1898</v>
      </c>
      <c r="B42" s="119">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1899</v>
      </c>
      <c r="B43" s="120">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1900</v>
      </c>
      <c r="B44" s="121">
        <v>7.0000000000000007E-2</v>
      </c>
      <c r="C44" s="3031" t="s">
        <v>3030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1901</v>
      </c>
      <c r="B45" s="119">
        <v>0.03</v>
      </c>
      <c r="C45" s="3030" t="s">
        <v>3022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1902</v>
      </c>
      <c r="B46" s="119">
        <v>0.02</v>
      </c>
      <c r="C46" s="3030" t="s">
        <v>3023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1903</v>
      </c>
      <c r="B47" s="122">
        <v>0</v>
      </c>
      <c r="C47" s="3033" t="s">
        <v>3031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1904</v>
      </c>
      <c r="B48" s="123">
        <v>0.03</v>
      </c>
      <c r="C48" s="3030" t="s">
        <v>3022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1905</v>
      </c>
      <c r="B49" s="119">
        <v>5.0000000000000001E-4</v>
      </c>
      <c r="C49" s="3030" t="s">
        <v>3024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1906</v>
      </c>
      <c r="B50" s="124">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1907</v>
      </c>
      <c r="B51" s="125">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1908</v>
      </c>
      <c r="B52" s="126">
        <f>SUMIF(A54:A63,B53,B54:B63)</f>
        <v>0</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1909</v>
      </c>
      <c r="B53" s="1921"/>
      <c r="C53" s="2885" t="s">
        <v>1910</v>
      </c>
      <c r="D53" s="3032" t="s">
        <v>3028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1911</v>
      </c>
      <c r="B54" s="77"/>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1912</v>
      </c>
      <c r="B55" s="77"/>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1913</v>
      </c>
      <c r="B56" s="77"/>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1914</v>
      </c>
      <c r="B57" s="77"/>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1915</v>
      </c>
      <c r="B58" s="77"/>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1916</v>
      </c>
      <c r="B59" s="77"/>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1917</v>
      </c>
      <c r="B60" s="77"/>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1918</v>
      </c>
      <c r="B61" s="77"/>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1919</v>
      </c>
      <c r="B62" s="77"/>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1920</v>
      </c>
      <c r="B63" s="127"/>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4"/>
      <c r="L69" s="734"/>
    </row>
    <row r="70" spans="1:44" s="898" customFormat="1">
      <c r="A70" s="1924"/>
      <c r="D70" s="1925"/>
      <c r="K70" s="734"/>
      <c r="L70" s="734"/>
    </row>
    <row r="71" spans="1:44" s="898" customFormat="1">
      <c r="A71" s="1924"/>
      <c r="D71" s="1925"/>
      <c r="K71" s="734"/>
      <c r="L71" s="734"/>
    </row>
    <row r="72" spans="1:44" s="898" customFormat="1">
      <c r="A72" s="1924"/>
      <c r="D72" s="1925"/>
      <c r="K72" s="734"/>
      <c r="L72" s="734"/>
    </row>
    <row r="73" spans="1:44" s="898" customFormat="1">
      <c r="A73" s="1924"/>
      <c r="D73" s="1925"/>
      <c r="K73" s="734"/>
      <c r="L73" s="734"/>
    </row>
    <row r="74" spans="1:44" s="898" customFormat="1">
      <c r="A74" s="1924"/>
      <c r="D74" s="1925"/>
      <c r="K74" s="734"/>
      <c r="L74" s="734"/>
    </row>
    <row r="75" spans="1:44" s="898" customFormat="1">
      <c r="A75" s="1924"/>
      <c r="D75" s="1925"/>
      <c r="K75" s="734"/>
      <c r="L75" s="734"/>
    </row>
    <row r="76" spans="1:44" s="898" customFormat="1">
      <c r="A76" s="1924"/>
      <c r="D76" s="1925"/>
      <c r="K76" s="734"/>
      <c r="L76" s="734"/>
    </row>
    <row r="77" spans="1:44" s="898" customFormat="1">
      <c r="A77" s="1924"/>
      <c r="D77" s="1925"/>
      <c r="K77" s="734"/>
      <c r="L77" s="734"/>
    </row>
    <row r="78" spans="1:44" s="898" customFormat="1">
      <c r="A78" s="1924"/>
      <c r="D78" s="1925"/>
      <c r="K78" s="734"/>
      <c r="L78" s="734"/>
    </row>
    <row r="79" spans="1:44" s="898" customFormat="1">
      <c r="A79" s="1924"/>
      <c r="D79" s="1925"/>
      <c r="K79" s="734"/>
      <c r="L79" s="734"/>
    </row>
    <row r="80" spans="1:44" s="898" customFormat="1">
      <c r="A80" s="1924"/>
      <c r="D80" s="1925"/>
      <c r="K80" s="734"/>
      <c r="L80" s="734"/>
    </row>
    <row r="81" spans="1:12" s="898" customFormat="1">
      <c r="A81" s="1924"/>
      <c r="D81" s="1925"/>
      <c r="K81" s="734"/>
      <c r="L81" s="734"/>
    </row>
    <row r="82" spans="1:12" s="898" customFormat="1">
      <c r="A82" s="1924"/>
      <c r="D82" s="1925"/>
      <c r="K82" s="734"/>
      <c r="L82" s="734"/>
    </row>
    <row r="83" spans="1:12" s="898" customFormat="1">
      <c r="A83" s="1924"/>
      <c r="D83" s="1925"/>
      <c r="K83" s="734"/>
      <c r="L83" s="734"/>
    </row>
    <row r="84" spans="1:12" s="898" customFormat="1">
      <c r="A84" s="1924"/>
      <c r="D84" s="1925"/>
      <c r="K84" s="734"/>
      <c r="L84" s="734"/>
    </row>
    <row r="85" spans="1:12" s="898" customFormat="1">
      <c r="A85" s="1924"/>
      <c r="D85" s="1925"/>
      <c r="K85" s="734"/>
      <c r="L85" s="734"/>
    </row>
    <row r="86" spans="1:12" s="898" customFormat="1">
      <c r="A86" s="1924"/>
      <c r="D86" s="1925"/>
      <c r="K86" s="734"/>
      <c r="L86" s="734"/>
    </row>
    <row r="87" spans="1:12" s="898" customFormat="1">
      <c r="A87" s="1924"/>
      <c r="D87" s="1925"/>
      <c r="K87" s="734"/>
      <c r="L87" s="734"/>
    </row>
    <row r="88" spans="1:12" s="898" customFormat="1">
      <c r="A88" s="1924"/>
      <c r="D88" s="1925"/>
      <c r="K88" s="734"/>
      <c r="L88" s="734"/>
    </row>
    <row r="89" spans="1:12" s="898" customFormat="1">
      <c r="A89" s="1924"/>
      <c r="D89" s="1925"/>
      <c r="K89" s="734"/>
      <c r="L89" s="734"/>
    </row>
    <row r="90" spans="1:12" s="898" customFormat="1">
      <c r="A90" s="1924"/>
      <c r="D90" s="1925"/>
      <c r="K90" s="734"/>
      <c r="L90" s="734"/>
    </row>
    <row r="91" spans="1:12" s="898" customFormat="1">
      <c r="A91" s="1924"/>
      <c r="D91" s="1925"/>
      <c r="K91" s="734"/>
      <c r="L91" s="734"/>
    </row>
    <row r="92" spans="1:12" s="898" customFormat="1">
      <c r="A92" s="1924"/>
      <c r="D92" s="1925"/>
      <c r="K92" s="734"/>
      <c r="L92" s="734"/>
    </row>
    <row r="93" spans="1:12" s="898" customFormat="1">
      <c r="A93" s="1924"/>
      <c r="D93" s="1925"/>
      <c r="K93" s="734"/>
      <c r="L93" s="734"/>
    </row>
    <row r="94" spans="1:12" s="898" customFormat="1">
      <c r="A94" s="1924"/>
      <c r="D94" s="1925"/>
      <c r="K94" s="734"/>
      <c r="L94" s="734"/>
    </row>
    <row r="95" spans="1:12" s="898" customFormat="1">
      <c r="A95" s="1924"/>
      <c r="D95" s="1925"/>
      <c r="K95" s="734"/>
      <c r="L95" s="734"/>
    </row>
    <row r="96" spans="1:12" s="898" customFormat="1">
      <c r="A96" s="1924"/>
      <c r="D96" s="1925"/>
      <c r="K96" s="734"/>
      <c r="L96" s="734"/>
    </row>
    <row r="97" spans="1:12" s="898" customFormat="1">
      <c r="A97" s="1924"/>
      <c r="D97" s="1925"/>
      <c r="K97" s="734"/>
      <c r="L97" s="734"/>
    </row>
    <row r="98" spans="1:12" s="898" customFormat="1">
      <c r="A98" s="1924"/>
      <c r="D98" s="1925"/>
      <c r="K98" s="734"/>
      <c r="L98" s="734"/>
    </row>
    <row r="99" spans="1:12" s="898" customFormat="1">
      <c r="A99" s="1924"/>
      <c r="D99" s="1925"/>
      <c r="K99" s="734"/>
      <c r="L99" s="734"/>
    </row>
    <row r="100" spans="1:12" s="898" customFormat="1">
      <c r="A100" s="1924"/>
      <c r="D100" s="1925"/>
      <c r="K100" s="734"/>
      <c r="L100" s="734"/>
    </row>
    <row r="101" spans="1:12" s="898" customFormat="1">
      <c r="A101" s="1924"/>
      <c r="D101" s="1925"/>
      <c r="K101" s="734"/>
      <c r="L101" s="734"/>
    </row>
    <row r="102" spans="1:12" s="898" customFormat="1">
      <c r="A102" s="1924"/>
      <c r="D102" s="1925"/>
      <c r="K102" s="734"/>
      <c r="L102" s="734"/>
    </row>
    <row r="103" spans="1:12" s="898" customFormat="1">
      <c r="A103" s="1924"/>
      <c r="D103" s="1925"/>
      <c r="K103" s="734"/>
      <c r="L103" s="734"/>
    </row>
    <row r="104" spans="1:12" s="898" customFormat="1">
      <c r="A104" s="1924"/>
      <c r="D104" s="1925"/>
      <c r="K104" s="734"/>
      <c r="L104" s="734"/>
    </row>
    <row r="105" spans="1:12" s="898" customFormat="1">
      <c r="A105" s="1924"/>
      <c r="D105" s="1925"/>
      <c r="K105" s="734"/>
      <c r="L105" s="734"/>
    </row>
    <row r="106" spans="1:12" s="898" customFormat="1">
      <c r="A106" s="1924"/>
      <c r="D106" s="1925"/>
      <c r="K106" s="734"/>
      <c r="L106" s="734"/>
    </row>
    <row r="107" spans="1:12" s="898" customFormat="1">
      <c r="A107" s="1924"/>
      <c r="D107" s="1925"/>
      <c r="K107" s="734"/>
      <c r="L107" s="734"/>
    </row>
    <row r="108" spans="1:12" s="898" customFormat="1">
      <c r="A108" s="1924"/>
      <c r="D108" s="1925"/>
      <c r="K108" s="734"/>
      <c r="L108" s="734"/>
    </row>
    <row r="109" spans="1:12" s="898" customFormat="1">
      <c r="A109" s="1924"/>
      <c r="D109" s="1925"/>
      <c r="K109" s="734"/>
      <c r="L109" s="734"/>
    </row>
    <row r="110" spans="1:12" s="898" customFormat="1">
      <c r="A110" s="1924"/>
      <c r="D110" s="1925"/>
      <c r="K110" s="734"/>
      <c r="L110" s="734"/>
    </row>
    <row r="111" spans="1:12" s="898" customFormat="1">
      <c r="A111" s="1924"/>
      <c r="D111" s="1925"/>
      <c r="K111" s="734"/>
      <c r="L111" s="734"/>
    </row>
    <row r="112" spans="1:12" s="898" customFormat="1">
      <c r="A112" s="1924"/>
      <c r="D112" s="1925"/>
      <c r="K112" s="734"/>
      <c r="L112" s="734"/>
    </row>
    <row r="113" spans="1:12" s="898" customFormat="1">
      <c r="A113" s="1924"/>
      <c r="D113" s="1925"/>
      <c r="K113" s="734"/>
      <c r="L113" s="734"/>
    </row>
    <row r="114" spans="1:12" s="898" customFormat="1">
      <c r="A114" s="1924"/>
      <c r="D114" s="1925"/>
      <c r="K114" s="734"/>
      <c r="L114" s="734"/>
    </row>
    <row r="115" spans="1:12" s="898" customFormat="1">
      <c r="A115" s="1924"/>
      <c r="D115" s="1925"/>
      <c r="K115" s="734"/>
      <c r="L115" s="734"/>
    </row>
    <row r="116" spans="1:12" s="898" customFormat="1">
      <c r="A116" s="1924"/>
      <c r="D116" s="1925"/>
      <c r="K116" s="734"/>
      <c r="L116" s="734"/>
    </row>
    <row r="117" spans="1:12" s="898" customFormat="1">
      <c r="A117" s="1924"/>
      <c r="D117" s="1925"/>
      <c r="K117" s="734"/>
      <c r="L117" s="734"/>
    </row>
    <row r="118" spans="1:12" s="898" customFormat="1">
      <c r="A118" s="1924"/>
      <c r="D118" s="1925"/>
      <c r="K118" s="734"/>
      <c r="L118" s="734"/>
    </row>
    <row r="119" spans="1:12" s="898" customFormat="1">
      <c r="A119" s="1924"/>
      <c r="D119" s="1925"/>
      <c r="K119" s="734"/>
      <c r="L119" s="734"/>
    </row>
    <row r="120" spans="1:12" s="898" customFormat="1">
      <c r="A120" s="1924"/>
      <c r="D120" s="1925"/>
      <c r="K120" s="734"/>
      <c r="L120" s="734"/>
    </row>
    <row r="121" spans="1:12" s="898" customFormat="1">
      <c r="A121" s="1924"/>
      <c r="D121" s="1925"/>
      <c r="K121" s="734"/>
      <c r="L121" s="734"/>
    </row>
    <row r="122" spans="1:12" s="898" customFormat="1">
      <c r="A122" s="1924"/>
      <c r="D122" s="1925"/>
      <c r="K122" s="734"/>
      <c r="L122" s="734"/>
    </row>
    <row r="123" spans="1:12" s="898" customFormat="1">
      <c r="A123" s="1924"/>
      <c r="D123" s="1925"/>
      <c r="K123" s="734"/>
      <c r="L123" s="734"/>
    </row>
    <row r="124" spans="1:12" s="898" customFormat="1">
      <c r="A124" s="1924"/>
      <c r="D124" s="1925"/>
      <c r="K124" s="734"/>
      <c r="L124" s="734"/>
    </row>
    <row r="125" spans="1:12" s="898" customFormat="1">
      <c r="A125" s="1924"/>
      <c r="D125" s="1925"/>
      <c r="K125" s="734"/>
      <c r="L125" s="734"/>
    </row>
    <row r="126" spans="1:12" s="898" customFormat="1">
      <c r="A126" s="1924"/>
      <c r="D126" s="1925"/>
      <c r="K126" s="734"/>
      <c r="L126" s="734"/>
    </row>
    <row r="127" spans="1:12" s="898" customFormat="1">
      <c r="A127" s="1924"/>
      <c r="D127" s="1925"/>
      <c r="K127" s="734"/>
      <c r="L127" s="734"/>
    </row>
    <row r="128" spans="1:12" s="898" customFormat="1">
      <c r="A128" s="1924"/>
      <c r="D128" s="1925"/>
      <c r="K128" s="734"/>
      <c r="L128" s="734"/>
    </row>
    <row r="129" spans="1:12" s="898" customFormat="1">
      <c r="A129" s="1924"/>
      <c r="D129" s="1925"/>
      <c r="K129" s="734"/>
      <c r="L129" s="734"/>
    </row>
    <row r="130" spans="1:12" s="898" customFormat="1">
      <c r="A130" s="1924"/>
      <c r="D130" s="1925"/>
      <c r="K130" s="734"/>
      <c r="L130" s="734"/>
    </row>
    <row r="131" spans="1:12" s="898" customFormat="1">
      <c r="A131" s="1924"/>
      <c r="D131" s="1925"/>
      <c r="K131" s="734"/>
      <c r="L131" s="734"/>
    </row>
    <row r="132" spans="1:12" s="898" customFormat="1">
      <c r="A132" s="1924"/>
      <c r="D132" s="1925"/>
      <c r="K132" s="734"/>
      <c r="L132" s="734"/>
    </row>
    <row r="133" spans="1:12" s="898" customFormat="1">
      <c r="A133" s="1924"/>
      <c r="D133" s="1925"/>
      <c r="K133" s="734"/>
      <c r="L133" s="734"/>
    </row>
    <row r="134" spans="1:12" s="1864" customFormat="1">
      <c r="A134" s="1926"/>
      <c r="D134" s="1927"/>
      <c r="K134" s="24"/>
      <c r="L134" s="24"/>
    </row>
    <row r="135" spans="1:12" s="1864" customFormat="1">
      <c r="A135" s="1926"/>
      <c r="D135" s="1927"/>
      <c r="K135" s="24"/>
      <c r="L135" s="24"/>
    </row>
    <row r="136" spans="1:12" s="1864" customFormat="1">
      <c r="A136" s="1926"/>
      <c r="D136" s="1927"/>
      <c r="K136" s="24"/>
      <c r="L136" s="24"/>
    </row>
    <row r="137" spans="1:12" s="1864" customFormat="1">
      <c r="A137" s="1926"/>
      <c r="D137" s="1927"/>
      <c r="K137" s="24"/>
      <c r="L137" s="24"/>
    </row>
    <row r="138" spans="1:12" s="1864" customFormat="1">
      <c r="A138" s="1926"/>
      <c r="D138" s="1927"/>
      <c r="K138" s="24"/>
      <c r="L138" s="24"/>
    </row>
    <row r="139" spans="1:12" s="1864" customFormat="1">
      <c r="A139" s="1926"/>
      <c r="D139" s="1927"/>
      <c r="K139" s="24"/>
      <c r="L139" s="24"/>
    </row>
    <row r="140" spans="1:12" s="1864" customFormat="1">
      <c r="A140" s="1926"/>
      <c r="D140" s="1927"/>
      <c r="K140" s="24"/>
      <c r="L140" s="24"/>
    </row>
    <row r="141" spans="1:12" s="1864" customFormat="1">
      <c r="A141" s="1926"/>
      <c r="D141" s="1927"/>
      <c r="K141" s="24"/>
      <c r="L141" s="24"/>
    </row>
    <row r="142" spans="1:12" s="1864" customFormat="1">
      <c r="A142" s="1926"/>
      <c r="D142" s="1927"/>
      <c r="K142" s="24"/>
      <c r="L142" s="24"/>
    </row>
    <row r="143" spans="1:12" s="1864" customFormat="1">
      <c r="A143" s="1926"/>
      <c r="D143" s="1927"/>
      <c r="K143" s="24"/>
      <c r="L143" s="24"/>
    </row>
    <row r="144" spans="1:12" s="1864" customFormat="1">
      <c r="A144" s="1926"/>
      <c r="D144" s="1927"/>
      <c r="K144" s="24"/>
      <c r="L144" s="24"/>
    </row>
    <row r="145" spans="1:12" s="1864" customFormat="1">
      <c r="A145" s="1926"/>
      <c r="D145" s="1927"/>
      <c r="K145" s="24"/>
      <c r="L145" s="24"/>
    </row>
    <row r="146" spans="1:12" s="1864" customFormat="1">
      <c r="A146" s="1926"/>
      <c r="D146" s="1927"/>
      <c r="K146" s="24"/>
      <c r="L146" s="24"/>
    </row>
    <row r="147" spans="1:12" s="1864" customFormat="1">
      <c r="A147" s="1926"/>
      <c r="D147" s="1927"/>
      <c r="K147" s="24"/>
      <c r="L147" s="24"/>
    </row>
    <row r="148" spans="1:12" s="1864" customFormat="1">
      <c r="A148" s="1926"/>
      <c r="D148" s="1927"/>
      <c r="K148" s="24"/>
      <c r="L148" s="24"/>
    </row>
    <row r="149" spans="1:12" s="1864" customFormat="1">
      <c r="A149" s="1926"/>
      <c r="D149" s="1927"/>
      <c r="K149" s="24"/>
      <c r="L149" s="24"/>
    </row>
    <row r="150" spans="1:12" s="1864" customFormat="1">
      <c r="A150" s="1926"/>
      <c r="D150" s="1927"/>
      <c r="K150" s="24"/>
      <c r="L150" s="24"/>
    </row>
    <row r="151" spans="1:12" s="1864" customFormat="1">
      <c r="A151" s="1926"/>
      <c r="D151" s="1927"/>
      <c r="K151" s="24"/>
      <c r="L151" s="24"/>
    </row>
    <row r="152" spans="1:12" s="1864" customFormat="1">
      <c r="A152" s="1926"/>
      <c r="D152" s="1927"/>
      <c r="K152" s="24"/>
      <c r="L152" s="24"/>
    </row>
    <row r="153" spans="1:12" s="1864" customFormat="1">
      <c r="A153" s="1926"/>
      <c r="D153" s="1927"/>
      <c r="K153" s="24"/>
      <c r="L153" s="24"/>
    </row>
    <row r="154" spans="1:12" s="1864" customFormat="1">
      <c r="A154" s="1926"/>
      <c r="D154" s="1927"/>
      <c r="K154" s="24"/>
      <c r="L154" s="24"/>
    </row>
    <row r="155" spans="1:12" s="1864" customFormat="1">
      <c r="A155" s="1926"/>
      <c r="D155" s="1927"/>
      <c r="K155" s="24"/>
      <c r="L155" s="24"/>
    </row>
    <row r="156" spans="1:12" s="1864" customFormat="1">
      <c r="A156" s="1926"/>
      <c r="D156" s="1927"/>
      <c r="K156" s="24"/>
      <c r="L156" s="24"/>
    </row>
    <row r="157" spans="1:12" s="1864" customFormat="1">
      <c r="A157" s="1926"/>
      <c r="D157" s="1927"/>
      <c r="K157" s="24"/>
      <c r="L157" s="24"/>
    </row>
    <row r="158" spans="1:12" s="1864" customFormat="1">
      <c r="A158" s="1926"/>
      <c r="D158" s="1927"/>
      <c r="K158" s="24"/>
      <c r="L158" s="24"/>
    </row>
    <row r="159" spans="1:12" s="1864" customFormat="1">
      <c r="A159" s="1926"/>
      <c r="D159" s="1927"/>
      <c r="K159" s="24"/>
      <c r="L159" s="24"/>
    </row>
    <row r="160" spans="1:12" s="1864" customFormat="1">
      <c r="A160" s="1926"/>
      <c r="D160" s="1927"/>
      <c r="K160" s="24"/>
      <c r="L160" s="24"/>
    </row>
    <row r="161" spans="1:12" s="1864" customFormat="1">
      <c r="A161" s="1926"/>
      <c r="D161" s="1927"/>
      <c r="K161" s="24"/>
      <c r="L161" s="24"/>
    </row>
    <row r="162" spans="1:12" s="1864" customFormat="1">
      <c r="A162" s="1926"/>
      <c r="D162" s="1927"/>
      <c r="K162" s="24"/>
      <c r="L162" s="24"/>
    </row>
    <row r="163" spans="1:12" s="1864" customFormat="1">
      <c r="A163" s="1926"/>
      <c r="D163" s="1927"/>
      <c r="K163" s="24"/>
      <c r="L163" s="24"/>
    </row>
    <row r="164" spans="1:12" s="1864" customFormat="1">
      <c r="A164" s="1926"/>
      <c r="D164" s="1927"/>
      <c r="K164" s="24"/>
      <c r="L164" s="24"/>
    </row>
    <row r="165" spans="1:12" s="1864" customFormat="1">
      <c r="A165" s="1926"/>
      <c r="D165" s="1927"/>
      <c r="K165" s="24"/>
      <c r="L165" s="24"/>
    </row>
    <row r="166" spans="1:12" s="1864" customFormat="1">
      <c r="A166" s="1926"/>
      <c r="D166" s="1927"/>
      <c r="K166" s="24"/>
      <c r="L166" s="24"/>
    </row>
    <row r="167" spans="1:12" s="1864" customFormat="1">
      <c r="A167" s="1926"/>
      <c r="D167" s="1927"/>
      <c r="K167" s="24"/>
      <c r="L167" s="24"/>
    </row>
    <row r="168" spans="1:12" s="1864" customFormat="1">
      <c r="A168" s="1926"/>
      <c r="D168" s="1927"/>
      <c r="K168" s="24"/>
      <c r="L168" s="24"/>
    </row>
    <row r="169" spans="1:12" s="1864" customFormat="1">
      <c r="A169" s="1926"/>
      <c r="D169" s="1927"/>
      <c r="K169" s="24"/>
      <c r="L169" s="24"/>
    </row>
    <row r="170" spans="1:12" s="1864" customFormat="1">
      <c r="A170" s="1926"/>
      <c r="D170" s="1927"/>
      <c r="K170" s="24"/>
      <c r="L170" s="24"/>
    </row>
    <row r="171" spans="1:12" s="1864" customFormat="1">
      <c r="A171" s="1926"/>
      <c r="D171" s="1927"/>
      <c r="K171" s="24"/>
      <c r="L171" s="24"/>
    </row>
    <row r="172" spans="1:12" s="1864" customFormat="1">
      <c r="A172" s="1926"/>
      <c r="D172" s="1927"/>
      <c r="K172" s="24"/>
      <c r="L172" s="24"/>
    </row>
    <row r="173" spans="1:12" s="1864" customFormat="1">
      <c r="A173" s="1926"/>
      <c r="D173" s="1927"/>
      <c r="K173" s="24"/>
      <c r="L173" s="24"/>
    </row>
    <row r="174" spans="1:12" s="1864" customFormat="1">
      <c r="A174" s="1926"/>
      <c r="D174" s="192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875" style="2715" customWidth="1"/>
    <col min="10" max="10" width="2.625" style="2714" customWidth="1"/>
    <col min="11" max="11" width="11.875" style="2714" customWidth="1"/>
    <col min="12" max="12" width="16.875" style="2715" customWidth="1"/>
    <col min="13" max="13" width="2.625" style="2714" customWidth="1"/>
    <col min="14" max="14" width="11.875" style="2714" customWidth="1"/>
    <col min="15" max="15" width="16.875" style="2715" customWidth="1"/>
    <col min="16" max="16" width="2.625" style="2714" customWidth="1"/>
    <col min="17" max="17" width="11.875" style="2714" customWidth="1"/>
    <col min="18" max="18" width="16.875" style="2716" customWidth="1"/>
    <col min="19" max="29" width="9" style="904"/>
    <col min="30" max="16384" width="9" style="1869"/>
  </cols>
  <sheetData>
    <row r="1" spans="1:29" s="2680" customFormat="1" ht="18.75" thickBot="1">
      <c r="A1" s="3200" t="s">
        <v>3008</v>
      </c>
      <c r="B1" s="3201"/>
      <c r="C1" s="3201"/>
      <c r="D1" s="3201"/>
      <c r="E1" s="3201"/>
      <c r="F1" s="3201"/>
      <c r="G1" s="3201"/>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3003</v>
      </c>
      <c r="D2" s="2684"/>
      <c r="E2" s="2681"/>
      <c r="F2" s="2685"/>
      <c r="G2" s="2683" t="s">
        <v>3004</v>
      </c>
      <c r="H2" s="904"/>
      <c r="I2" s="904"/>
      <c r="J2" s="904"/>
      <c r="K2" s="904"/>
      <c r="L2" s="904"/>
      <c r="M2" s="904"/>
      <c r="N2" s="904"/>
      <c r="O2" s="904"/>
      <c r="P2" s="904"/>
      <c r="Q2" s="904"/>
      <c r="R2" s="904"/>
    </row>
    <row r="3" spans="1:29" ht="48">
      <c r="A3" s="2664" t="s">
        <v>3005</v>
      </c>
      <c r="B3" s="2686" t="s">
        <v>2974</v>
      </c>
      <c r="C3" s="2687" t="s">
        <v>3006</v>
      </c>
      <c r="D3" s="2688"/>
      <c r="E3" s="2665" t="s">
        <v>3005</v>
      </c>
      <c r="F3" s="2689" t="s">
        <v>2975</v>
      </c>
      <c r="G3" s="2690" t="s">
        <v>3007</v>
      </c>
      <c r="H3" s="904"/>
      <c r="I3" s="904"/>
      <c r="J3" s="904"/>
      <c r="K3" s="904"/>
      <c r="L3" s="904"/>
      <c r="M3" s="904"/>
      <c r="N3" s="904"/>
      <c r="O3" s="904"/>
      <c r="P3" s="904"/>
      <c r="Q3" s="904"/>
      <c r="R3" s="904"/>
    </row>
    <row r="4" spans="1:29" ht="36.75">
      <c r="A4" s="2665"/>
      <c r="B4" s="326" t="s">
        <v>2976</v>
      </c>
      <c r="C4" s="2691" t="s">
        <v>2977</v>
      </c>
      <c r="D4" s="2688"/>
      <c r="E4" s="2692"/>
      <c r="F4" s="1555" t="s">
        <v>2978</v>
      </c>
      <c r="G4" s="2693" t="s">
        <v>2979</v>
      </c>
      <c r="H4" s="904"/>
      <c r="I4" s="904"/>
      <c r="J4" s="904"/>
      <c r="K4" s="904"/>
      <c r="L4" s="904"/>
      <c r="M4" s="904"/>
      <c r="N4" s="904"/>
      <c r="O4" s="904"/>
      <c r="P4" s="904"/>
      <c r="Q4" s="904"/>
      <c r="R4" s="904"/>
    </row>
    <row r="5" spans="1:29" ht="36.75">
      <c r="A5" s="2665"/>
      <c r="B5" s="326" t="s">
        <v>2980</v>
      </c>
      <c r="C5" s="2691" t="s">
        <v>2981</v>
      </c>
      <c r="D5" s="2688"/>
      <c r="E5" s="2692"/>
      <c r="F5" s="326" t="s">
        <v>2982</v>
      </c>
      <c r="G5" s="2693" t="s">
        <v>2983</v>
      </c>
      <c r="H5" s="904"/>
      <c r="I5" s="904"/>
      <c r="J5" s="904"/>
      <c r="K5" s="904"/>
      <c r="L5" s="904"/>
      <c r="M5" s="904"/>
      <c r="N5" s="904"/>
      <c r="O5" s="904"/>
      <c r="P5" s="904"/>
      <c r="Q5" s="904"/>
      <c r="R5" s="904"/>
    </row>
    <row r="6" spans="1:29" ht="36">
      <c r="A6" s="2665"/>
      <c r="B6" s="326" t="s">
        <v>2984</v>
      </c>
      <c r="C6" s="2693" t="s">
        <v>2979</v>
      </c>
      <c r="D6" s="2688"/>
      <c r="E6" s="2692"/>
      <c r="F6" s="326" t="s">
        <v>2985</v>
      </c>
      <c r="G6" s="2693" t="s">
        <v>2986</v>
      </c>
      <c r="H6" s="904"/>
      <c r="I6" s="904"/>
      <c r="J6" s="904"/>
      <c r="K6" s="904"/>
      <c r="L6" s="904"/>
      <c r="M6" s="904"/>
      <c r="N6" s="904"/>
      <c r="O6" s="904"/>
      <c r="P6" s="904"/>
      <c r="Q6" s="904"/>
      <c r="R6" s="904"/>
    </row>
    <row r="7" spans="1:29" ht="24.75" thickBot="1">
      <c r="A7" s="2665"/>
      <c r="B7" s="326" t="s">
        <v>2982</v>
      </c>
      <c r="C7" s="2693" t="s">
        <v>2983</v>
      </c>
      <c r="D7" s="2694"/>
      <c r="E7" s="2695"/>
      <c r="F7" s="2696" t="s">
        <v>2987</v>
      </c>
      <c r="G7" s="2697" t="s">
        <v>2988</v>
      </c>
      <c r="H7" s="904"/>
      <c r="I7" s="904"/>
      <c r="J7" s="904"/>
      <c r="K7" s="904"/>
      <c r="L7" s="904"/>
      <c r="M7" s="904"/>
      <c r="N7" s="904"/>
      <c r="O7" s="904"/>
      <c r="P7" s="904"/>
      <c r="Q7" s="904"/>
      <c r="R7" s="904"/>
    </row>
    <row r="8" spans="1:29">
      <c r="A8" s="2665"/>
      <c r="B8" s="326" t="s">
        <v>2985</v>
      </c>
      <c r="C8" s="2693" t="s">
        <v>2986</v>
      </c>
      <c r="D8" s="2694"/>
      <c r="E8" s="2694"/>
      <c r="F8" s="2698"/>
      <c r="G8" s="2698"/>
      <c r="H8" s="904"/>
      <c r="I8" s="904"/>
      <c r="J8" s="904"/>
      <c r="K8" s="904"/>
      <c r="L8" s="904"/>
      <c r="M8" s="904"/>
      <c r="N8" s="904"/>
      <c r="O8" s="904"/>
      <c r="P8" s="904"/>
      <c r="Q8" s="904"/>
      <c r="R8" s="904"/>
    </row>
    <row r="9" spans="1:29" ht="24">
      <c r="A9" s="2665"/>
      <c r="B9" s="326" t="s">
        <v>2989</v>
      </c>
      <c r="C9" s="2691" t="s">
        <v>2990</v>
      </c>
      <c r="D9" s="2688"/>
      <c r="E9" s="2694"/>
      <c r="F9" s="2698"/>
      <c r="G9" s="2698"/>
      <c r="H9" s="904"/>
      <c r="I9" s="904"/>
      <c r="J9" s="904"/>
      <c r="K9" s="904"/>
      <c r="L9" s="904"/>
      <c r="M9" s="904"/>
      <c r="N9" s="904"/>
      <c r="O9" s="904"/>
      <c r="P9" s="904"/>
      <c r="Q9" s="904"/>
      <c r="R9" s="904"/>
    </row>
    <row r="10" spans="1:29" s="2704" customFormat="1" ht="15" thickBot="1">
      <c r="A10" s="2666"/>
      <c r="B10" s="2699" t="s">
        <v>2991</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3009</v>
      </c>
      <c r="B13" s="2707"/>
      <c r="C13" s="2707"/>
      <c r="D13" s="2705"/>
      <c r="E13" s="2707"/>
      <c r="F13" s="2707"/>
      <c r="G13" s="2707"/>
    </row>
    <row r="14" spans="1:29" ht="15" thickBot="1">
      <c r="A14" s="2717"/>
      <c r="B14" s="2717"/>
      <c r="C14" s="2718" t="s">
        <v>2992</v>
      </c>
      <c r="D14" s="2688"/>
      <c r="E14" s="2719"/>
      <c r="F14" s="2719"/>
      <c r="G14" s="2683" t="s">
        <v>2993</v>
      </c>
    </row>
    <row r="15" spans="1:29" ht="51">
      <c r="A15" s="2667" t="s">
        <v>2994</v>
      </c>
      <c r="B15" s="2720" t="s">
        <v>2974</v>
      </c>
      <c r="C15" s="2721" t="str">
        <f>C3</f>
        <v>估价对象周边居住用地比例、居住小区规模和社区发展完善程度，综合评价居住社区成熟度一般</v>
      </c>
      <c r="D15" s="2688"/>
      <c r="E15" s="2668" t="s">
        <v>2995</v>
      </c>
      <c r="F15" s="2720" t="s">
        <v>2996</v>
      </c>
      <c r="G15" s="2722" t="str">
        <f>G3</f>
        <v>估价对象位于XX开发区，园区建设成熟度XX，产业集聚程度XX</v>
      </c>
    </row>
    <row r="16" spans="1:29" ht="38.25">
      <c r="A16" s="2669"/>
      <c r="B16" s="2723" t="s">
        <v>2976</v>
      </c>
      <c r="C16" s="2724" t="str">
        <f>C4</f>
        <v>估价对象位于XX商圈，周边商业氛围成熟，人流量大，商业繁华度好</v>
      </c>
      <c r="D16" s="2688"/>
      <c r="E16" s="2670"/>
      <c r="F16" s="2725" t="s">
        <v>2978</v>
      </c>
      <c r="G16" s="2726" t="str">
        <f>G4</f>
        <v>估价对象周边道路状况、公共交通通达情况、停车便捷程度，综合评价交通便捷度较好</v>
      </c>
    </row>
    <row r="17" spans="1:18" ht="38.25">
      <c r="A17" s="2669"/>
      <c r="B17" s="2723" t="s">
        <v>2980</v>
      </c>
      <c r="C17" s="2724" t="str">
        <f>C5</f>
        <v>估价对象位于XX商圈，周边办公楼项目较多，入驻率高，办公集聚程度较好</v>
      </c>
      <c r="D17" s="2694"/>
      <c r="E17" s="2670"/>
      <c r="F17" s="2725" t="s">
        <v>2997</v>
      </c>
      <c r="G17" s="2727"/>
    </row>
    <row r="18" spans="1:18" ht="38.25">
      <c r="A18" s="2669"/>
      <c r="B18" s="2725" t="s">
        <v>2984</v>
      </c>
      <c r="C18" s="2726" t="str">
        <f>C6</f>
        <v>估价对象周边道路状况、公共交通通达情况、停车便捷程度，综合评价交通便捷度较好</v>
      </c>
      <c r="D18" s="2694"/>
      <c r="E18" s="2670"/>
      <c r="F18" s="2725" t="s">
        <v>2987</v>
      </c>
      <c r="G18" s="2726" t="str">
        <f>G7</f>
        <v>该园区内是否有污染型企业，绿化情况，卫生条件，整体环境状况判断</v>
      </c>
    </row>
    <row r="19" spans="1:18" ht="25.5">
      <c r="A19" s="2669"/>
      <c r="B19" s="2725" t="s">
        <v>2998</v>
      </c>
      <c r="C19" s="2727"/>
      <c r="D19" s="2688"/>
      <c r="E19" s="2670"/>
      <c r="F19" s="326" t="s">
        <v>2982</v>
      </c>
      <c r="G19" s="2726" t="str">
        <f>G5</f>
        <v>估价对象所在区域公共配套设施齐备情况</v>
      </c>
    </row>
    <row r="20" spans="1:18" ht="25.5">
      <c r="A20" s="2669"/>
      <c r="B20" s="2725" t="s">
        <v>2999</v>
      </c>
      <c r="C20" s="2724" t="str">
        <f>C9</f>
        <v>区域自然环境：；人文环境；综合评价环境状况一般</v>
      </c>
      <c r="D20" s="2694"/>
      <c r="E20" s="2670"/>
      <c r="F20" s="326" t="s">
        <v>2985</v>
      </c>
      <c r="G20" s="2726" t="str">
        <f>G6</f>
        <v>估价对象所在区域基础设施水平</v>
      </c>
    </row>
    <row r="21" spans="1:18" ht="25.5">
      <c r="A21" s="2669"/>
      <c r="B21" s="326" t="s">
        <v>2982</v>
      </c>
      <c r="C21" s="2726" t="str">
        <f>C7</f>
        <v>估价对象所在区域公共配套设施齐备情况</v>
      </c>
      <c r="D21" s="2688"/>
      <c r="E21" s="2670"/>
      <c r="F21" s="2725" t="s">
        <v>3000</v>
      </c>
      <c r="G21" s="2728"/>
    </row>
    <row r="22" spans="1:18" ht="13.5" customHeight="1">
      <c r="A22" s="2669"/>
      <c r="B22" s="326" t="s">
        <v>2985</v>
      </c>
      <c r="C22" s="2726" t="str">
        <f>C8</f>
        <v>估价对象所在区域基础设施水平</v>
      </c>
      <c r="D22" s="2688"/>
      <c r="E22" s="2670"/>
      <c r="F22" s="2725" t="s">
        <v>2991</v>
      </c>
      <c r="G22" s="2727"/>
    </row>
    <row r="23" spans="1:18" s="904" customFormat="1" ht="15" thickBot="1">
      <c r="A23" s="2669"/>
      <c r="B23" s="2725" t="s">
        <v>3000</v>
      </c>
      <c r="C23" s="2728"/>
      <c r="D23" s="1924"/>
      <c r="E23" s="2671"/>
      <c r="F23" s="2729" t="s">
        <v>3001</v>
      </c>
      <c r="G23" s="2730"/>
      <c r="H23" s="2714"/>
      <c r="I23" s="2715"/>
      <c r="J23" s="2714"/>
      <c r="K23" s="2714"/>
      <c r="L23" s="2715"/>
      <c r="M23" s="2714"/>
      <c r="N23" s="2714"/>
      <c r="O23" s="2715"/>
      <c r="P23" s="2714"/>
      <c r="Q23" s="2714"/>
      <c r="R23" s="2716"/>
    </row>
    <row r="24" spans="1:18" s="904" customFormat="1" ht="15" thickBot="1">
      <c r="A24" s="2672"/>
      <c r="B24" s="2729" t="s">
        <v>3002</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875" style="2736" customWidth="1"/>
    <col min="10" max="16384" width="9" style="2736"/>
  </cols>
  <sheetData>
    <row r="1" spans="1:11" ht="16.5">
      <c r="A1" s="2735" t="s">
        <v>1308</v>
      </c>
      <c r="B1" s="2735">
        <f>SUM(B14:B23)</f>
        <v>125203.41</v>
      </c>
      <c r="C1" s="2912"/>
      <c r="D1" s="2912"/>
      <c r="E1" s="2912"/>
      <c r="F1" s="2912"/>
      <c r="G1" s="2913"/>
      <c r="H1" s="2914"/>
      <c r="I1" s="2914"/>
      <c r="J1" s="2914"/>
      <c r="K1" s="2914"/>
    </row>
    <row r="2" spans="1:11" ht="16.5">
      <c r="A2" s="2735" t="s">
        <v>1296</v>
      </c>
      <c r="B2" s="2735">
        <f>SUM(C14:C23)</f>
        <v>71942</v>
      </c>
      <c r="C2" s="2912"/>
      <c r="D2" s="2912"/>
      <c r="E2" s="2912"/>
      <c r="F2" s="2912"/>
      <c r="G2" s="2913"/>
      <c r="H2" s="2914"/>
      <c r="I2" s="2914"/>
      <c r="J2" s="2914"/>
      <c r="K2" s="2914"/>
    </row>
    <row r="3" spans="1:11" ht="16.5">
      <c r="A3" s="2735" t="s">
        <v>1305</v>
      </c>
      <c r="B3" s="2737">
        <f>项目基本情况!D3</f>
        <v>44236</v>
      </c>
      <c r="C3" s="2912"/>
      <c r="D3" s="2912"/>
      <c r="E3" s="2912"/>
      <c r="F3" s="2912"/>
      <c r="G3" s="2913"/>
      <c r="H3" s="2914"/>
      <c r="I3" s="2914"/>
      <c r="J3" s="2914"/>
      <c r="K3" s="2914"/>
    </row>
    <row r="4" spans="1:11" ht="33">
      <c r="A4" s="2735" t="s">
        <v>1304</v>
      </c>
      <c r="B4" s="2735" t="s">
        <v>1303</v>
      </c>
      <c r="C4" s="2735" t="s">
        <v>1302</v>
      </c>
      <c r="D4" s="2735" t="s">
        <v>1301</v>
      </c>
      <c r="E4" s="2912"/>
      <c r="F4" s="2913"/>
      <c r="G4" s="2913"/>
      <c r="H4" s="2914"/>
      <c r="I4" s="2914"/>
      <c r="J4" s="2914"/>
      <c r="K4" s="2914"/>
    </row>
    <row r="5" spans="1:11" ht="16.5">
      <c r="A5" s="2735" t="s">
        <v>1300</v>
      </c>
      <c r="B5" s="2735">
        <f ca="1">SUM(D14:D23)</f>
        <v>168952</v>
      </c>
      <c r="C5" s="2735">
        <f ca="1">ROUND(B5*10000/$B$1,0)</f>
        <v>13494</v>
      </c>
      <c r="D5" s="2735">
        <f ca="1">ROUND(B5*10000/$B$2,0)</f>
        <v>23484</v>
      </c>
      <c r="E5" s="2912"/>
      <c r="F5" s="2913"/>
      <c r="G5" s="2913"/>
      <c r="H5" s="2914"/>
      <c r="I5" s="2914"/>
      <c r="J5" s="2914"/>
      <c r="K5" s="2914"/>
    </row>
    <row r="6" spans="1:11" ht="16.5">
      <c r="A6" s="2735" t="s">
        <v>1299</v>
      </c>
      <c r="B6" s="2735">
        <f ca="1">SUM(G14:G23)</f>
        <v>168952</v>
      </c>
      <c r="C6" s="2735">
        <f ca="1">ROUND(B6*10000/$B$1,0)</f>
        <v>13494</v>
      </c>
      <c r="D6" s="2735">
        <f ca="1">ROUND(B6*10000/$B$2,0)</f>
        <v>23484</v>
      </c>
      <c r="E6" s="2912"/>
      <c r="F6" s="2913"/>
      <c r="G6" s="2913"/>
      <c r="H6" s="2914"/>
      <c r="I6" s="2914"/>
      <c r="J6" s="2914"/>
      <c r="K6" s="2914"/>
    </row>
    <row r="7" spans="1:11" ht="16.5">
      <c r="A7" s="2735" t="s">
        <v>1307</v>
      </c>
      <c r="B7" s="2735">
        <f>SUM(H14:H23)</f>
        <v>0</v>
      </c>
      <c r="C7" s="2735">
        <f>ROUND(B7*10000/$B$1,0)</f>
        <v>0</v>
      </c>
      <c r="D7" s="2735">
        <f>ROUND(B7*10000/$B$2,0)</f>
        <v>0</v>
      </c>
      <c r="E7" s="2912"/>
      <c r="F7" s="2913"/>
      <c r="G7" s="2913"/>
      <c r="H7" s="2914"/>
      <c r="I7" s="2914"/>
      <c r="J7" s="2914"/>
      <c r="K7" s="2914"/>
    </row>
    <row r="8" spans="1:11" ht="16.5">
      <c r="A8" s="2735" t="s">
        <v>1229</v>
      </c>
      <c r="B8" s="2735">
        <f>SUM(I14:I23)</f>
        <v>0</v>
      </c>
      <c r="C8" s="2735">
        <f>ROUND(B8*10000/$B$1,0)</f>
        <v>0</v>
      </c>
      <c r="D8" s="2735">
        <f>ROUND(B8*10000/$B$2,0)</f>
        <v>0</v>
      </c>
      <c r="E8" s="2912"/>
      <c r="F8" s="2913"/>
      <c r="G8" s="2913"/>
      <c r="H8" s="2914"/>
      <c r="I8" s="2914"/>
      <c r="J8" s="2914"/>
      <c r="K8" s="2914"/>
    </row>
    <row r="9" spans="1:11" ht="16.5">
      <c r="A9" s="2735" t="s">
        <v>1298</v>
      </c>
      <c r="B9" s="2743"/>
      <c r="C9" s="2912"/>
      <c r="D9" s="2912"/>
      <c r="E9" s="2912"/>
      <c r="F9" s="2913"/>
      <c r="G9" s="2913"/>
      <c r="H9" s="2914"/>
      <c r="I9" s="2914"/>
      <c r="J9" s="2914"/>
      <c r="K9" s="2914"/>
    </row>
    <row r="10" spans="1:11" ht="16.5">
      <c r="A10" s="2735" t="s">
        <v>1297</v>
      </c>
      <c r="B10" s="2743"/>
      <c r="C10" s="2912"/>
      <c r="D10" s="2912"/>
      <c r="E10" s="2912"/>
      <c r="F10" s="2913"/>
      <c r="G10" s="2913"/>
      <c r="H10" s="2914"/>
      <c r="I10" s="2914"/>
      <c r="J10" s="2914"/>
      <c r="K10" s="2914"/>
    </row>
    <row r="11" spans="1:11" ht="16.5">
      <c r="A11" s="2735" t="s">
        <v>1313</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1312</v>
      </c>
      <c r="B13" s="2739" t="s">
        <v>1309</v>
      </c>
      <c r="C13" s="2739" t="s">
        <v>1311</v>
      </c>
      <c r="D13" s="2739" t="s">
        <v>1310</v>
      </c>
      <c r="E13" s="2735" t="s">
        <v>1302</v>
      </c>
      <c r="F13" s="2735" t="s">
        <v>1301</v>
      </c>
      <c r="G13" s="2739" t="s">
        <v>1295</v>
      </c>
      <c r="H13" s="2739" t="s">
        <v>1306</v>
      </c>
      <c r="I13" s="2739" t="s">
        <v>1294</v>
      </c>
      <c r="J13" s="2913"/>
      <c r="K13" s="2914"/>
    </row>
    <row r="14" spans="1:11" ht="16.5">
      <c r="A14" s="2740" t="s">
        <v>1293</v>
      </c>
      <c r="B14" s="2741">
        <f>结果表!B118</f>
        <v>125203.41</v>
      </c>
      <c r="C14" s="2741">
        <f>结果表!C118</f>
        <v>71942</v>
      </c>
      <c r="D14" s="2741">
        <f ca="1">结果表!H118</f>
        <v>168952</v>
      </c>
      <c r="E14" s="2741">
        <f ca="1">ROUND(D14*10000/B14,0)</f>
        <v>13494</v>
      </c>
      <c r="F14" s="2741">
        <f ca="1">ROUND(D14*10000/C14,0)</f>
        <v>23484</v>
      </c>
      <c r="G14" s="2741">
        <f ca="1">结果表!D122</f>
        <v>168952</v>
      </c>
      <c r="H14" s="2741" t="str">
        <f>结果表!D124</f>
        <v>——</v>
      </c>
      <c r="I14" s="2741" t="str">
        <f>结果表!D126</f>
        <v>——</v>
      </c>
      <c r="J14" s="2913"/>
      <c r="K14" s="2914"/>
    </row>
    <row r="15" spans="1:11" ht="16.5">
      <c r="A15" s="2740" t="s">
        <v>1292</v>
      </c>
      <c r="B15" s="2742"/>
      <c r="C15" s="2742"/>
      <c r="D15" s="2742"/>
      <c r="E15" s="2741" t="e">
        <f t="shared" ref="E15:E23" si="0">ROUND(D15*10000/B15,0)</f>
        <v>#DIV/0!</v>
      </c>
      <c r="F15" s="2741" t="e">
        <f t="shared" ref="F15:F23" si="1">ROUND(D15*10000/C15,0)</f>
        <v>#DIV/0!</v>
      </c>
      <c r="G15" s="1498"/>
      <c r="H15" s="1498"/>
      <c r="I15" s="2742"/>
      <c r="J15" s="2913"/>
      <c r="K15" s="2914"/>
    </row>
    <row r="16" spans="1:11" ht="16.5">
      <c r="A16" s="2740" t="s">
        <v>1291</v>
      </c>
      <c r="B16" s="2742"/>
      <c r="C16" s="2742"/>
      <c r="D16" s="2742"/>
      <c r="E16" s="2741" t="e">
        <f t="shared" si="0"/>
        <v>#DIV/0!</v>
      </c>
      <c r="F16" s="2741" t="e">
        <f t="shared" si="1"/>
        <v>#DIV/0!</v>
      </c>
      <c r="G16" s="1498"/>
      <c r="H16" s="1498"/>
      <c r="I16" s="2742"/>
      <c r="J16" s="2914"/>
      <c r="K16" s="2914"/>
    </row>
    <row r="17" spans="1:11" ht="16.5">
      <c r="A17" s="2740" t="s">
        <v>1290</v>
      </c>
      <c r="B17" s="2742"/>
      <c r="C17" s="2742"/>
      <c r="D17" s="2742"/>
      <c r="E17" s="2741" t="e">
        <f t="shared" si="0"/>
        <v>#DIV/0!</v>
      </c>
      <c r="F17" s="2741" t="e">
        <f t="shared" si="1"/>
        <v>#DIV/0!</v>
      </c>
      <c r="G17" s="1498"/>
      <c r="H17" s="1498"/>
      <c r="I17" s="2742"/>
      <c r="J17" s="2914"/>
      <c r="K17" s="2914"/>
    </row>
    <row r="18" spans="1:11" ht="16.5">
      <c r="A18" s="2740" t="s">
        <v>1289</v>
      </c>
      <c r="B18" s="2742"/>
      <c r="C18" s="2742"/>
      <c r="D18" s="2742"/>
      <c r="E18" s="2741" t="e">
        <f t="shared" si="0"/>
        <v>#DIV/0!</v>
      </c>
      <c r="F18" s="2741" t="e">
        <f t="shared" si="1"/>
        <v>#DIV/0!</v>
      </c>
      <c r="G18" s="2742"/>
      <c r="H18" s="2742"/>
      <c r="I18" s="2742"/>
      <c r="J18" s="2914"/>
      <c r="K18" s="2914"/>
    </row>
    <row r="19" spans="1:11" ht="16.5">
      <c r="A19" s="2740" t="s">
        <v>1288</v>
      </c>
      <c r="B19" s="2742"/>
      <c r="C19" s="2742"/>
      <c r="D19" s="2742"/>
      <c r="E19" s="2741" t="e">
        <f t="shared" si="0"/>
        <v>#DIV/0!</v>
      </c>
      <c r="F19" s="2741" t="e">
        <f t="shared" si="1"/>
        <v>#DIV/0!</v>
      </c>
      <c r="G19" s="2742"/>
      <c r="H19" s="2742"/>
      <c r="I19" s="2742"/>
      <c r="J19" s="2914"/>
      <c r="K19" s="2914"/>
    </row>
    <row r="20" spans="1:11" ht="16.5">
      <c r="A20" s="2740" t="s">
        <v>1287</v>
      </c>
      <c r="B20" s="2742"/>
      <c r="C20" s="2742"/>
      <c r="D20" s="2742"/>
      <c r="E20" s="2741" t="e">
        <f t="shared" si="0"/>
        <v>#DIV/0!</v>
      </c>
      <c r="F20" s="2741" t="e">
        <f t="shared" si="1"/>
        <v>#DIV/0!</v>
      </c>
      <c r="G20" s="2742"/>
      <c r="H20" s="2742"/>
      <c r="I20" s="2742"/>
      <c r="J20" s="2914"/>
      <c r="K20" s="2914"/>
    </row>
    <row r="21" spans="1:11" ht="16.5">
      <c r="A21" s="2740" t="s">
        <v>1286</v>
      </c>
      <c r="B21" s="2742"/>
      <c r="C21" s="2742"/>
      <c r="D21" s="2742"/>
      <c r="E21" s="2741" t="e">
        <f t="shared" si="0"/>
        <v>#DIV/0!</v>
      </c>
      <c r="F21" s="2741" t="e">
        <f t="shared" si="1"/>
        <v>#DIV/0!</v>
      </c>
      <c r="G21" s="2742"/>
      <c r="H21" s="2742"/>
      <c r="I21" s="2742"/>
      <c r="J21" s="2914"/>
      <c r="K21" s="2914"/>
    </row>
    <row r="22" spans="1:11" ht="16.5">
      <c r="A22" s="2740" t="s">
        <v>1285</v>
      </c>
      <c r="B22" s="2742"/>
      <c r="C22" s="2742"/>
      <c r="D22" s="2742"/>
      <c r="E22" s="2741" t="e">
        <f t="shared" si="0"/>
        <v>#DIV/0!</v>
      </c>
      <c r="F22" s="2741" t="e">
        <f t="shared" si="1"/>
        <v>#DIV/0!</v>
      </c>
      <c r="G22" s="2742"/>
      <c r="H22" s="2742"/>
      <c r="I22" s="2742"/>
      <c r="J22" s="2914"/>
      <c r="K22" s="2914"/>
    </row>
    <row r="23" spans="1:11" ht="16.5">
      <c r="A23" s="2740" t="s">
        <v>1284</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85" zoomScaleNormal="100" zoomScaleSheetLayoutView="85" zoomScalePageLayoutView="80" workbookViewId="0">
      <selection activeCell="H25" sqref="H25"/>
    </sheetView>
  </sheetViews>
  <sheetFormatPr defaultColWidth="12.625" defaultRowHeight="21.75" customHeight="1"/>
  <cols>
    <col min="1" max="2" width="12.625" style="1936"/>
    <col min="3" max="4" width="12.625" style="1936" customWidth="1"/>
    <col min="5" max="9" width="12.625" style="1936"/>
    <col min="10" max="11" width="12.625" style="731" customWidth="1"/>
    <col min="12" max="12" width="12.625" style="731"/>
    <col min="13" max="13" width="14.125" style="731" bestFit="1" customWidth="1"/>
    <col min="14" max="26" width="12.625" style="731"/>
    <col min="27" max="35" width="12.625" style="1935"/>
    <col min="36" max="16384" width="12.625" style="1936"/>
  </cols>
  <sheetData>
    <row r="1" spans="1:12" ht="21.75" customHeight="1" thickBot="1">
      <c r="A1" s="1820" t="s">
        <v>1926</v>
      </c>
      <c r="B1" s="1930"/>
      <c r="C1" s="1931"/>
      <c r="D1" s="1930"/>
      <c r="E1" s="1930"/>
      <c r="F1" s="1932" t="s">
        <v>1927</v>
      </c>
      <c r="G1" s="1744" t="s">
        <v>3067</v>
      </c>
      <c r="H1" s="1933" t="str">
        <f>IF(G1="现房","——","估价对象范围")</f>
        <v>估价对象范围</v>
      </c>
      <c r="I1" s="1934" t="s">
        <v>3068</v>
      </c>
    </row>
    <row r="2" spans="1:12" ht="21.75" customHeight="1" thickBot="1">
      <c r="A2" s="3272" t="str">
        <f>项目基本情况!S2</f>
        <v>出让国有建设用地使用权及在建建筑物房地产</v>
      </c>
      <c r="B2" s="3273"/>
      <c r="C2" s="3273"/>
      <c r="D2" s="3273"/>
      <c r="E2" s="3273"/>
      <c r="F2" s="3273"/>
      <c r="G2" s="3273"/>
      <c r="H2" s="3273"/>
      <c r="I2" s="3274"/>
    </row>
    <row r="3" spans="1:12" ht="12.75">
      <c r="A3" s="3276" t="s">
        <v>1928</v>
      </c>
      <c r="B3" s="3277"/>
      <c r="C3" s="3277"/>
      <c r="D3" s="3277"/>
      <c r="E3" s="3277"/>
      <c r="F3" s="3277"/>
      <c r="G3" s="3277"/>
      <c r="H3" s="3277"/>
      <c r="I3" s="3277"/>
    </row>
    <row r="4" spans="1:12" ht="14.25">
      <c r="A4" s="1937" t="s">
        <v>1929</v>
      </c>
      <c r="B4" s="1938" t="s">
        <v>1930</v>
      </c>
      <c r="C4" s="1939" t="s">
        <v>3065</v>
      </c>
      <c r="D4" s="1939" t="s">
        <v>3066</v>
      </c>
      <c r="E4" s="3281" t="s">
        <v>1931</v>
      </c>
      <c r="F4" s="3282"/>
      <c r="G4" s="3282"/>
      <c r="H4" s="3282"/>
      <c r="I4" s="3283"/>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假设开发法</v>
      </c>
    </row>
    <row r="5" spans="1:12" ht="12.75">
      <c r="A5" s="3217" t="s">
        <v>1932</v>
      </c>
      <c r="B5" s="3275">
        <v>25</v>
      </c>
      <c r="C5" s="3278"/>
      <c r="D5" s="3266"/>
      <c r="E5" s="133" t="s">
        <v>1933</v>
      </c>
      <c r="F5" s="1940"/>
      <c r="G5" s="1940"/>
      <c r="H5" s="1940"/>
      <c r="I5" s="1555"/>
    </row>
    <row r="6" spans="1:12" ht="12.75">
      <c r="A6" s="3217"/>
      <c r="B6" s="3275"/>
      <c r="C6" s="3280"/>
      <c r="D6" s="3266"/>
      <c r="E6" s="133" t="s">
        <v>1934</v>
      </c>
      <c r="F6" s="1940"/>
      <c r="G6" s="1940"/>
      <c r="H6" s="1940"/>
      <c r="I6" s="1555"/>
    </row>
    <row r="7" spans="1:12" ht="12.75">
      <c r="A7" s="3217"/>
      <c r="B7" s="3275"/>
      <c r="C7" s="3279"/>
      <c r="D7" s="3266"/>
      <c r="E7" s="133" t="s">
        <v>1935</v>
      </c>
      <c r="F7" s="1940"/>
      <c r="G7" s="1940"/>
      <c r="H7" s="1940"/>
      <c r="I7" s="1555"/>
    </row>
    <row r="8" spans="1:12" ht="12.75">
      <c r="A8" s="3217" t="s">
        <v>1936</v>
      </c>
      <c r="B8" s="3275">
        <v>15</v>
      </c>
      <c r="C8" s="3278"/>
      <c r="D8" s="3266"/>
      <c r="E8" s="133" t="s">
        <v>1937</v>
      </c>
      <c r="F8" s="1940"/>
      <c r="G8" s="1940"/>
      <c r="H8" s="1940"/>
      <c r="I8" s="1555"/>
    </row>
    <row r="9" spans="1:12" ht="12.75">
      <c r="A9" s="3217"/>
      <c r="B9" s="3275"/>
      <c r="C9" s="3279"/>
      <c r="D9" s="3266"/>
      <c r="E9" s="133" t="s">
        <v>1938</v>
      </c>
      <c r="F9" s="1940"/>
      <c r="G9" s="1940"/>
      <c r="H9" s="1940"/>
      <c r="I9" s="1555"/>
    </row>
    <row r="10" spans="1:12" ht="12.75">
      <c r="A10" s="3217" t="s">
        <v>1939</v>
      </c>
      <c r="B10" s="3275">
        <v>15</v>
      </c>
      <c r="C10" s="3278"/>
      <c r="D10" s="3266"/>
      <c r="E10" s="133" t="s">
        <v>1940</v>
      </c>
      <c r="F10" s="1940"/>
      <c r="G10" s="1940"/>
      <c r="H10" s="1940"/>
      <c r="I10" s="1555"/>
    </row>
    <row r="11" spans="1:12" ht="12.75">
      <c r="A11" s="3217"/>
      <c r="B11" s="3275"/>
      <c r="C11" s="3279"/>
      <c r="D11" s="3266"/>
      <c r="E11" s="133" t="s">
        <v>1941</v>
      </c>
      <c r="F11" s="1940"/>
      <c r="G11" s="1940"/>
      <c r="H11" s="1940"/>
      <c r="I11" s="1555"/>
    </row>
    <row r="12" spans="1:12" ht="12.75">
      <c r="A12" s="3217" t="s">
        <v>1942</v>
      </c>
      <c r="B12" s="3275">
        <v>15</v>
      </c>
      <c r="C12" s="3278"/>
      <c r="D12" s="3266"/>
      <c r="E12" s="133" t="s">
        <v>1943</v>
      </c>
      <c r="F12" s="1940"/>
      <c r="G12" s="1940"/>
      <c r="H12" s="1940"/>
      <c r="I12" s="1555"/>
    </row>
    <row r="13" spans="1:12" ht="12.75">
      <c r="A13" s="3217"/>
      <c r="B13" s="3275"/>
      <c r="C13" s="3279"/>
      <c r="D13" s="3266"/>
      <c r="E13" s="133" t="s">
        <v>1944</v>
      </c>
      <c r="F13" s="1940"/>
      <c r="G13" s="1940"/>
      <c r="H13" s="1940"/>
      <c r="I13" s="1555"/>
    </row>
    <row r="14" spans="1:12" ht="12.75">
      <c r="A14" s="3217" t="s">
        <v>1945</v>
      </c>
      <c r="B14" s="3275">
        <v>30</v>
      </c>
      <c r="C14" s="3278">
        <v>5</v>
      </c>
      <c r="D14" s="3266">
        <v>5</v>
      </c>
      <c r="E14" s="133" t="s">
        <v>1946</v>
      </c>
      <c r="F14" s="1940"/>
      <c r="G14" s="1940"/>
      <c r="H14" s="1940"/>
      <c r="I14" s="1555"/>
    </row>
    <row r="15" spans="1:12" ht="12.75">
      <c r="A15" s="3217"/>
      <c r="B15" s="3275"/>
      <c r="C15" s="3280"/>
      <c r="D15" s="3266"/>
      <c r="E15" s="133" t="s">
        <v>1947</v>
      </c>
      <c r="F15" s="1940"/>
      <c r="G15" s="1940"/>
      <c r="H15" s="1940"/>
      <c r="I15" s="1555"/>
    </row>
    <row r="16" spans="1:12" ht="12.75">
      <c r="A16" s="3217"/>
      <c r="B16" s="3275"/>
      <c r="C16" s="3279"/>
      <c r="D16" s="3266"/>
      <c r="E16" s="133" t="s">
        <v>1948</v>
      </c>
      <c r="F16" s="1940"/>
      <c r="G16" s="1940"/>
      <c r="H16" s="1940"/>
      <c r="I16" s="1555"/>
    </row>
    <row r="17" spans="1:36" ht="15">
      <c r="A17" s="1941" t="s">
        <v>1949</v>
      </c>
      <c r="B17" s="57"/>
      <c r="C17" s="134">
        <f>SUM(C5:C16)</f>
        <v>5</v>
      </c>
      <c r="D17" s="134">
        <f>SUM(D5:D16)</f>
        <v>5</v>
      </c>
      <c r="E17" s="131"/>
      <c r="F17" s="131"/>
      <c r="G17" s="131"/>
      <c r="H17" s="131"/>
      <c r="I17" s="131"/>
      <c r="K17" s="305"/>
      <c r="L17" s="305" t="s">
        <v>1950</v>
      </c>
      <c r="M17" s="305" t="s">
        <v>1951</v>
      </c>
    </row>
    <row r="18" spans="1:36" ht="31.7" customHeight="1" thickBot="1">
      <c r="A18" s="1942" t="s">
        <v>1952</v>
      </c>
      <c r="B18" s="1943"/>
      <c r="C18" s="135">
        <f>ROUND(C17/SUM(C17:D17),2)</f>
        <v>0.5</v>
      </c>
      <c r="D18" s="135">
        <f>1-C18</f>
        <v>0.5</v>
      </c>
      <c r="E18" s="3297" t="s">
        <v>2849</v>
      </c>
      <c r="F18" s="3298"/>
      <c r="G18" s="3298"/>
      <c r="H18" s="3298"/>
      <c r="I18" s="3298"/>
      <c r="K18" s="305" t="s">
        <v>1953</v>
      </c>
      <c r="L18" s="305">
        <f>IF(C1="",'数据-汇总表'!E3,SUMIF(项目类型,C1,'数据-汇总表'!E17:E26)+SUMIF(项目类型,C1,'数据-汇总表'!I17:I26))</f>
        <v>125203.41</v>
      </c>
      <c r="M18" s="305">
        <f>IF(C1="",'数据-汇总表'!E3,SUMIF(项目类型,C1,'数据-汇总表'!E17:E26))</f>
        <v>125203.41</v>
      </c>
    </row>
    <row r="19" spans="1:36" ht="15">
      <c r="A19" s="1944" t="s">
        <v>1954</v>
      </c>
      <c r="B19" s="1945" t="s">
        <v>1955</v>
      </c>
      <c r="C19" s="136">
        <f ca="1">SUMIF(INDIRECT("'"&amp;C4&amp;"'"&amp;"!A:A"),结果表!B19,INDIRECT("'"&amp;C4&amp;"'"&amp;"!B:B"))</f>
        <v>165230</v>
      </c>
      <c r="D19" s="137">
        <f ca="1">SUMIF(INDIRECT("'"&amp;D4&amp;"'"&amp;"!A:A"),结果表!B19,INDIRECT("'"&amp;D4&amp;"'"&amp;"!B:B"))</f>
        <v>172674</v>
      </c>
      <c r="E19" s="1944" t="s">
        <v>1956</v>
      </c>
      <c r="F19" s="1945" t="s">
        <v>1955</v>
      </c>
      <c r="G19" s="138">
        <f ca="1">ROUND(C19*$C$18+D19*$D$18,0)</f>
        <v>168952</v>
      </c>
      <c r="H19" s="1946" t="s">
        <v>1957</v>
      </c>
      <c r="I19" s="131"/>
      <c r="K19" s="305" t="s">
        <v>1958</v>
      </c>
      <c r="L19" s="305">
        <f>IF(C1="",'数据-汇总表'!D3,SUMIF(项目类型,C1,'数据-汇总表'!D17:D26)+SUMIF(项目类型,C1,'数据-汇总表'!H17:H27))</f>
        <v>71942</v>
      </c>
      <c r="M19" s="305">
        <f>IF(C1="",'数据-汇总表'!D3,SUMIF(项目类型,C1,'数据-汇总表'!D17:D26))</f>
        <v>71942</v>
      </c>
    </row>
    <row r="20" spans="1:36" ht="15">
      <c r="A20" s="1947"/>
      <c r="B20" s="1154" t="s">
        <v>1959</v>
      </c>
      <c r="C20" s="139">
        <f ca="1">SUMIF(INDIRECT("'"&amp;C4&amp;"'"&amp;"!A:A"),结果表!B20,INDIRECT("'"&amp;C4&amp;"'"&amp;"!B:B"))</f>
        <v>13197</v>
      </c>
      <c r="D20" s="140">
        <f ca="1">SUMIF(INDIRECT("'"&amp;D4&amp;"'"&amp;"!A:A"),结果表!B20,INDIRECT("'"&amp;D4&amp;"'"&amp;"!B:B"))</f>
        <v>13791</v>
      </c>
      <c r="E20" s="1947"/>
      <c r="F20" s="1154" t="s">
        <v>1959</v>
      </c>
      <c r="G20" s="141">
        <f ca="1">ROUND(C20*$C$18+D20*$D$18,0)</f>
        <v>13494</v>
      </c>
      <c r="H20" s="914" t="s">
        <v>1960</v>
      </c>
      <c r="I20" s="131"/>
    </row>
    <row r="21" spans="1:36" ht="15" customHeight="1" thickBot="1">
      <c r="A21" s="934"/>
      <c r="B21" s="1948" t="s">
        <v>1961</v>
      </c>
      <c r="C21" s="725">
        <f ca="1">ROUND(C19*10000/L19,0)</f>
        <v>22967</v>
      </c>
      <c r="D21" s="726">
        <f ca="1">ROUND(D19*10000/L19,0)</f>
        <v>24002</v>
      </c>
      <c r="E21" s="934"/>
      <c r="F21" s="1948" t="s">
        <v>1961</v>
      </c>
      <c r="G21" s="142">
        <f ca="1">ROUND(G19*10000/L19,0)</f>
        <v>23484</v>
      </c>
      <c r="H21" s="1949" t="s">
        <v>1960</v>
      </c>
      <c r="I21" s="131"/>
    </row>
    <row r="22" spans="1:36" ht="15" thickBot="1">
      <c r="A22" s="1871" t="s">
        <v>1962</v>
      </c>
      <c r="B22" s="1950"/>
      <c r="C22" s="1951"/>
      <c r="D22" s="727">
        <f ca="1">IF(C19&lt;D19,D19/C19-1,C19/D19-1)</f>
        <v>4.5052351267929502E-2</v>
      </c>
      <c r="E22" s="131"/>
      <c r="F22" s="131"/>
      <c r="G22" s="131"/>
      <c r="H22" s="131"/>
      <c r="I22" s="131"/>
    </row>
    <row r="23" spans="1:36" ht="13.5" thickBot="1">
      <c r="A23" s="1930"/>
      <c r="B23" s="1930"/>
      <c r="C23" s="1930"/>
      <c r="D23" s="1930"/>
      <c r="E23" s="131"/>
      <c r="F23" s="131"/>
      <c r="G23" s="131"/>
      <c r="H23" s="131"/>
      <c r="I23" s="131"/>
    </row>
    <row r="24" spans="1:36" ht="14.25">
      <c r="A24" s="3290" t="s">
        <v>1963</v>
      </c>
      <c r="B24" s="1945" t="s">
        <v>1955</v>
      </c>
      <c r="C24" s="138">
        <f>IF(B30=0,0,D30)</f>
        <v>0</v>
      </c>
      <c r="D24" s="1952"/>
      <c r="E24" s="131"/>
      <c r="F24" s="131"/>
      <c r="G24" s="131"/>
      <c r="H24" s="131"/>
      <c r="I24" s="131"/>
    </row>
    <row r="25" spans="1:36" ht="14.25">
      <c r="A25" s="3291"/>
      <c r="B25" s="1154" t="s">
        <v>1959</v>
      </c>
      <c r="C25" s="143">
        <f>IF(B30=0,0,C30)</f>
        <v>0</v>
      </c>
      <c r="D25" s="1953"/>
      <c r="E25" s="131"/>
      <c r="F25" s="131"/>
      <c r="G25" s="131"/>
      <c r="H25" s="131"/>
      <c r="I25" s="131"/>
    </row>
    <row r="26" spans="1:36" ht="13.5" customHeight="1">
      <c r="A26" s="1954" t="s">
        <v>1964</v>
      </c>
      <c r="B26" s="144" t="s">
        <v>1965</v>
      </c>
      <c r="C26" s="144" t="s">
        <v>1966</v>
      </c>
      <c r="D26" s="145" t="s">
        <v>1967</v>
      </c>
      <c r="E26" s="131"/>
      <c r="F26" s="131"/>
      <c r="G26" s="131"/>
      <c r="H26" s="131"/>
      <c r="I26" s="131"/>
    </row>
    <row r="27" spans="1:36" ht="14.25">
      <c r="A27" s="1954"/>
      <c r="B27" s="144">
        <v>0</v>
      </c>
      <c r="C27" s="144">
        <v>0</v>
      </c>
      <c r="D27" s="145">
        <f>ROUND(C27*B27/10000,0)</f>
        <v>0</v>
      </c>
      <c r="E27" s="131"/>
      <c r="F27" s="131"/>
      <c r="G27" s="131"/>
      <c r="H27" s="131"/>
      <c r="I27" s="131"/>
    </row>
    <row r="28" spans="1:36" ht="14.25">
      <c r="A28" s="1954"/>
      <c r="B28" s="144"/>
      <c r="C28" s="144"/>
      <c r="D28" s="145"/>
      <c r="E28" s="131"/>
      <c r="F28" s="131"/>
      <c r="G28" s="131"/>
      <c r="H28" s="131"/>
      <c r="I28" s="131"/>
    </row>
    <row r="29" spans="1:36" ht="14.25">
      <c r="A29" s="1954"/>
      <c r="B29" s="144"/>
      <c r="C29" s="144"/>
      <c r="D29" s="145"/>
      <c r="E29" s="131"/>
      <c r="F29" s="131"/>
      <c r="G29" s="131"/>
      <c r="H29" s="131"/>
      <c r="I29" s="131"/>
    </row>
    <row r="30" spans="1:36" ht="15" thickBot="1">
      <c r="A30" s="144" t="s">
        <v>1968</v>
      </c>
      <c r="B30" s="144"/>
      <c r="C30" s="144"/>
      <c r="D30" s="144"/>
      <c r="E30" s="2518" t="s">
        <v>2850</v>
      </c>
      <c r="F30" s="131"/>
      <c r="G30" s="131"/>
      <c r="H30" s="131"/>
      <c r="I30" s="131"/>
    </row>
    <row r="31" spans="1:36" s="2524" customFormat="1" ht="26.45" customHeight="1" thickTop="1" thickBot="1">
      <c r="A31" s="2519"/>
      <c r="B31" s="2520"/>
      <c r="C31" s="2520"/>
      <c r="D31" s="2520"/>
      <c r="E31" s="2520"/>
      <c r="F31" s="2520"/>
      <c r="G31" s="2520"/>
      <c r="H31" s="2520"/>
      <c r="I31" s="2521" t="s">
        <v>2851</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1969</v>
      </c>
      <c r="B32" s="1957"/>
      <c r="C32" s="146">
        <f ca="1">IF(D32="总价",G19-C24,G20-C25)</f>
        <v>168952</v>
      </c>
      <c r="D32" s="1958" t="s">
        <v>3298</v>
      </c>
      <c r="E32" s="131"/>
      <c r="F32" s="131"/>
      <c r="G32" s="131"/>
      <c r="H32" s="131"/>
      <c r="I32" s="131"/>
    </row>
    <row r="33" spans="1:15" ht="15">
      <c r="A33" s="891" t="s">
        <v>1970</v>
      </c>
      <c r="B33" s="1959"/>
      <c r="C33" s="1960" t="s">
        <v>3299</v>
      </c>
      <c r="D33" s="1961" t="s">
        <v>3065</v>
      </c>
      <c r="E33" s="1962" t="s">
        <v>1971</v>
      </c>
      <c r="F33" s="1963" t="str">
        <f>IF(D32="楼面单价","取值（单价）","取值（总价）")</f>
        <v>取值（总价）</v>
      </c>
      <c r="G33" s="131"/>
      <c r="H33" s="131"/>
      <c r="I33" s="131"/>
    </row>
    <row r="34" spans="1:15" ht="15">
      <c r="A34" s="1964"/>
      <c r="B34" s="1965" t="s">
        <v>1972</v>
      </c>
      <c r="C34" s="150">
        <f ca="1">IF(C33="自定义",F34,C32-C35)</f>
        <v>160673</v>
      </c>
      <c r="D34" s="967">
        <f ca="1">IF(C33="自定义",ROUND(C34/C32,3),IF(C33="收益比率",SUMIF(INDIRECT("'"&amp;D33&amp;"'"&amp;"!b:b"),"土地收益比率",INDIRECT("'"&amp;D33&amp;"'"&amp;"!c:c")),SUMIF(INDIRECT("'"&amp;D33&amp;"'"&amp;"!b:b"),"土地成本比率",INDIRECT("'"&amp;D33&amp;"'"&amp;"!c:c"))))</f>
        <v>0.95099999999999996</v>
      </c>
      <c r="E34" s="1966" t="s">
        <v>1973</v>
      </c>
      <c r="F34" s="1496"/>
      <c r="G34" s="131"/>
      <c r="H34" s="131"/>
      <c r="I34" s="131"/>
    </row>
    <row r="35" spans="1:15" ht="15.75" thickBot="1">
      <c r="A35" s="1967"/>
      <c r="B35" s="1968" t="s">
        <v>1974</v>
      </c>
      <c r="C35" s="1329">
        <f ca="1">IF(C33="自定义",F35,ROUND(C32*D35,0))</f>
        <v>8279</v>
      </c>
      <c r="D35" s="1330">
        <f ca="1">IF(C33="自定义",ROUND(C35/C32,3),IF(C33="收益比率",SUMIF(INDIRECT("'"&amp;D33&amp;"'"&amp;"!b:b"),"建筑物收益比率",INDIRECT("'"&amp;D33&amp;"'"&amp;"!c:c")),SUMIF(INDIRECT("'"&amp;D33&amp;"'"&amp;"!b:b"),"建筑物成本比率",INDIRECT("'"&amp;D33&amp;"'"&amp;"!c:c"))))</f>
        <v>4.9000000000000002E-2</v>
      </c>
      <c r="E35" s="1969" t="s">
        <v>1975</v>
      </c>
      <c r="F35" s="156"/>
      <c r="G35" s="131"/>
      <c r="H35" s="131"/>
      <c r="I35" s="131"/>
    </row>
    <row r="36" spans="1:15" ht="15.75" thickBot="1">
      <c r="A36" s="3267" t="s">
        <v>1976</v>
      </c>
      <c r="B36" s="1970" t="s">
        <v>1977</v>
      </c>
      <c r="C36" s="147"/>
      <c r="D36" s="1971"/>
      <c r="E36" s="1972"/>
      <c r="F36" s="1973"/>
      <c r="G36" s="131"/>
      <c r="H36" s="131"/>
      <c r="I36" s="131"/>
    </row>
    <row r="37" spans="1:15" ht="15.75" thickBot="1">
      <c r="A37" s="3268"/>
      <c r="B37" s="1857" t="s">
        <v>1978</v>
      </c>
      <c r="C37" s="149"/>
      <c r="D37" s="1298"/>
      <c r="E37" s="1298"/>
      <c r="F37" s="1973"/>
      <c r="G37" s="131"/>
      <c r="H37" s="131"/>
      <c r="I37" s="131"/>
    </row>
    <row r="38" spans="1:15" ht="15.75" thickBot="1">
      <c r="A38" s="3269"/>
      <c r="B38" s="1974" t="s">
        <v>1979</v>
      </c>
      <c r="C38" s="680"/>
      <c r="D38" s="1975" t="s">
        <v>1980</v>
      </c>
      <c r="E38" s="1298"/>
      <c r="F38" s="1973"/>
      <c r="G38" s="131"/>
      <c r="H38" s="131"/>
      <c r="I38" s="131"/>
    </row>
    <row r="39" spans="1:15" ht="15">
      <c r="A39" s="1947" t="s">
        <v>1981</v>
      </c>
      <c r="B39" s="1976" t="s">
        <v>1982</v>
      </c>
      <c r="C39" s="1977" t="s">
        <v>1983</v>
      </c>
      <c r="D39" s="1977" t="s">
        <v>1984</v>
      </c>
      <c r="E39" s="1978" t="s">
        <v>1985</v>
      </c>
      <c r="F39" s="1973"/>
      <c r="G39" s="131"/>
      <c r="H39" s="131"/>
      <c r="I39" s="131"/>
    </row>
    <row r="40" spans="1:15" ht="14.25">
      <c r="A40" s="1979" t="s">
        <v>1986</v>
      </c>
      <c r="B40" s="151"/>
      <c r="C40" s="152"/>
      <c r="D40" s="152"/>
      <c r="E40" s="153"/>
      <c r="F40" s="1973"/>
      <c r="G40" s="131"/>
      <c r="H40" s="131"/>
      <c r="I40" s="131"/>
    </row>
    <row r="41" spans="1:15" ht="14.25">
      <c r="A41" s="1979" t="s">
        <v>1987</v>
      </c>
      <c r="B41" s="151"/>
      <c r="C41" s="152"/>
      <c r="D41" s="152"/>
      <c r="E41" s="153"/>
      <c r="F41" s="1973"/>
      <c r="G41" s="131"/>
      <c r="H41" s="131"/>
      <c r="I41" s="131"/>
    </row>
    <row r="42" spans="1:15" ht="15" thickBot="1">
      <c r="A42" s="1980"/>
      <c r="B42" s="154"/>
      <c r="C42" s="155"/>
      <c r="D42" s="155"/>
      <c r="E42" s="156"/>
      <c r="F42" s="1973"/>
      <c r="G42" s="131"/>
      <c r="H42" s="131"/>
      <c r="I42" s="131"/>
    </row>
    <row r="43" spans="1:15" ht="12.75">
      <c r="A43" s="1760"/>
      <c r="B43" s="1760"/>
      <c r="C43" s="1760"/>
      <c r="D43" s="1760"/>
      <c r="E43" s="1760"/>
      <c r="F43" s="1981"/>
      <c r="G43" s="1981"/>
      <c r="H43" s="1981"/>
      <c r="I43" s="1982"/>
    </row>
    <row r="44" spans="1:15" ht="18.75">
      <c r="A44" s="1983" t="s">
        <v>1988</v>
      </c>
      <c r="B44" s="1984"/>
      <c r="C44" s="1984"/>
      <c r="D44" s="1985"/>
      <c r="E44" s="1985"/>
      <c r="F44" s="1986"/>
      <c r="G44" s="1986"/>
      <c r="H44" s="1986"/>
      <c r="I44" s="1986"/>
      <c r="J44" s="1987" t="s">
        <v>1989</v>
      </c>
      <c r="K44" s="1988"/>
      <c r="L44" s="1988"/>
      <c r="M44" s="1988"/>
      <c r="N44" s="1988"/>
      <c r="O44" s="1988"/>
    </row>
    <row r="45" spans="1:15" ht="14.25" customHeight="1" thickBot="1">
      <c r="A45" s="3287" t="s">
        <v>1990</v>
      </c>
      <c r="B45" s="3288"/>
      <c r="C45" s="3289"/>
      <c r="D45" s="157">
        <f ca="1">ROUND(H101*F45,0)</f>
        <v>168952</v>
      </c>
      <c r="E45" s="158" t="s">
        <v>1991</v>
      </c>
      <c r="F45" s="159">
        <v>1</v>
      </c>
      <c r="G45" s="160" t="s">
        <v>1992</v>
      </c>
      <c r="H45" s="131"/>
      <c r="I45" s="131"/>
      <c r="J45" s="3204" t="s">
        <v>1993</v>
      </c>
      <c r="K45" s="3204"/>
      <c r="L45" s="3204"/>
      <c r="M45" s="3204"/>
      <c r="N45" s="3204"/>
      <c r="O45" s="3204"/>
    </row>
    <row r="46" spans="1:15" ht="14.25" customHeight="1">
      <c r="A46" s="3284" t="s">
        <v>1994</v>
      </c>
      <c r="B46" s="3285"/>
      <c r="C46" s="3285"/>
      <c r="D46" s="3285"/>
      <c r="E46" s="3285"/>
      <c r="F46" s="3285"/>
      <c r="G46" s="3286"/>
      <c r="H46" s="1989"/>
      <c r="I46" s="161"/>
      <c r="J46" s="2746">
        <v>1</v>
      </c>
      <c r="K46" s="3205" t="s">
        <v>1995</v>
      </c>
      <c r="L46" s="3205"/>
      <c r="M46" s="3206"/>
      <c r="N46" s="3206"/>
      <c r="O46" s="3206"/>
    </row>
    <row r="47" spans="1:15" ht="12" customHeight="1">
      <c r="A47" s="162" t="s">
        <v>1996</v>
      </c>
      <c r="B47" s="163"/>
      <c r="C47" s="164"/>
      <c r="D47" s="1244" t="s">
        <v>1997</v>
      </c>
      <c r="E47" s="305" t="s">
        <v>1998</v>
      </c>
      <c r="F47" s="165" t="s">
        <v>1999</v>
      </c>
      <c r="G47" s="2769" t="s">
        <v>2000</v>
      </c>
      <c r="H47" s="2770"/>
      <c r="I47" s="161"/>
      <c r="J47" s="2746">
        <v>2</v>
      </c>
      <c r="K47" s="3205" t="s">
        <v>2001</v>
      </c>
      <c r="L47" s="3205"/>
      <c r="M47" s="3207">
        <f>'数据-取费表'!B2</f>
        <v>44236</v>
      </c>
      <c r="N47" s="3207"/>
      <c r="O47" s="3207"/>
    </row>
    <row r="48" spans="1:15" ht="25.5">
      <c r="A48" s="3270" t="s">
        <v>2002</v>
      </c>
      <c r="B48" s="3271"/>
      <c r="C48" s="3271"/>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2003</v>
      </c>
      <c r="H48" s="2773"/>
      <c r="I48" s="1989"/>
      <c r="J48" s="2746">
        <v>3</v>
      </c>
      <c r="K48" s="3205" t="s">
        <v>2004</v>
      </c>
      <c r="L48" s="3205"/>
      <c r="M48" s="3208">
        <f ca="1">H101</f>
        <v>168952</v>
      </c>
      <c r="N48" s="3208"/>
      <c r="O48" s="3208"/>
    </row>
    <row r="49" spans="1:35" ht="25.5" customHeight="1">
      <c r="A49" s="2553" t="s">
        <v>2005</v>
      </c>
      <c r="B49" s="3253" t="s">
        <v>2006</v>
      </c>
      <c r="C49" s="3253"/>
      <c r="D49" s="1773">
        <v>0</v>
      </c>
      <c r="E49" s="327" t="s">
        <v>2007</v>
      </c>
      <c r="F49" s="2647" t="s">
        <v>31</v>
      </c>
      <c r="G49" s="3236"/>
      <c r="H49" s="2525" t="s">
        <v>2852</v>
      </c>
      <c r="I49" s="2526"/>
      <c r="J49" s="2746">
        <v>4</v>
      </c>
      <c r="K49" s="3205" t="str">
        <f>IF(项目基本情况!E8="房地产抵押价值","房地产抵押价值","抵押担保权已注销时的房地产抵押价值")</f>
        <v>抵押担保权已注销时的房地产抵押价值</v>
      </c>
      <c r="L49" s="3205"/>
      <c r="M49" s="3208" t="str">
        <f>IF(项目基本情况!E8="房地产抵押价值",H107,H109)</f>
        <v>——</v>
      </c>
      <c r="N49" s="3208"/>
      <c r="O49" s="3208"/>
    </row>
    <row r="50" spans="1:35" ht="25.5" customHeight="1">
      <c r="A50" s="2774"/>
      <c r="B50" s="3253" t="s">
        <v>2008</v>
      </c>
      <c r="C50" s="3253"/>
      <c r="D50" s="2775"/>
      <c r="E50" s="335"/>
      <c r="F50" s="2647"/>
      <c r="G50" s="3237"/>
      <c r="H50" s="2527" t="s">
        <v>2853</v>
      </c>
      <c r="I50" s="2526"/>
      <c r="J50" s="3204" t="s">
        <v>2009</v>
      </c>
      <c r="K50" s="3204"/>
      <c r="L50" s="3204"/>
      <c r="M50" s="3204"/>
      <c r="N50" s="3204"/>
      <c r="O50" s="3204"/>
    </row>
    <row r="51" spans="1:35" ht="20.45" customHeight="1">
      <c r="A51" s="2776"/>
      <c r="B51" s="3253" t="s">
        <v>2010</v>
      </c>
      <c r="C51" s="3253"/>
      <c r="D51" s="1244"/>
      <c r="E51" s="330"/>
      <c r="F51" s="2647"/>
      <c r="G51" s="3238"/>
      <c r="H51" s="2527" t="s">
        <v>2854</v>
      </c>
      <c r="I51" s="2526"/>
      <c r="J51" s="2747" t="s">
        <v>2011</v>
      </c>
      <c r="K51" s="3205" t="s">
        <v>2012</v>
      </c>
      <c r="L51" s="3205"/>
      <c r="M51" s="2747" t="s">
        <v>2013</v>
      </c>
      <c r="N51" s="2747" t="s">
        <v>2014</v>
      </c>
      <c r="O51" s="2747" t="s">
        <v>2015</v>
      </c>
    </row>
    <row r="52" spans="1:35" ht="24" customHeight="1">
      <c r="A52" s="2555" t="s">
        <v>2016</v>
      </c>
      <c r="B52" s="3253" t="s">
        <v>2017</v>
      </c>
      <c r="C52" s="3253"/>
      <c r="D52" s="1244">
        <f ca="1">ROUND(D45*'数据-取费表'!B41/(1+'数据-取费表'!C42),0)</f>
        <v>9011</v>
      </c>
      <c r="E52" s="2554" t="s">
        <v>2018</v>
      </c>
      <c r="F52" s="2777">
        <f>'数据-取费表'!B41</f>
        <v>5.6000000000000001E-2</v>
      </c>
      <c r="G52" s="2778"/>
      <c r="H52" s="2767"/>
      <c r="I52" s="1990"/>
      <c r="J52" s="2746">
        <v>1</v>
      </c>
      <c r="K52" s="3230" t="s">
        <v>2019</v>
      </c>
      <c r="L52" s="3230"/>
      <c r="M52" s="2748" t="b">
        <f>D48</f>
        <v>0</v>
      </c>
      <c r="N52" s="2746" t="str">
        <f>E48</f>
        <v>销售额×税（费）率</v>
      </c>
      <c r="O52" s="2749">
        <f>F48</f>
        <v>5.6000000000000001E-2</v>
      </c>
    </row>
    <row r="53" spans="1:35" ht="12" customHeight="1">
      <c r="A53" s="2555" t="s">
        <v>2020</v>
      </c>
      <c r="B53" s="3254" t="s">
        <v>3013</v>
      </c>
      <c r="C53" s="3255"/>
      <c r="D53" s="1244">
        <f ca="1">ROUND(D45*'数据-取费表'!B41/(1+'数据-取费表'!C42),0)</f>
        <v>9011</v>
      </c>
      <c r="E53" s="2554" t="s">
        <v>2018</v>
      </c>
      <c r="F53" s="2777">
        <f>'数据-取费表'!B41</f>
        <v>5.6000000000000001E-2</v>
      </c>
      <c r="G53" s="2778"/>
      <c r="H53" s="2767"/>
      <c r="I53" s="1990"/>
      <c r="J53" s="2746">
        <v>2</v>
      </c>
      <c r="K53" s="3230" t="s">
        <v>2021</v>
      </c>
      <c r="L53" s="3230"/>
      <c r="M53" s="2748">
        <f t="shared" ref="M53:O54" ca="1" si="0">D55</f>
        <v>84</v>
      </c>
      <c r="N53" s="2746" t="str">
        <f t="shared" si="0"/>
        <v>销售额×税（费）率</v>
      </c>
      <c r="O53" s="2749" t="str">
        <f t="shared" si="0"/>
        <v>免征</v>
      </c>
    </row>
    <row r="54" spans="1:35" ht="12" customHeight="1">
      <c r="A54" s="2555" t="s">
        <v>2022</v>
      </c>
      <c r="B54" s="3254" t="s">
        <v>3014</v>
      </c>
      <c r="C54" s="3255"/>
      <c r="D54" s="1244">
        <f ca="1">C68</f>
        <v>9011</v>
      </c>
      <c r="E54" s="330" t="s">
        <v>2023</v>
      </c>
      <c r="F54" s="2777">
        <f>'数据-取费表'!B41</f>
        <v>5.6000000000000001E-2</v>
      </c>
      <c r="G54" s="2778"/>
      <c r="H54" s="2779"/>
      <c r="I54" s="1990"/>
      <c r="J54" s="2746">
        <v>3</v>
      </c>
      <c r="K54" s="3230" t="s">
        <v>2024</v>
      </c>
      <c r="L54" s="3230"/>
      <c r="M54" s="2748">
        <f t="shared" ca="1" si="0"/>
        <v>95627</v>
      </c>
      <c r="N54" s="2746" t="str">
        <f t="shared" si="0"/>
        <v>增值额×税（费）率</v>
      </c>
      <c r="O54" s="2750" t="str">
        <f t="shared" si="0"/>
        <v>免征</v>
      </c>
    </row>
    <row r="55" spans="1:35" ht="24" customHeight="1">
      <c r="A55" s="3293" t="s">
        <v>2025</v>
      </c>
      <c r="B55" s="3271"/>
      <c r="C55" s="3271"/>
      <c r="D55" s="2544">
        <f ca="1">IF(H55="个人住宅",0,ROUND(D45*I55,0))</f>
        <v>84</v>
      </c>
      <c r="E55" s="2554" t="s">
        <v>2026</v>
      </c>
      <c r="F55" s="2777" t="str">
        <f>IF(H55="正常",I55,"免征")</f>
        <v>免征</v>
      </c>
      <c r="G55" s="2778"/>
      <c r="H55" s="2773"/>
      <c r="I55" s="167">
        <f>'数据-取费表'!B49</f>
        <v>5.0000000000000001E-4</v>
      </c>
      <c r="J55" s="2746">
        <f>IF(H59="非个人房产","",4)</f>
        <v>4</v>
      </c>
      <c r="K55" s="3230" t="str">
        <f>IF(H59="非个人房产","——","个人所得税")</f>
        <v>个人所得税</v>
      </c>
      <c r="L55" s="3230"/>
      <c r="M55" s="2751">
        <f ca="1">D59</f>
        <v>1609</v>
      </c>
      <c r="N55" s="2225" t="str">
        <f>E59</f>
        <v>差额计税</v>
      </c>
      <c r="O55" s="2752">
        <f>F59</f>
        <v>0.01</v>
      </c>
    </row>
    <row r="56" spans="1:35" ht="24.75">
      <c r="A56" s="3293" t="s">
        <v>2027</v>
      </c>
      <c r="B56" s="3271"/>
      <c r="C56" s="3271"/>
      <c r="D56" s="2544">
        <f ca="1">IF(H56="个人住宅",D57,D58)</f>
        <v>95627</v>
      </c>
      <c r="E56" s="2554" t="s">
        <v>2028</v>
      </c>
      <c r="F56" s="2777" t="str">
        <f>IF(H56="正常",F58,"免征")</f>
        <v>免征</v>
      </c>
      <c r="G56" s="2780" t="s">
        <v>2029</v>
      </c>
      <c r="H56" s="2781"/>
      <c r="I56" s="1991"/>
      <c r="J56" s="2746" t="str">
        <f>IF(项目基本情况!K6="上海银行",IF(J55="",4,J55+1),"")</f>
        <v/>
      </c>
      <c r="K56" s="3211" t="str">
        <f>IF(项目基本情况!K6="上海银行","其他处置费用","")</f>
        <v/>
      </c>
      <c r="L56" s="3212"/>
      <c r="M56" s="2748" t="str">
        <f>IF(项目基本情况!K6="上海银行",M69,"")</f>
        <v/>
      </c>
      <c r="N56" s="3211" t="str">
        <f>IF(项目基本情况!K6="上海银行","包含处置中涉及的律师、诉讼、拍卖、评估等费用","")</f>
        <v/>
      </c>
      <c r="O56" s="3214"/>
    </row>
    <row r="57" spans="1:35" ht="12.75">
      <c r="A57" s="2555" t="s">
        <v>2005</v>
      </c>
      <c r="B57" s="3254" t="s">
        <v>2030</v>
      </c>
      <c r="C57" s="3255"/>
      <c r="D57" s="1773">
        <v>0</v>
      </c>
      <c r="E57" s="327" t="s">
        <v>2007</v>
      </c>
      <c r="F57" s="305"/>
      <c r="G57" s="2778"/>
      <c r="H57" s="2782"/>
      <c r="I57" s="1991"/>
      <c r="J57" s="3230">
        <f>IF(AND(J55="",J56=""),4,IF(项目基本情况!K6="上海银行",结果表!J56+1,结果表!J55+1))</f>
        <v>5</v>
      </c>
      <c r="K57" s="3230" t="s">
        <v>2031</v>
      </c>
      <c r="L57" s="2753" t="s">
        <v>2032</v>
      </c>
      <c r="M57" s="2754"/>
      <c r="N57" s="2755">
        <f ca="1">SUMIF(M52:M56,"&lt;9e307")</f>
        <v>97320</v>
      </c>
      <c r="O57" s="2756"/>
      <c r="P57" s="2916" t="e">
        <f ca="1">N57/M49</f>
        <v>#VALUE!</v>
      </c>
    </row>
    <row r="58" spans="1:35" ht="24.75">
      <c r="A58" s="2555" t="s">
        <v>2016</v>
      </c>
      <c r="B58" s="3254" t="s">
        <v>2033</v>
      </c>
      <c r="C58" s="3253"/>
      <c r="D58" s="2544">
        <f ca="1">IF(H58="转让取得",C81,C97)</f>
        <v>95627</v>
      </c>
      <c r="E58" s="2554" t="s">
        <v>2028</v>
      </c>
      <c r="F58" s="305" t="s">
        <v>31</v>
      </c>
      <c r="G58" s="2778"/>
      <c r="H58" s="2781"/>
      <c r="I58" s="1991"/>
      <c r="J58" s="3230"/>
      <c r="K58" s="3230"/>
      <c r="L58" s="2753" t="s">
        <v>2034</v>
      </c>
      <c r="M58" s="2757"/>
      <c r="N58" s="2758" t="str">
        <f ca="1">NUMBERSTRING(INT(N57*10000),2)&amp;"元整"</f>
        <v>玖亿柒仟叁佰贰拾万元整</v>
      </c>
      <c r="O58" s="2759"/>
    </row>
    <row r="59" spans="1:35" ht="24.75" thickBot="1">
      <c r="A59" s="3234" t="s">
        <v>2035</v>
      </c>
      <c r="B59" s="3235"/>
      <c r="C59" s="3235"/>
      <c r="D59" s="2783">
        <f ca="1">IF(H59="非个人房产","——",IF(H59="个人住宅（满五唯一有凭证）",0,IF(H59="个人其他（无凭证）",ROUND(D45*F59,0),ROUND(C67*F59,0))))</f>
        <v>1609</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2029</v>
      </c>
      <c r="H59" s="2529"/>
      <c r="I59" s="2528" t="s">
        <v>2855</v>
      </c>
      <c r="J59" s="3232">
        <f>J57+1</f>
        <v>6</v>
      </c>
      <c r="K59" s="3230" t="s">
        <v>2036</v>
      </c>
      <c r="L59" s="2746" t="s">
        <v>2032</v>
      </c>
      <c r="M59" s="2760"/>
      <c r="N59" s="2761" t="e">
        <f ca="1">M49-N57</f>
        <v>#VALUE!</v>
      </c>
      <c r="O59" s="2762"/>
    </row>
    <row r="60" spans="1:35" ht="12" customHeight="1">
      <c r="A60" s="1992"/>
      <c r="B60" s="1930"/>
      <c r="C60" s="1930"/>
      <c r="D60" s="1930"/>
      <c r="E60" s="1761"/>
      <c r="F60" s="1991"/>
      <c r="G60" s="1991"/>
      <c r="H60" s="1993"/>
      <c r="I60" s="131"/>
      <c r="J60" s="3233"/>
      <c r="K60" s="3230"/>
      <c r="L60" s="2753" t="s">
        <v>2034</v>
      </c>
      <c r="M60" s="2757"/>
      <c r="N60" s="2758" t="e">
        <f ca="1">NUMBERSTRING(INT(N59*10000),2)&amp;"元整"</f>
        <v>#VALUE!</v>
      </c>
      <c r="O60" s="2759"/>
    </row>
    <row r="61" spans="1:35" ht="13.5" thickBot="1">
      <c r="A61" s="3292" t="s">
        <v>2037</v>
      </c>
      <c r="B61" s="3292"/>
      <c r="C61" s="3292"/>
      <c r="D61" s="3292"/>
      <c r="E61" s="3292"/>
      <c r="F61" s="1991"/>
      <c r="G61" s="1991"/>
      <c r="H61" s="1993"/>
      <c r="I61" s="131"/>
      <c r="J61" s="2746">
        <f>J59+1</f>
        <v>7</v>
      </c>
      <c r="K61" s="3230" t="s">
        <v>2038</v>
      </c>
      <c r="L61" s="3230"/>
      <c r="M61" s="2763"/>
      <c r="N61" s="2764" t="e">
        <f ca="1">ROUND(N59*10000/'数据-汇总表'!E3,0)</f>
        <v>#VALUE!</v>
      </c>
      <c r="O61" s="2765"/>
    </row>
    <row r="62" spans="1:35" ht="12.75">
      <c r="A62" s="3249" t="s">
        <v>2039</v>
      </c>
      <c r="B62" s="3250"/>
      <c r="C62" s="2206"/>
      <c r="D62" s="2206" t="s">
        <v>2040</v>
      </c>
      <c r="E62" s="168" t="s">
        <v>2041</v>
      </c>
      <c r="F62" s="1991"/>
      <c r="G62" s="1991"/>
      <c r="H62" s="1993"/>
      <c r="I62" s="131"/>
    </row>
    <row r="63" spans="1:35" ht="12.75">
      <c r="A63" s="175" t="s">
        <v>752</v>
      </c>
      <c r="B63" s="169" t="s">
        <v>2042</v>
      </c>
      <c r="C63" s="2787">
        <f ca="1">ROUND((C64+C65)/(1+'数据-取费表'!C42),0)</f>
        <v>160907</v>
      </c>
      <c r="D63" s="169"/>
      <c r="E63" s="170"/>
      <c r="F63" s="1991"/>
      <c r="G63" s="1991"/>
      <c r="H63" s="1993"/>
      <c r="I63" s="131"/>
      <c r="J63" s="3213" t="s">
        <v>2043</v>
      </c>
      <c r="K63" s="1499" t="s">
        <v>2044</v>
      </c>
      <c r="L63" s="1499" t="e">
        <f>IF(M49&gt;10000,M49*0.5%,IF(AND(M49&gt;1000,M49&lt;=10000),M49*1%,IF(AND(M49&gt;100,M49&lt;=1000),M49*3%,IF(AND(M49&gt;10,M49&lt;=100),M49*5%,M49*8%))))</f>
        <v>#VALUE!</v>
      </c>
      <c r="M63" s="305" t="e">
        <f>ROUND(L63,1)</f>
        <v>#VALUE!</v>
      </c>
      <c r="N63" s="2766"/>
      <c r="Z63" s="1935"/>
      <c r="AI63" s="1936"/>
    </row>
    <row r="64" spans="1:35" ht="14.25" customHeight="1">
      <c r="A64" s="171" t="s">
        <v>747</v>
      </c>
      <c r="B64" s="172" t="s">
        <v>2045</v>
      </c>
      <c r="C64" s="2788">
        <f ca="1">D45</f>
        <v>168952</v>
      </c>
      <c r="D64" s="172" t="s">
        <v>29</v>
      </c>
      <c r="E64" s="174"/>
      <c r="F64" s="1991"/>
      <c r="G64" s="1991"/>
      <c r="H64" s="1993"/>
      <c r="I64" s="131"/>
      <c r="J64" s="3213"/>
      <c r="K64" s="1499" t="s">
        <v>2046</v>
      </c>
      <c r="L64" s="1499"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67" t="s">
        <v>2047</v>
      </c>
      <c r="Z64" s="1935"/>
      <c r="AI64" s="1936"/>
    </row>
    <row r="65" spans="1:35" ht="14.25" customHeight="1">
      <c r="A65" s="171" t="s">
        <v>748</v>
      </c>
      <c r="B65" s="172" t="s">
        <v>2048</v>
      </c>
      <c r="C65" s="2789"/>
      <c r="D65" s="172"/>
      <c r="E65" s="174"/>
      <c r="F65" s="1991"/>
      <c r="G65" s="1991"/>
      <c r="H65" s="1993"/>
      <c r="I65" s="131"/>
      <c r="J65" s="3213"/>
      <c r="K65" s="1499" t="s">
        <v>2049</v>
      </c>
      <c r="L65" s="1499" t="e">
        <f>IF(M49&gt;1000,M49*0.1%,IF(AND(M49&gt;500,M49&lt;=1000),M49*0.5%,IF(AND(M49&gt;50,M49&lt;=500),M49*1%,IF(AND(M49&gt;1,M49&lt;=50),M49*1.5%))))</f>
        <v>#VALUE!</v>
      </c>
      <c r="M65" s="305" t="e">
        <f t="shared" si="1"/>
        <v>#VALUE!</v>
      </c>
      <c r="N65" s="2767" t="s">
        <v>2047</v>
      </c>
      <c r="Z65" s="1935"/>
      <c r="AI65" s="1936"/>
    </row>
    <row r="66" spans="1:35" ht="14.25" customHeight="1">
      <c r="A66" s="175" t="s">
        <v>749</v>
      </c>
      <c r="B66" s="176" t="s">
        <v>2050</v>
      </c>
      <c r="C66" s="2790"/>
      <c r="D66" s="176" t="s">
        <v>29</v>
      </c>
      <c r="E66" s="1507" t="s">
        <v>1314</v>
      </c>
      <c r="F66" s="1991"/>
      <c r="G66" s="1991"/>
      <c r="H66" s="1993"/>
      <c r="I66" s="131"/>
      <c r="J66" s="3213"/>
      <c r="K66" s="1499" t="s">
        <v>2051</v>
      </c>
      <c r="L66" s="1499" t="e">
        <f>M49*0.5%</f>
        <v>#VALUE!</v>
      </c>
      <c r="M66" s="305" t="e">
        <f>IF(L66&gt;0.5,0.5,ROUND(L66,0))</f>
        <v>#VALUE!</v>
      </c>
      <c r="N66" s="2767" t="s">
        <v>2052</v>
      </c>
      <c r="Z66" s="1935"/>
      <c r="AI66" s="1936"/>
    </row>
    <row r="67" spans="1:35" ht="14.25" customHeight="1">
      <c r="A67" s="175" t="s">
        <v>750</v>
      </c>
      <c r="B67" s="176" t="s">
        <v>2053</v>
      </c>
      <c r="C67" s="2791">
        <f ca="1">C63-C66</f>
        <v>160907</v>
      </c>
      <c r="D67" s="172" t="s">
        <v>29</v>
      </c>
      <c r="E67" s="174"/>
      <c r="F67" s="1991"/>
      <c r="G67" s="1991"/>
      <c r="H67" s="1993"/>
      <c r="I67" s="131"/>
      <c r="J67" s="3213"/>
      <c r="K67" s="1499" t="s">
        <v>2054</v>
      </c>
      <c r="L67" s="1499"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66"/>
      <c r="Z67" s="1935"/>
      <c r="AI67" s="1936"/>
    </row>
    <row r="68" spans="1:35" ht="14.25" customHeight="1" thickBot="1">
      <c r="A68" s="178" t="s">
        <v>751</v>
      </c>
      <c r="B68" s="179" t="s">
        <v>2055</v>
      </c>
      <c r="C68" s="2792">
        <f ca="1">IF(C67&lt;=0,0,ROUND(C67*D68,0))</f>
        <v>9011</v>
      </c>
      <c r="D68" s="2793">
        <f>'数据-取费表'!B41</f>
        <v>5.6000000000000001E-2</v>
      </c>
      <c r="E68" s="181"/>
      <c r="F68" s="1991"/>
      <c r="G68" s="1991"/>
      <c r="H68" s="1993"/>
      <c r="I68" s="131"/>
      <c r="J68" s="3213"/>
      <c r="K68" s="1499" t="s">
        <v>2056</v>
      </c>
      <c r="L68" s="1499" t="e">
        <f>IF(M49&gt;10000,M49*0.5%,IF(AND(M49&gt;5000,M49&lt;=10000),M49*1%,IF(AND(M49&gt;1000,M49&lt;=5000),M49*2%,IF(AND(M49&gt;200,M49&lt;=1000),M49*3%,M49*5%))))</f>
        <v>#VALUE!</v>
      </c>
      <c r="M68" s="305" t="e">
        <f>ROUND(L68,1)</f>
        <v>#VALUE!</v>
      </c>
      <c r="N68" s="2766"/>
      <c r="Z68" s="1935"/>
      <c r="AI68" s="1936"/>
    </row>
    <row r="69" spans="1:35" s="1955" customFormat="1" ht="16.5" customHeight="1">
      <c r="A69" s="1994"/>
      <c r="B69" s="1995"/>
      <c r="C69" s="1996"/>
      <c r="D69" s="1997"/>
      <c r="E69" s="1998"/>
      <c r="F69" s="1761"/>
      <c r="G69" s="1761"/>
      <c r="H69" s="1760"/>
      <c r="I69" s="1930"/>
      <c r="J69" s="3213"/>
      <c r="K69" s="1499" t="s">
        <v>2057</v>
      </c>
      <c r="L69" s="1499"/>
      <c r="M69" s="305" t="e">
        <f>ROUND(SUM(M63:M68),0)</f>
        <v>#VALUE!</v>
      </c>
      <c r="N69" s="2768" t="e">
        <f>M69/M49</f>
        <v>#VALUE!</v>
      </c>
      <c r="O69" s="731"/>
      <c r="P69" s="731"/>
      <c r="Q69" s="731"/>
      <c r="R69" s="731"/>
      <c r="S69" s="731"/>
      <c r="T69" s="731"/>
      <c r="U69" s="731"/>
      <c r="V69" s="731"/>
      <c r="W69" s="731"/>
      <c r="X69" s="731"/>
      <c r="Y69" s="731"/>
      <c r="Z69" s="1935"/>
      <c r="AA69" s="1935"/>
      <c r="AB69" s="1935"/>
      <c r="AC69" s="1935"/>
      <c r="AD69" s="1935"/>
      <c r="AE69" s="1935"/>
      <c r="AF69" s="1935"/>
      <c r="AG69" s="1935"/>
      <c r="AH69" s="1935"/>
    </row>
    <row r="70" spans="1:35" s="2000" customFormat="1" ht="15" thickBot="1">
      <c r="A70" s="3257" t="s">
        <v>2058</v>
      </c>
      <c r="B70" s="3258"/>
      <c r="C70" s="3258"/>
      <c r="D70" s="3258"/>
      <c r="E70" s="3258"/>
      <c r="F70" s="3258"/>
      <c r="G70" s="3258"/>
      <c r="H70" s="3258"/>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49" t="s">
        <v>2039</v>
      </c>
      <c r="B71" s="3250"/>
      <c r="C71" s="2206"/>
      <c r="D71" s="2206" t="s">
        <v>2040</v>
      </c>
      <c r="E71" s="182" t="s">
        <v>2041</v>
      </c>
      <c r="F71" s="183"/>
      <c r="G71" s="183"/>
      <c r="H71" s="184"/>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5" t="s">
        <v>752</v>
      </c>
      <c r="B72" s="176" t="s">
        <v>2059</v>
      </c>
      <c r="C72" s="2791">
        <f ca="1">ROUND(D45/(1+'数据-取费表'!C42),0)</f>
        <v>160907</v>
      </c>
      <c r="D72" s="172" t="s">
        <v>29</v>
      </c>
      <c r="E72" s="2551"/>
      <c r="F72" s="2550"/>
      <c r="G72" s="2550"/>
      <c r="H72" s="185"/>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5" t="s">
        <v>749</v>
      </c>
      <c r="B73" s="165" t="s">
        <v>2060</v>
      </c>
      <c r="C73" s="2791">
        <f ca="1">C74+C78</f>
        <v>965</v>
      </c>
      <c r="D73" s="172" t="s">
        <v>29</v>
      </c>
      <c r="E73" s="2551"/>
      <c r="F73" s="2550"/>
      <c r="G73" s="2550"/>
      <c r="H73" s="185"/>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1" t="s">
        <v>747</v>
      </c>
      <c r="B74" s="172" t="s">
        <v>2061</v>
      </c>
      <c r="C74" s="172">
        <f>ROUND(IF(G77="2016年5月1日后购买",C75/(1+'数据-取费表'!C42)+C76+C77,C75+C76+C77),0)</f>
        <v>0</v>
      </c>
      <c r="D74" s="172" t="s">
        <v>29</v>
      </c>
      <c r="E74" s="2551"/>
      <c r="F74" s="2550"/>
      <c r="G74" s="2550"/>
      <c r="H74" s="185"/>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1" t="s">
        <v>753</v>
      </c>
      <c r="B75" s="172" t="s">
        <v>2062</v>
      </c>
      <c r="C75" s="2794"/>
      <c r="D75" s="172" t="s">
        <v>29</v>
      </c>
      <c r="E75" s="187" t="s">
        <v>2063</v>
      </c>
      <c r="F75" s="2795"/>
      <c r="G75" s="187" t="s">
        <v>2064</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1" t="s">
        <v>754</v>
      </c>
      <c r="B76" s="188" t="s">
        <v>2065</v>
      </c>
      <c r="C76" s="172">
        <f>IF(F75="购房发票",ROUND(C75*H75*D76,0),0)</f>
        <v>0</v>
      </c>
      <c r="D76" s="2797">
        <v>0.05</v>
      </c>
      <c r="E76" s="3254" t="s">
        <v>2066</v>
      </c>
      <c r="F76" s="3253"/>
      <c r="G76" s="3253"/>
      <c r="H76" s="3256"/>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1" t="s">
        <v>755</v>
      </c>
      <c r="B77" s="172" t="s">
        <v>2067</v>
      </c>
      <c r="C77" s="172">
        <f>ROUND(IF(G77="个人住宅",0,IF(G77="2016年5月1日前购买",C75*D77,C75*D77/(1+'数据-取费表'!C42))),0)</f>
        <v>0</v>
      </c>
      <c r="D77" s="2798">
        <f>'数据-取费表'!B48+'数据-取费表'!B49</f>
        <v>3.0499999999999999E-2</v>
      </c>
      <c r="E77" s="2544" t="s">
        <v>2068</v>
      </c>
      <c r="F77" s="189"/>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1" t="s">
        <v>748</v>
      </c>
      <c r="B78" s="172" t="s">
        <v>2069</v>
      </c>
      <c r="C78" s="2799">
        <f ca="1">ROUND(D45*D78/(1+'数据-取费表'!C42),0)</f>
        <v>965</v>
      </c>
      <c r="D78" s="2800">
        <f>'数据-取费表'!B43</f>
        <v>6.000000000000001E-3</v>
      </c>
      <c r="E78" s="3246" t="s">
        <v>2070</v>
      </c>
      <c r="F78" s="3247"/>
      <c r="G78" s="3247"/>
      <c r="H78" s="3248"/>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5" t="s">
        <v>756</v>
      </c>
      <c r="B79" s="176" t="s">
        <v>2071</v>
      </c>
      <c r="C79" s="2791">
        <f ca="1">C72-C73</f>
        <v>159942</v>
      </c>
      <c r="D79" s="172" t="s">
        <v>29</v>
      </c>
      <c r="E79" s="2551"/>
      <c r="F79" s="2550"/>
      <c r="G79" s="2550"/>
      <c r="H79" s="185"/>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5" t="s">
        <v>757</v>
      </c>
      <c r="B80" s="176" t="s">
        <v>2072</v>
      </c>
      <c r="C80" s="2801">
        <f ca="1">IF(C79&lt;=0,0,C79/C73)</f>
        <v>165.74300518134714</v>
      </c>
      <c r="D80" s="172" t="s">
        <v>29</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5"/>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78" t="s">
        <v>758</v>
      </c>
      <c r="B81" s="179" t="s">
        <v>2073</v>
      </c>
      <c r="C81" s="2802">
        <f ca="1">ROUND(IF(C79&lt;=0,0,IF(C80&gt;=200%,C79*60%-C73*35%,IF(C80&gt;=100%,C79*50%-C73*15%,IF(C80&gt;=50%,C79*40%-C73*5%,IF(C80&lt;50%,C79*30%,0))))),0)</f>
        <v>95627</v>
      </c>
      <c r="D81" s="2803" t="s">
        <v>29</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6"/>
      <c r="B82" s="687"/>
      <c r="C82" s="4"/>
      <c r="D82" s="4"/>
      <c r="E82" s="687"/>
      <c r="F82" s="687"/>
      <c r="G82" s="687"/>
      <c r="H82" s="688"/>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57" t="s">
        <v>2074</v>
      </c>
      <c r="B83" s="3258"/>
      <c r="C83" s="3258"/>
      <c r="D83" s="3258"/>
      <c r="E83" s="3258"/>
      <c r="F83" s="3258"/>
      <c r="G83" s="3258"/>
      <c r="H83" s="3258"/>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49" t="s">
        <v>2039</v>
      </c>
      <c r="B84" s="3250"/>
      <c r="C84" s="2206"/>
      <c r="D84" s="2206" t="s">
        <v>2040</v>
      </c>
      <c r="E84" s="182" t="s">
        <v>2041</v>
      </c>
      <c r="F84" s="183"/>
      <c r="G84" s="183"/>
      <c r="H84" s="194"/>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5" t="s">
        <v>752</v>
      </c>
      <c r="B85" s="176" t="s">
        <v>2059</v>
      </c>
      <c r="C85" s="2791">
        <f ca="1">ROUND(D45/(1+'数据-取费表'!C42),0)</f>
        <v>160907</v>
      </c>
      <c r="D85" s="172" t="s">
        <v>29</v>
      </c>
      <c r="E85" s="2551"/>
      <c r="F85" s="2550"/>
      <c r="G85" s="2550"/>
      <c r="H85" s="195"/>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5" t="s">
        <v>749</v>
      </c>
      <c r="B86" s="165" t="s">
        <v>2060</v>
      </c>
      <c r="C86" s="2791">
        <f ca="1">IF(H88="仅含出让金",C87+C90+C91+C92+C93+C94,C87+C91+C92+C93+C94)</f>
        <v>965</v>
      </c>
      <c r="D86" s="2804"/>
      <c r="E86" s="2551"/>
      <c r="F86" s="2550"/>
      <c r="G86" s="2550"/>
      <c r="H86" s="195"/>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1" t="s">
        <v>747</v>
      </c>
      <c r="B87" s="172" t="s">
        <v>2075</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1" t="s">
        <v>753</v>
      </c>
      <c r="B88" s="172" t="s">
        <v>2076</v>
      </c>
      <c r="C88" s="2805"/>
      <c r="D88" s="2800"/>
      <c r="E88" s="196" t="s">
        <v>2077</v>
      </c>
      <c r="F88" s="2547"/>
      <c r="G88" s="197" t="s">
        <v>2078</v>
      </c>
      <c r="H88" s="2007"/>
      <c r="I88" s="2004"/>
      <c r="J88" s="2744" t="s">
        <v>3010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1" t="s">
        <v>754</v>
      </c>
      <c r="B89" s="172" t="s">
        <v>2067</v>
      </c>
      <c r="C89" s="2799">
        <f>ROUND(C88*D89,0)</f>
        <v>0</v>
      </c>
      <c r="D89" s="2800">
        <f>'数据-取费表'!B48+'数据-取费表'!B49</f>
        <v>3.0499999999999999E-2</v>
      </c>
      <c r="E89" s="196" t="s">
        <v>2079</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1" t="s">
        <v>748</v>
      </c>
      <c r="B90" s="172" t="s">
        <v>2080</v>
      </c>
      <c r="C90" s="2805"/>
      <c r="D90" s="2800"/>
      <c r="E90" s="196" t="str">
        <f>IF(H88="-","土地取得成本中已包含该笔费用"," ")</f>
        <v xml:space="preserve"> </v>
      </c>
      <c r="F90" s="2547"/>
      <c r="G90" s="3215" t="s">
        <v>2847</v>
      </c>
      <c r="H90" s="3216"/>
      <c r="I90" s="2004"/>
      <c r="J90" s="2744" t="s">
        <v>3011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1" t="s">
        <v>2081</v>
      </c>
      <c r="B91" s="172" t="s">
        <v>2082</v>
      </c>
      <c r="C91" s="2799">
        <f>IF(H91="——",成本法!C33,I91)</f>
        <v>0</v>
      </c>
      <c r="D91" s="2800"/>
      <c r="E91" s="3246" t="s">
        <v>2083</v>
      </c>
      <c r="F91" s="3247"/>
      <c r="G91" s="3247"/>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1" t="s">
        <v>2084</v>
      </c>
      <c r="B92" s="172" t="s">
        <v>2085</v>
      </c>
      <c r="C92" s="2799">
        <f>ROUND((C87+C90+C91)*D92,0)</f>
        <v>0</v>
      </c>
      <c r="D92" s="2806"/>
      <c r="E92" s="3246" t="s">
        <v>2086</v>
      </c>
      <c r="F92" s="3247"/>
      <c r="G92" s="3247"/>
      <c r="H92" s="3248"/>
      <c r="I92" s="2004"/>
      <c r="J92" s="2745" t="s">
        <v>3012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1" t="s">
        <v>2087</v>
      </c>
      <c r="B93" s="172" t="s">
        <v>2069</v>
      </c>
      <c r="C93" s="2799">
        <f ca="1">ROUND(D45*D93/(1+'数据-取费表'!C42),0)</f>
        <v>965</v>
      </c>
      <c r="D93" s="2800">
        <f>'数据-取费表'!B43</f>
        <v>6.000000000000001E-3</v>
      </c>
      <c r="E93" s="3246" t="s">
        <v>2070</v>
      </c>
      <c r="F93" s="3247"/>
      <c r="G93" s="3247"/>
      <c r="H93" s="3248"/>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1" t="s">
        <v>2088</v>
      </c>
      <c r="B94" s="172" t="s">
        <v>2089</v>
      </c>
      <c r="C94" s="2805">
        <f>ROUND((C87+C90+C91)*D94,0)</f>
        <v>0</v>
      </c>
      <c r="D94" s="2800">
        <v>0.2</v>
      </c>
      <c r="E94" s="3294" t="s">
        <v>2090</v>
      </c>
      <c r="F94" s="3295"/>
      <c r="G94" s="3295"/>
      <c r="H94" s="3296"/>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5" t="s">
        <v>756</v>
      </c>
      <c r="B95" s="176" t="s">
        <v>2071</v>
      </c>
      <c r="C95" s="2791">
        <f ca="1">ROUND(C85-C86,0)</f>
        <v>159942</v>
      </c>
      <c r="D95" s="172" t="s">
        <v>29</v>
      </c>
      <c r="E95" s="2551"/>
      <c r="F95" s="2550"/>
      <c r="G95" s="2550"/>
      <c r="H95" s="195"/>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5" t="s">
        <v>757</v>
      </c>
      <c r="B96" s="176" t="s">
        <v>2072</v>
      </c>
      <c r="C96" s="2801">
        <f ca="1">IF(C95&lt;=0,0,C95/C86)</f>
        <v>165.74300518134714</v>
      </c>
      <c r="D96" s="172" t="s">
        <v>29</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5"/>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78" t="s">
        <v>758</v>
      </c>
      <c r="B97" s="179" t="s">
        <v>2073</v>
      </c>
      <c r="C97" s="2802">
        <f ca="1">ROUND(IF(C95&lt;=0,0,IF(C96&gt;=200%,C95*60%-C86*35%,IF(C96&gt;=100%,C95*50%-C86*15%,IF(C96&gt;=50%,C95*40%-C86*5%,IF(C96&lt;50%,C95*30%,0))))),0)</f>
        <v>95627</v>
      </c>
      <c r="D97" s="2803" t="s">
        <v>29</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1"/>
    </row>
    <row r="99" spans="1:35" ht="21.75" customHeight="1" thickBot="1">
      <c r="A99" s="1983" t="s">
        <v>2091</v>
      </c>
      <c r="B99" s="1930"/>
      <c r="C99" s="1930"/>
      <c r="D99" s="1930"/>
      <c r="E99" s="1761"/>
      <c r="F99" s="1761"/>
      <c r="G99" s="1761"/>
      <c r="H99" s="1760"/>
      <c r="I99" s="131"/>
    </row>
    <row r="100" spans="1:35" ht="18.75" customHeight="1">
      <c r="A100" s="3196" t="s">
        <v>2092</v>
      </c>
      <c r="B100" s="3197"/>
      <c r="C100" s="3197"/>
      <c r="D100" s="3231"/>
      <c r="E100" s="3197" t="s">
        <v>2093</v>
      </c>
      <c r="F100" s="3197"/>
      <c r="G100" s="3197"/>
      <c r="H100" s="3231"/>
      <c r="I100" s="131"/>
    </row>
    <row r="101" spans="1:35" ht="18.75" customHeight="1">
      <c r="A101" s="3239" t="s">
        <v>2094</v>
      </c>
      <c r="B101" s="3240"/>
      <c r="C101" s="2808" t="str">
        <f>C4</f>
        <v>成本法</v>
      </c>
      <c r="D101" s="2809" t="str">
        <f>D4</f>
        <v>假设开发法</v>
      </c>
      <c r="E101" s="3209" t="s">
        <v>2095</v>
      </c>
      <c r="F101" s="3210"/>
      <c r="G101" s="2010" t="s">
        <v>2096</v>
      </c>
      <c r="H101" s="2818">
        <f ca="1">H118</f>
        <v>168952</v>
      </c>
      <c r="I101" s="131"/>
    </row>
    <row r="102" spans="1:35" ht="18.75" customHeight="1">
      <c r="A102" s="3241" t="s">
        <v>2097</v>
      </c>
      <c r="B102" s="2807" t="s">
        <v>2096</v>
      </c>
      <c r="C102" s="2808">
        <f ca="1">C19</f>
        <v>165230</v>
      </c>
      <c r="D102" s="2809">
        <f ca="1">D19</f>
        <v>172674</v>
      </c>
      <c r="E102" s="3209"/>
      <c r="F102" s="3210"/>
      <c r="G102" s="2010" t="s">
        <v>2098</v>
      </c>
      <c r="H102" s="2778">
        <f ca="1">I118</f>
        <v>13494</v>
      </c>
      <c r="I102" s="131"/>
    </row>
    <row r="103" spans="1:35" ht="42.75" customHeight="1">
      <c r="A103" s="3241"/>
      <c r="B103" s="2807" t="s">
        <v>2098</v>
      </c>
      <c r="C103" s="2810">
        <f ca="1">C20</f>
        <v>13197</v>
      </c>
      <c r="D103" s="2811">
        <f ca="1">D20</f>
        <v>13791</v>
      </c>
      <c r="E103" s="3202" t="s">
        <v>2099</v>
      </c>
      <c r="F103" s="3203"/>
      <c r="G103" s="2011" t="s">
        <v>2100</v>
      </c>
      <c r="H103" s="2818">
        <f>IF(D36="正常操作",H104+H105+H106,H105+H106)</f>
        <v>0</v>
      </c>
      <c r="I103" s="131"/>
    </row>
    <row r="104" spans="1:35" ht="18.75" customHeight="1">
      <c r="A104" s="3241" t="s">
        <v>2101</v>
      </c>
      <c r="B104" s="2812" t="s">
        <v>2096</v>
      </c>
      <c r="C104" s="2813">
        <f ca="1">H118</f>
        <v>168952</v>
      </c>
      <c r="D104" s="2814"/>
      <c r="E104" s="1857" t="s">
        <v>2102</v>
      </c>
      <c r="F104" s="1849"/>
      <c r="G104" s="2011" t="s">
        <v>2100</v>
      </c>
      <c r="H104" s="2819">
        <f>IF(D36="同一抵押权人同一抵押物续贷",C36&amp;"（续贷，未扣减，详见特别提示）",C36)</f>
        <v>0</v>
      </c>
      <c r="I104" s="131"/>
    </row>
    <row r="105" spans="1:35" ht="18.75" customHeight="1" thickBot="1">
      <c r="A105" s="3251"/>
      <c r="B105" s="2815" t="s">
        <v>2098</v>
      </c>
      <c r="C105" s="2816">
        <f ca="1">I118</f>
        <v>13494</v>
      </c>
      <c r="D105" s="2817"/>
      <c r="E105" s="1857" t="s">
        <v>2103</v>
      </c>
      <c r="F105" s="1849"/>
      <c r="G105" s="2011" t="s">
        <v>2100</v>
      </c>
      <c r="H105" s="2820">
        <f>C37</f>
        <v>0</v>
      </c>
      <c r="I105" s="131"/>
    </row>
    <row r="106" spans="1:35" ht="18.75" customHeight="1">
      <c r="A106" s="1930" t="s">
        <v>2104</v>
      </c>
      <c r="B106" s="1930"/>
      <c r="C106" s="1930"/>
      <c r="D106" s="1930"/>
      <c r="E106" s="2012" t="s">
        <v>2105</v>
      </c>
      <c r="F106" s="1849"/>
      <c r="G106" s="2011" t="s">
        <v>2100</v>
      </c>
      <c r="H106" s="2820">
        <f>C38</f>
        <v>0</v>
      </c>
      <c r="I106" s="131"/>
    </row>
    <row r="107" spans="1:35" ht="18.75" customHeight="1">
      <c r="A107" s="131"/>
      <c r="B107" s="131"/>
      <c r="C107" s="131"/>
      <c r="D107" s="131"/>
      <c r="E107" s="3242" t="str">
        <f>IF(项目基本情况!E8="已注销","——","3.房地产抵押价值")</f>
        <v>3.房地产抵押价值</v>
      </c>
      <c r="F107" s="3210"/>
      <c r="G107" s="2010" t="s">
        <v>2096</v>
      </c>
      <c r="H107" s="2818">
        <f ca="1">IF(E107="——","——",H101-H103)</f>
        <v>168952</v>
      </c>
      <c r="I107" s="131"/>
    </row>
    <row r="108" spans="1:35" ht="18.75" customHeight="1">
      <c r="A108" s="131"/>
      <c r="B108" s="131"/>
      <c r="C108" s="131"/>
      <c r="D108" s="131"/>
      <c r="E108" s="3242"/>
      <c r="F108" s="3210"/>
      <c r="G108" s="2010" t="s">
        <v>2098</v>
      </c>
      <c r="H108" s="2778">
        <f ca="1">ROUND(H107*10000/'数据-汇总表'!E3,0)</f>
        <v>13494</v>
      </c>
      <c r="I108" s="131"/>
    </row>
    <row r="109" spans="1:35" ht="18.75" customHeight="1">
      <c r="A109" s="131"/>
      <c r="B109" s="131"/>
      <c r="C109" s="131"/>
      <c r="D109" s="131"/>
      <c r="E109" s="3242" t="str">
        <f>IF(项目基本情况!E8="已注销及未注销","4.抵押担保权已注销时的房地产抵押价值",IF(项目基本情况!E8="已注销","3.抵押担保权已注销时的房地产抵押价值","——"))</f>
        <v>——</v>
      </c>
      <c r="F109" s="3210"/>
      <c r="G109" s="2010" t="s">
        <v>2096</v>
      </c>
      <c r="H109" s="2821" t="str">
        <f>IF(E109="——","——",H101-H105-H106)</f>
        <v>——</v>
      </c>
      <c r="I109" s="131"/>
    </row>
    <row r="110" spans="1:35" ht="18.75" customHeight="1">
      <c r="A110" s="131"/>
      <c r="B110" s="131"/>
      <c r="C110" s="131"/>
      <c r="D110" s="131"/>
      <c r="E110" s="3242"/>
      <c r="F110" s="3210"/>
      <c r="G110" s="2010" t="s">
        <v>2098</v>
      </c>
      <c r="H110" s="2778" t="str">
        <f>IF(H109="——","——",ROUND(H109*10000/'数据-汇总表'!E3,0))</f>
        <v>——</v>
      </c>
      <c r="I110" s="131"/>
    </row>
    <row r="111" spans="1:35" ht="18.75" customHeight="1">
      <c r="A111" s="131"/>
      <c r="B111" s="131"/>
      <c r="C111" s="131"/>
      <c r="D111" s="131"/>
      <c r="E111" s="3243" t="str">
        <f>IF(项目基本情况!E9="抵押净值",IF(OR(项目基本情况!E8="已注销",项目基本情况!E8="房地产抵押价值"),"4.抵押净值","5.抵押净值"),"——")</f>
        <v>——</v>
      </c>
      <c r="F111" s="3229"/>
      <c r="G111" s="2010" t="s">
        <v>2096</v>
      </c>
      <c r="H111" s="2818" t="str">
        <f>IF(E111="——","——",N59)</f>
        <v>——</v>
      </c>
      <c r="I111" s="131"/>
    </row>
    <row r="112" spans="1:35" ht="18.75" customHeight="1" thickBot="1">
      <c r="A112" s="131"/>
      <c r="B112" s="131"/>
      <c r="C112" s="131"/>
      <c r="D112" s="131"/>
      <c r="E112" s="3244"/>
      <c r="F112" s="3245"/>
      <c r="G112" s="2013" t="s">
        <v>2098</v>
      </c>
      <c r="H112" s="2822" t="str">
        <f>IF(E111="——","——",N61)</f>
        <v>——</v>
      </c>
      <c r="I112" s="131"/>
    </row>
    <row r="113" spans="1:27" ht="18.75" customHeight="1">
      <c r="A113" s="131"/>
      <c r="B113" s="131"/>
      <c r="C113" s="131"/>
      <c r="D113" s="131"/>
      <c r="E113" s="3252" t="s">
        <v>2104</v>
      </c>
      <c r="F113" s="3252"/>
      <c r="G113" s="3252"/>
      <c r="H113" s="3252"/>
      <c r="I113" s="131"/>
    </row>
    <row r="114" spans="1:27" ht="3.75" customHeight="1">
      <c r="A114" s="1930"/>
      <c r="B114" s="1930"/>
      <c r="C114" s="1930"/>
      <c r="D114" s="1930"/>
      <c r="E114" s="1992"/>
      <c r="F114" s="1992"/>
      <c r="G114" s="1992"/>
      <c r="H114" s="1992"/>
      <c r="I114" s="1930"/>
    </row>
    <row r="115" spans="1:27" ht="18.75" customHeight="1">
      <c r="A115" s="3263" t="s">
        <v>2106</v>
      </c>
      <c r="B115" s="3264"/>
      <c r="C115" s="3264"/>
      <c r="D115" s="3264"/>
      <c r="E115" s="3264"/>
      <c r="F115" s="3264"/>
      <c r="G115" s="3264"/>
      <c r="H115" s="3264"/>
      <c r="I115" s="3265"/>
    </row>
    <row r="116" spans="1:27" ht="27" customHeight="1">
      <c r="A116" s="3217" t="s">
        <v>2107</v>
      </c>
      <c r="B116" s="3221" t="s">
        <v>2108</v>
      </c>
      <c r="C116" s="3221" t="s">
        <v>2109</v>
      </c>
      <c r="D116" s="3227" t="s">
        <v>2110</v>
      </c>
      <c r="E116" s="3228"/>
      <c r="F116" s="3259" t="s">
        <v>2111</v>
      </c>
      <c r="G116" s="3259"/>
      <c r="H116" s="3217" t="s">
        <v>2112</v>
      </c>
      <c r="I116" s="3217"/>
    </row>
    <row r="117" spans="1:27" ht="18.75" customHeight="1">
      <c r="A117" s="3217"/>
      <c r="B117" s="3222"/>
      <c r="C117" s="3222"/>
      <c r="D117" s="2549" t="s">
        <v>2113</v>
      </c>
      <c r="E117" s="2549" t="s">
        <v>2114</v>
      </c>
      <c r="F117" s="2549" t="s">
        <v>2113</v>
      </c>
      <c r="G117" s="2549" t="s">
        <v>2115</v>
      </c>
      <c r="H117" s="2549" t="s">
        <v>2113</v>
      </c>
      <c r="I117" s="2549" t="s">
        <v>2115</v>
      </c>
    </row>
    <row r="118" spans="1:27" ht="24.75" customHeight="1">
      <c r="A118" s="2823" t="str">
        <f>项目基本情况!S2</f>
        <v>出让国有建设用地使用权及在建建筑物房地产</v>
      </c>
      <c r="B118" s="2549">
        <f>M18</f>
        <v>125203.41</v>
      </c>
      <c r="C118" s="2549">
        <f>M19</f>
        <v>71942</v>
      </c>
      <c r="D118" s="2549">
        <f ca="1">ROUND(IF(D32="总价",C34,E118*B118/10000),0)</f>
        <v>160673</v>
      </c>
      <c r="E118" s="2549">
        <f ca="1">ROUND(IF(C33="自定义",IF(D32="楼面单价",C34,D118*10000/B118),I118-G118),0)</f>
        <v>12833</v>
      </c>
      <c r="F118" s="2549">
        <f ca="1">ROUND(IF(D32="总价",C35,G118*B118/10000),0)</f>
        <v>8279</v>
      </c>
      <c r="G118" s="2549">
        <f ca="1">ROUND(IF(D32="楼面单价",C35,F118*10000/B118),0)</f>
        <v>661</v>
      </c>
      <c r="H118" s="2549">
        <f ca="1">ROUND(IF(D32="总价",C32,I118*B118/10000),0)</f>
        <v>168952</v>
      </c>
      <c r="I118" s="2549">
        <f ca="1">ROUND(IF(D32="楼面单价",C32,H118*10000/B118),0)</f>
        <v>13494</v>
      </c>
    </row>
    <row r="119" spans="1:27" ht="18.75" customHeight="1">
      <c r="A119" s="3217" t="s">
        <v>2116</v>
      </c>
      <c r="B119" s="3217"/>
      <c r="C119" s="3217"/>
      <c r="D119" s="3223" t="str">
        <f ca="1">NUMBERSTRING(INT(D118*10000),2)&amp;"元整"</f>
        <v>壹拾陆亿零陆佰柒拾叁万元整</v>
      </c>
      <c r="E119" s="3224"/>
      <c r="F119" s="3223" t="str">
        <f ca="1">NUMBERSTRING(INT(F118*10000),2)&amp;"元整"</f>
        <v>捌仟贰佰柒拾玖万元整</v>
      </c>
      <c r="G119" s="3224"/>
      <c r="H119" s="3223" t="str">
        <f ca="1">NUMBERSTRING(INT(H118*10000),2)&amp;"元整"</f>
        <v>壹拾陆亿捌仟玖佰伍拾贰万元整</v>
      </c>
      <c r="I119" s="3224"/>
    </row>
    <row r="120" spans="1:27" ht="18.75" customHeight="1">
      <c r="A120" s="3218" t="str">
        <f>IF(项目基本情况!B9="房地产市场价值","",MID(E103,3,LEN(E103)-2))</f>
        <v>估价师知悉的法定优先受偿款</v>
      </c>
      <c r="B120" s="3219"/>
      <c r="C120" s="3220"/>
      <c r="D120" s="3218">
        <f>H103</f>
        <v>0</v>
      </c>
      <c r="E120" s="3219"/>
      <c r="F120" s="3219"/>
      <c r="G120" s="3219"/>
      <c r="H120" s="3219"/>
      <c r="I120" s="3220"/>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60" t="s">
        <v>2116</v>
      </c>
      <c r="B121" s="3261"/>
      <c r="C121" s="3262"/>
      <c r="D121" s="3223" t="str">
        <f>IF(D120=0,"零元整",NUMBERSTRING(INT(D120*10000),2)&amp;"元整")</f>
        <v>零元整</v>
      </c>
      <c r="E121" s="3225"/>
      <c r="F121" s="3225"/>
      <c r="G121" s="3225"/>
      <c r="H121" s="3225"/>
      <c r="I121" s="3224"/>
      <c r="AA121" s="731"/>
    </row>
    <row r="122" spans="1:27" ht="18.75" customHeight="1">
      <c r="A122" s="3229" t="str">
        <f>IF(项目基本情况!B9="房地产市场价值","",MID(E107,3,LEN(E107)-2))</f>
        <v>房地产抵押价值</v>
      </c>
      <c r="B122" s="3229"/>
      <c r="C122" s="3229"/>
      <c r="D122" s="3218">
        <f ca="1">H107</f>
        <v>168952</v>
      </c>
      <c r="E122" s="3219"/>
      <c r="F122" s="3219"/>
      <c r="G122" s="3219"/>
      <c r="H122" s="3219"/>
      <c r="I122" s="3220"/>
      <c r="AA122" s="731"/>
    </row>
    <row r="123" spans="1:27" ht="18.75" customHeight="1">
      <c r="A123" s="3217" t="s">
        <v>2116</v>
      </c>
      <c r="B123" s="3217"/>
      <c r="C123" s="3217"/>
      <c r="D123" s="3223" t="str">
        <f ca="1">NUMBERSTRING(INT(D122*10000),2)&amp;"元整"</f>
        <v>壹拾陆亿捌仟玖佰伍拾贰万元整</v>
      </c>
      <c r="E123" s="3225"/>
      <c r="F123" s="3225"/>
      <c r="G123" s="3225"/>
      <c r="H123" s="3225"/>
      <c r="I123" s="3224"/>
      <c r="AA123" s="731"/>
    </row>
    <row r="124" spans="1:27" ht="18.75" customHeight="1">
      <c r="A124" s="3229" t="str">
        <f>IF(项目基本情况!B9="房地产市场价值","",MID(E109,3,LEN(E109)-2))</f>
        <v/>
      </c>
      <c r="B124" s="3229"/>
      <c r="C124" s="3229"/>
      <c r="D124" s="3218" t="str">
        <f>H109</f>
        <v>——</v>
      </c>
      <c r="E124" s="3219"/>
      <c r="F124" s="3219"/>
      <c r="G124" s="3219"/>
      <c r="H124" s="3219"/>
      <c r="I124" s="3220"/>
      <c r="AA124" s="731"/>
    </row>
    <row r="125" spans="1:27" ht="18.75" customHeight="1">
      <c r="A125" s="3217" t="s">
        <v>2116</v>
      </c>
      <c r="B125" s="3217"/>
      <c r="C125" s="3217"/>
      <c r="D125" s="3223" t="e">
        <f>NUMBERSTRING(INT(D124*10000),2)&amp;"元整"</f>
        <v>#VALUE!</v>
      </c>
      <c r="E125" s="3225"/>
      <c r="F125" s="3225"/>
      <c r="G125" s="3225"/>
      <c r="H125" s="3225"/>
      <c r="I125" s="3224"/>
      <c r="AA125" s="731"/>
    </row>
    <row r="126" spans="1:27" ht="18.75" customHeight="1">
      <c r="A126" s="3229" t="str">
        <f>IF(项目基本情况!B9="房地产市场价值","",MID(E111,3,LEN(E111)-2))</f>
        <v/>
      </c>
      <c r="B126" s="3229"/>
      <c r="C126" s="3229"/>
      <c r="D126" s="3218" t="str">
        <f>H111</f>
        <v>——</v>
      </c>
      <c r="E126" s="3219"/>
      <c r="F126" s="3219"/>
      <c r="G126" s="3219"/>
      <c r="H126" s="3219"/>
      <c r="I126" s="3220"/>
      <c r="AA126" s="731"/>
    </row>
    <row r="127" spans="1:27" ht="18.75" customHeight="1">
      <c r="A127" s="3217" t="s">
        <v>2116</v>
      </c>
      <c r="B127" s="3217"/>
      <c r="C127" s="3217"/>
      <c r="D127" s="3223" t="e">
        <f>NUMBERSTRING(INT(D126*10000),2)&amp;"元整"</f>
        <v>#VALUE!</v>
      </c>
      <c r="E127" s="3225"/>
      <c r="F127" s="3225"/>
      <c r="G127" s="3225"/>
      <c r="H127" s="3225"/>
      <c r="I127" s="3224"/>
      <c r="AA127" s="731"/>
    </row>
    <row r="128" spans="1:27" ht="21.75" customHeight="1">
      <c r="A128" s="3226" t="s">
        <v>2117</v>
      </c>
      <c r="B128" s="3226"/>
      <c r="C128" s="3226"/>
      <c r="D128" s="3226"/>
      <c r="E128" s="3226"/>
      <c r="F128" s="3226"/>
      <c r="G128" s="3226"/>
      <c r="H128" s="3226"/>
      <c r="I128" s="3226"/>
      <c r="AA128" s="731"/>
    </row>
    <row r="129" spans="1:35" ht="21.75" customHeight="1">
      <c r="A129" s="2014" t="s">
        <v>2118</v>
      </c>
      <c r="B129" s="2015"/>
      <c r="C129" s="2016" t="s">
        <v>2119</v>
      </c>
      <c r="D129" s="2017"/>
      <c r="E129" s="2017"/>
      <c r="F129" s="2017"/>
      <c r="G129" s="2017"/>
      <c r="H129" s="2018"/>
      <c r="I129" s="2019"/>
      <c r="AA129" s="731"/>
    </row>
    <row r="130" spans="1:35" ht="21.75" customHeight="1">
      <c r="A130" s="2020">
        <v>1</v>
      </c>
      <c r="B130" s="2021"/>
      <c r="C130" s="2021"/>
      <c r="D130" s="2022"/>
      <c r="E130" s="2022"/>
      <c r="F130" s="2022"/>
      <c r="G130" s="2022"/>
      <c r="H130" s="2023"/>
      <c r="I130" s="2024"/>
      <c r="AA130" s="731"/>
    </row>
    <row r="131" spans="1:35" ht="21.75" customHeight="1">
      <c r="A131" s="2020">
        <v>2</v>
      </c>
      <c r="B131" s="2021"/>
      <c r="C131" s="2021"/>
      <c r="D131" s="2022"/>
      <c r="E131" s="2022"/>
      <c r="F131" s="2022"/>
      <c r="G131" s="2022"/>
      <c r="H131" s="2023"/>
      <c r="I131" s="2024"/>
      <c r="AA131" s="731"/>
    </row>
    <row r="132" spans="1:35" ht="21.75" customHeight="1">
      <c r="A132" s="2020">
        <v>3</v>
      </c>
      <c r="B132" s="2021"/>
      <c r="C132" s="2021"/>
      <c r="D132" s="2022"/>
      <c r="E132" s="2022"/>
      <c r="F132" s="2022"/>
      <c r="G132" s="2022"/>
      <c r="H132" s="2023"/>
      <c r="I132" s="2024"/>
      <c r="AA132" s="731"/>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1"/>
    </row>
    <row r="135" spans="1:35" ht="21.75" customHeight="1">
      <c r="A135" s="731"/>
      <c r="B135" s="731"/>
      <c r="C135" s="731"/>
      <c r="D135" s="731"/>
      <c r="E135" s="731"/>
      <c r="F135" s="2030" t="s">
        <v>2120</v>
      </c>
      <c r="G135" s="2031"/>
      <c r="H135" s="2031"/>
      <c r="I135" s="2032" t="s">
        <v>2121</v>
      </c>
    </row>
    <row r="136" spans="1:35" ht="21.75" customHeight="1">
      <c r="A136" s="731"/>
      <c r="B136" s="2033" t="s">
        <v>2122</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1"/>
      <c r="C138" s="2031"/>
      <c r="D138" s="2031"/>
      <c r="E138" s="2031"/>
      <c r="F138" s="2031"/>
      <c r="G138" s="2031"/>
      <c r="H138" s="2031"/>
      <c r="I138" s="2032" t="s">
        <v>2123</v>
      </c>
    </row>
    <row r="139" spans="1:35" ht="21.75" customHeight="1">
      <c r="A139" s="731"/>
      <c r="B139" s="2033" t="s">
        <v>2124</v>
      </c>
      <c r="C139" s="731"/>
      <c r="D139" s="731"/>
      <c r="E139" s="731"/>
      <c r="F139" s="731"/>
      <c r="G139" s="731"/>
      <c r="H139" s="731"/>
      <c r="I139" s="731"/>
    </row>
    <row r="140" spans="1:35" ht="21.75" customHeight="1">
      <c r="A140" s="731"/>
      <c r="B140" s="2033"/>
      <c r="C140" s="731"/>
      <c r="D140" s="731"/>
      <c r="E140" s="731"/>
      <c r="F140" s="731"/>
      <c r="G140" s="731"/>
      <c r="H140" s="731"/>
      <c r="I140" s="731"/>
    </row>
    <row r="141" spans="1:35" ht="21.75" customHeight="1">
      <c r="A141" s="731"/>
      <c r="B141" s="2031"/>
      <c r="C141" s="2031"/>
      <c r="D141" s="2031"/>
      <c r="E141" s="2031"/>
      <c r="F141" s="2031"/>
      <c r="G141" s="2031"/>
      <c r="H141" s="2031"/>
      <c r="I141" s="2032" t="s">
        <v>2123</v>
      </c>
    </row>
    <row r="142" spans="1:35" ht="21.75" customHeight="1">
      <c r="A142" s="731"/>
      <c r="B142" s="2033"/>
      <c r="C142" s="2034"/>
      <c r="D142" s="2035"/>
      <c r="E142" s="2035"/>
      <c r="F142" s="1924"/>
      <c r="G142" s="731"/>
      <c r="H142" s="731"/>
      <c r="I142" s="731"/>
    </row>
    <row r="143" spans="1:35" s="132" customFormat="1" ht="21.75" customHeight="1">
      <c r="A143" s="731"/>
      <c r="B143" s="2033"/>
      <c r="C143" s="2034"/>
      <c r="D143" s="2035"/>
      <c r="E143" s="2035"/>
      <c r="F143" s="192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795</v>
      </c>
      <c r="B36" s="948" t="s">
        <v>796</v>
      </c>
    </row>
    <row r="37" spans="1:9" ht="27.75" customHeight="1">
      <c r="A37" s="948"/>
      <c r="B37" s="3093" t="str">
        <f>项目基本情况!B1</f>
        <v>出让国有建设用地使用权及在建建筑物预评估</v>
      </c>
      <c r="C37" s="3093"/>
      <c r="D37" s="3093"/>
      <c r="E37" s="3093"/>
      <c r="F37" s="3093"/>
      <c r="G37" s="3093"/>
      <c r="H37" s="3093"/>
      <c r="I37" s="3093"/>
    </row>
    <row r="38" spans="1:9">
      <c r="A38" s="950"/>
      <c r="B38" s="950"/>
    </row>
    <row r="39" spans="1:9">
      <c r="A39" s="948" t="s">
        <v>795</v>
      </c>
      <c r="B39" s="948" t="s">
        <v>797</v>
      </c>
    </row>
    <row r="40" spans="1:9">
      <c r="A40" s="948"/>
      <c r="B40" s="1657">
        <f>项目基本情况!B5</f>
        <v>0</v>
      </c>
    </row>
    <row r="41" spans="1:9">
      <c r="A41" s="948"/>
      <c r="B41" s="948"/>
    </row>
    <row r="42" spans="1:9">
      <c r="A42" s="948" t="s">
        <v>795</v>
      </c>
      <c r="B42" s="948" t="s">
        <v>798</v>
      </c>
    </row>
    <row r="43" spans="1:9">
      <c r="A43" s="948"/>
      <c r="B43" s="1657" t="s">
        <v>799</v>
      </c>
    </row>
    <row r="44" spans="1:9">
      <c r="A44" s="948"/>
      <c r="B44" s="948"/>
    </row>
    <row r="45" spans="1:9">
      <c r="A45" s="948" t="s">
        <v>795</v>
      </c>
      <c r="B45" s="948" t="s">
        <v>800</v>
      </c>
    </row>
    <row r="46" spans="1:9" s="948" customFormat="1" ht="12.75">
      <c r="B46" s="1657" t="str">
        <f>项目基本情况!K4</f>
        <v>（注册号：0)、（注册号：0)</v>
      </c>
    </row>
    <row r="47" spans="1:9">
      <c r="A47" s="948"/>
      <c r="B47" s="948" t="str">
        <f>项目基本情况!K5</f>
        <v>（注册号：0)、（注册号：0)</v>
      </c>
    </row>
    <row r="48" spans="1:9">
      <c r="A48" s="948" t="s">
        <v>795</v>
      </c>
      <c r="B48" s="948" t="s">
        <v>801</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2" customWidth="1"/>
    <col min="2" max="2" width="29.125" style="254" customWidth="1"/>
    <col min="3" max="3" width="12.125" style="254" customWidth="1"/>
    <col min="4" max="5" width="11.125" style="275" customWidth="1"/>
    <col min="6" max="6" width="9.5" style="254" customWidth="1"/>
    <col min="7" max="7" width="31.875" style="254" customWidth="1"/>
    <col min="8" max="254" width="9" style="254" customWidth="1"/>
    <col min="255" max="16384" width="8.375" style="254"/>
  </cols>
  <sheetData>
    <row r="1" spans="1:9" s="203" customFormat="1" ht="20.25">
      <c r="A1" s="199" t="s">
        <v>2125</v>
      </c>
      <c r="B1" s="1652"/>
      <c r="C1" s="201"/>
      <c r="D1" s="201"/>
      <c r="E1" s="201"/>
      <c r="F1" s="201"/>
      <c r="G1" s="1285">
        <f>MATCH(B1,'数据-取费表'!A6:A16,0)+5</f>
        <v>10</v>
      </c>
    </row>
    <row r="2" spans="1:9" s="203" customFormat="1" ht="18" customHeight="1">
      <c r="A2" s="204" t="s">
        <v>2126</v>
      </c>
      <c r="B2" s="205">
        <f ca="1">IF(D2="——",C52,C52-E2)</f>
        <v>165230</v>
      </c>
      <c r="C2" s="202" t="s">
        <v>2127</v>
      </c>
      <c r="D2" s="2036" t="s">
        <v>47</v>
      </c>
      <c r="E2" s="1328" t="e">
        <f ca="1">SUMIF(INDIRECT("'"&amp;G2&amp;"'"&amp;"!A:A"),"承租人权益价值",INDIRECT("'"&amp;G2&amp;"'"&amp;"!c:c"))</f>
        <v>#REF!</v>
      </c>
      <c r="F2" s="2037" t="s">
        <v>2127</v>
      </c>
      <c r="G2" s="2038"/>
    </row>
    <row r="3" spans="1:9" s="203" customFormat="1" ht="18" customHeight="1" thickBot="1">
      <c r="A3" s="206" t="s">
        <v>2128</v>
      </c>
      <c r="B3" s="207">
        <f ca="1">ROUND(B2*10000/(IF(B1="",'数据-汇总表'!E3,INDIRECT("'数据-取费表'!k"&amp;$G$1))),0)</f>
        <v>13197</v>
      </c>
      <c r="C3" s="202" t="s">
        <v>2129</v>
      </c>
      <c r="D3" s="202"/>
      <c r="E3" s="202"/>
      <c r="F3" s="202"/>
      <c r="G3" s="202"/>
    </row>
    <row r="4" spans="1:9" s="211" customFormat="1" ht="15.75">
      <c r="A4" s="208" t="s">
        <v>2130</v>
      </c>
      <c r="B4" s="209"/>
      <c r="C4" s="209"/>
      <c r="D4" s="209"/>
      <c r="E4" s="209"/>
      <c r="F4" s="209"/>
      <c r="G4" s="210"/>
    </row>
    <row r="5" spans="1:9" s="217" customFormat="1" ht="13.5" customHeight="1">
      <c r="A5" s="258" t="s">
        <v>2131</v>
      </c>
      <c r="B5" s="213" t="s">
        <v>2132</v>
      </c>
      <c r="C5" s="214">
        <f ca="1">C6+C7+C8</f>
        <v>137064</v>
      </c>
      <c r="D5" s="214" t="s">
        <v>2133</v>
      </c>
      <c r="E5" s="215" t="s">
        <v>2134</v>
      </c>
      <c r="F5" s="215" t="s">
        <v>2135</v>
      </c>
      <c r="G5" s="216"/>
    </row>
    <row r="6" spans="1:9" s="217" customFormat="1" ht="13.5" customHeight="1">
      <c r="A6" s="883" t="s">
        <v>2136</v>
      </c>
      <c r="B6" s="218" t="s">
        <v>2137</v>
      </c>
      <c r="C6" s="219">
        <f>'土地比较法-住宅、综合'!B2</f>
        <v>132676</v>
      </c>
      <c r="D6" s="220"/>
      <c r="E6" s="221"/>
      <c r="F6" s="221"/>
      <c r="G6" s="222"/>
    </row>
    <row r="7" spans="1:9" s="217" customFormat="1" ht="13.5" customHeight="1">
      <c r="A7" s="883" t="s">
        <v>2138</v>
      </c>
      <c r="B7" s="218" t="s">
        <v>2139</v>
      </c>
      <c r="C7" s="223">
        <f>ROUND(C6*F7,0)</f>
        <v>4047</v>
      </c>
      <c r="D7" s="223"/>
      <c r="E7" s="221"/>
      <c r="F7" s="224">
        <f>IF(项目基本情况!B8="出让",0,'数据-取费表'!B48+'数据-取费表'!B49)</f>
        <v>3.0499999999999999E-2</v>
      </c>
      <c r="G7" s="222"/>
    </row>
    <row r="8" spans="1:9" s="226" customFormat="1">
      <c r="A8" s="883" t="s">
        <v>2140</v>
      </c>
      <c r="B8" s="218" t="s">
        <v>2141</v>
      </c>
      <c r="C8" s="223">
        <f ca="1">IF(G8="已包含在土地购买价格中","0",IF(B1="",'数据-取费表'!B29,IF(G9="全部缴纳",C9+C10,H9)))</f>
        <v>341</v>
      </c>
      <c r="D8" s="225"/>
      <c r="E8" s="223"/>
      <c r="F8" s="224"/>
      <c r="G8" s="2039" t="s">
        <v>3293</v>
      </c>
    </row>
    <row r="9" spans="1:9" s="217" customFormat="1" ht="13.5" customHeight="1">
      <c r="A9" s="884" t="s">
        <v>777</v>
      </c>
      <c r="B9" s="227" t="s">
        <v>2142</v>
      </c>
      <c r="C9" s="228">
        <f ca="1">ROUND(D9*E9/10000,0)</f>
        <v>341</v>
      </c>
      <c r="D9" s="951">
        <f ca="1">IF(B1="",'数据-汇总表'!E5,IF(INDIRECT("'数据-取费表'!c"&amp;$G$1)="住宅",INDIRECT("'数据-取费表'!k"&amp;$G$1),0))</f>
        <v>68161.440000000002</v>
      </c>
      <c r="E9" s="228">
        <f>'数据-取费表'!B27</f>
        <v>50</v>
      </c>
      <c r="F9" s="224"/>
      <c r="G9" s="2040" t="s">
        <v>3294</v>
      </c>
      <c r="H9" s="1296"/>
      <c r="I9" s="2041" t="s">
        <v>2143</v>
      </c>
    </row>
    <row r="10" spans="1:9" s="217" customFormat="1" ht="13.5" customHeight="1">
      <c r="A10" s="884" t="s">
        <v>778</v>
      </c>
      <c r="B10" s="227" t="s">
        <v>2144</v>
      </c>
      <c r="C10" s="228">
        <f ca="1">ROUND(D10*E10/10000,0)</f>
        <v>685</v>
      </c>
      <c r="D10" s="951">
        <f ca="1">IF(B1="",'数据-汇总表'!E6,IF(INDIRECT("'数据-取费表'!c"&amp;$G$1)="住宅",INDIRECT("'数据-取费表'!s"&amp;$G$1),INDIRECT("'数据-取费表'!k"&amp;$G$1)+INDIRECT("'数据-取费表'!s"&amp;$G$1)))</f>
        <v>57041.97</v>
      </c>
      <c r="E10" s="228">
        <f>'数据-取费表'!B28</f>
        <v>120</v>
      </c>
      <c r="F10" s="224"/>
      <c r="G10" s="229"/>
    </row>
    <row r="11" spans="1:9" s="217" customFormat="1" ht="13.5" hidden="1" customHeight="1">
      <c r="A11" s="230" t="s">
        <v>4</v>
      </c>
      <c r="B11" s="218" t="s">
        <v>2145</v>
      </c>
      <c r="C11" s="214"/>
      <c r="D11" s="953"/>
      <c r="E11" s="221"/>
      <c r="F11" s="221"/>
      <c r="G11" s="222"/>
    </row>
    <row r="12" spans="1:9" s="217" customFormat="1" ht="13.5" hidden="1" customHeight="1">
      <c r="A12" s="230" t="s">
        <v>5</v>
      </c>
      <c r="B12" s="218" t="s">
        <v>2146</v>
      </c>
      <c r="C12" s="214">
        <v>0</v>
      </c>
      <c r="D12" s="953"/>
      <c r="E12" s="231"/>
      <c r="F12" s="224">
        <v>3.0499999999999999E-2</v>
      </c>
      <c r="G12" s="222"/>
    </row>
    <row r="13" spans="1:9" s="217" customFormat="1" ht="13.5" hidden="1" customHeight="1">
      <c r="A13" s="230" t="s">
        <v>6</v>
      </c>
      <c r="B13" s="218" t="s">
        <v>2147</v>
      </c>
      <c r="C13" s="214"/>
      <c r="D13" s="953"/>
      <c r="E13" s="221"/>
      <c r="F13" s="221"/>
      <c r="G13" s="222"/>
    </row>
    <row r="14" spans="1:9" s="217" customFormat="1" ht="13.5" hidden="1" customHeight="1">
      <c r="A14" s="230" t="s">
        <v>7</v>
      </c>
      <c r="B14" s="218" t="s">
        <v>2148</v>
      </c>
      <c r="C14" s="214"/>
      <c r="D14" s="953"/>
      <c r="E14" s="221"/>
      <c r="F14" s="221"/>
      <c r="G14" s="222" t="s">
        <v>2149</v>
      </c>
    </row>
    <row r="15" spans="1:9" s="217" customFormat="1" ht="13.5" hidden="1" customHeight="1">
      <c r="A15" s="230" t="s">
        <v>8</v>
      </c>
      <c r="B15" s="218" t="s">
        <v>2150</v>
      </c>
      <c r="C15" s="223"/>
      <c r="D15" s="953"/>
      <c r="E15" s="221"/>
      <c r="F15" s="221"/>
      <c r="G15" s="222" t="s">
        <v>2151</v>
      </c>
    </row>
    <row r="16" spans="1:9" s="217" customFormat="1" ht="13.5" hidden="1" customHeight="1">
      <c r="A16" s="230" t="s">
        <v>9</v>
      </c>
      <c r="B16" s="218" t="s">
        <v>2148</v>
      </c>
      <c r="C16" s="223"/>
      <c r="D16" s="953"/>
      <c r="E16" s="221"/>
      <c r="F16" s="221"/>
      <c r="G16" s="222"/>
    </row>
    <row r="17" spans="1:7" s="217" customFormat="1" ht="13.5" hidden="1" customHeight="1">
      <c r="A17" s="230" t="s">
        <v>10</v>
      </c>
      <c r="B17" s="218" t="s">
        <v>2152</v>
      </c>
      <c r="C17" s="232"/>
      <c r="D17" s="954"/>
      <c r="E17" s="232"/>
      <c r="F17" s="232"/>
      <c r="G17" s="222" t="s">
        <v>2151</v>
      </c>
    </row>
    <row r="18" spans="1:7" s="217" customFormat="1" ht="13.5" hidden="1" customHeight="1">
      <c r="A18" s="230" t="s">
        <v>11</v>
      </c>
      <c r="B18" s="218" t="s">
        <v>2153</v>
      </c>
      <c r="C18" s="223">
        <v>0</v>
      </c>
      <c r="D18" s="953"/>
      <c r="E18" s="221"/>
      <c r="F18" s="224">
        <v>3.0499999999999999E-2</v>
      </c>
      <c r="G18" s="222" t="s">
        <v>2154</v>
      </c>
    </row>
    <row r="19" spans="1:7" s="226" customFormat="1" ht="13.5" customHeight="1">
      <c r="A19" s="258" t="s">
        <v>2155</v>
      </c>
      <c r="B19" s="213" t="s">
        <v>2156</v>
      </c>
      <c r="C19" s="214" t="str">
        <f>IF(G19="已包含在土地取得成本中","0",ROUND(D19*E19/10000,0))</f>
        <v>0</v>
      </c>
      <c r="D19" s="955">
        <f ca="1">D9+D10</f>
        <v>125203.41</v>
      </c>
      <c r="E19" s="214">
        <f>'数据-取费表'!B31</f>
        <v>200</v>
      </c>
      <c r="F19" s="234"/>
      <c r="G19" s="2039" t="s">
        <v>3295</v>
      </c>
    </row>
    <row r="20" spans="1:7" s="217" customFormat="1" ht="13.5" customHeight="1">
      <c r="A20" s="258" t="s">
        <v>2157</v>
      </c>
      <c r="B20" s="213" t="s">
        <v>2158</v>
      </c>
      <c r="C20" s="235">
        <f ca="1">ROUND((C5+C19)*F20,0)</f>
        <v>2741</v>
      </c>
      <c r="D20" s="235"/>
      <c r="E20" s="235"/>
      <c r="F20" s="236">
        <f>'数据-取费表'!B37</f>
        <v>0.02</v>
      </c>
      <c r="G20" s="237" t="s">
        <v>2159</v>
      </c>
    </row>
    <row r="21" spans="1:7" s="217" customFormat="1" ht="13.5" customHeight="1">
      <c r="A21" s="258" t="s">
        <v>2160</v>
      </c>
      <c r="B21" s="213" t="s">
        <v>2161</v>
      </c>
      <c r="C21" s="238">
        <f>F21</f>
        <v>0.02</v>
      </c>
      <c r="D21" s="239" t="s">
        <v>2162</v>
      </c>
      <c r="E21" s="235"/>
      <c r="F21" s="236">
        <f>'数据-取费表'!B38</f>
        <v>0.02</v>
      </c>
      <c r="G21" s="237" t="s">
        <v>2163</v>
      </c>
    </row>
    <row r="22" spans="1:7" s="217" customFormat="1" ht="13.5" customHeight="1">
      <c r="A22" s="258" t="s">
        <v>2164</v>
      </c>
      <c r="B22" s="213" t="s">
        <v>2165</v>
      </c>
      <c r="C22" s="1261">
        <f ca="1">ROUND(SUM(C23:C25),0)</f>
        <v>1578</v>
      </c>
      <c r="D22" s="238">
        <f ca="1">C26</f>
        <v>1E-4</v>
      </c>
      <c r="E22" s="239" t="s">
        <v>2162</v>
      </c>
      <c r="F22" s="240">
        <f ca="1">'数据-取费表'!B40</f>
        <v>3.85E-2</v>
      </c>
      <c r="G22" s="237" t="str">
        <f>IF('数据-取费表'!B22&lt;=1,"单利计息","复利计息")</f>
        <v>复利计息</v>
      </c>
    </row>
    <row r="23" spans="1:7" s="217" customFormat="1" ht="13.5" customHeight="1">
      <c r="A23" s="885" t="s">
        <v>2166</v>
      </c>
      <c r="B23" s="218" t="s">
        <v>2167</v>
      </c>
      <c r="C23" s="1262">
        <f ca="1">ROUND(IF('数据-取费表'!B22&lt;=1,C5*F22*'数据-取费表'!B23,C5*(POWER((1+F22),'数据-取费表'!B23)-1)),0)</f>
        <v>1562</v>
      </c>
      <c r="D23" s="241"/>
      <c r="E23" s="241"/>
      <c r="F23" s="242"/>
      <c r="G23" s="243" t="s">
        <v>2168</v>
      </c>
    </row>
    <row r="24" spans="1:7" s="217" customFormat="1" ht="13.5" customHeight="1">
      <c r="A24" s="885" t="s">
        <v>2169</v>
      </c>
      <c r="B24" s="218" t="s">
        <v>2170</v>
      </c>
      <c r="C24" s="1262">
        <f ca="1">ROUND(IF('数据-取费表'!B22&lt;=1,C19*F22*('数据-取费表'!B19/2+'数据-取费表'!B21),C19*(POWER((1+F22),('数据-取费表'!B19/2+'数据-取费表'!B21))-1)),0)</f>
        <v>0</v>
      </c>
      <c r="D24" s="241"/>
      <c r="E24" s="241"/>
      <c r="F24" s="242"/>
      <c r="G24" s="243" t="s">
        <v>2171</v>
      </c>
    </row>
    <row r="25" spans="1:7" s="217" customFormat="1" ht="24">
      <c r="A25" s="885" t="s">
        <v>2172</v>
      </c>
      <c r="B25" s="218" t="s">
        <v>2173</v>
      </c>
      <c r="C25" s="1262">
        <f ca="1">ROUND(IF('数据-取费表'!B22&lt;=1,C20*F22*'数据-取费表'!B23/2,C20*(POWER((1+F22),'数据-取费表'!B23/2)-1)),0)</f>
        <v>16</v>
      </c>
      <c r="D25" s="241"/>
      <c r="E25" s="244"/>
      <c r="F25" s="242"/>
      <c r="G25" s="245" t="s">
        <v>2174</v>
      </c>
    </row>
    <row r="26" spans="1:7" s="217" customFormat="1">
      <c r="A26" s="885" t="s">
        <v>772</v>
      </c>
      <c r="B26" s="218" t="s">
        <v>2175</v>
      </c>
      <c r="C26" s="241">
        <f ca="1">ROUND(IF('数据-取费表'!B22&lt;=1,F21*F22*'数据-取费表'!B23/2,F21*(POWER((1+F22),'数据-取费表'!B23/2)-1)),4)</f>
        <v>1E-4</v>
      </c>
      <c r="D26" s="241"/>
      <c r="E26" s="244"/>
      <c r="F26" s="242"/>
      <c r="G26" s="246"/>
    </row>
    <row r="27" spans="1:7" s="217" customFormat="1" ht="24.75">
      <c r="A27" s="258" t="s">
        <v>2176</v>
      </c>
      <c r="B27" s="247" t="s">
        <v>2177</v>
      </c>
      <c r="C27" s="248">
        <f ca="1">C28</f>
        <v>4194</v>
      </c>
      <c r="D27" s="238">
        <f ca="1">C29</f>
        <v>5.9999999999999995E-4</v>
      </c>
      <c r="E27" s="239" t="s">
        <v>2178</v>
      </c>
      <c r="F27" s="249">
        <f ca="1">IF(B1="",'数据-取费表'!Q16,INDIRECT("'数据-取费表'!q"&amp;$G$1))</f>
        <v>0.3</v>
      </c>
      <c r="G27" s="250" t="s">
        <v>2179</v>
      </c>
    </row>
    <row r="28" spans="1:7" s="217" customFormat="1" ht="13.5" customHeight="1">
      <c r="A28" s="885" t="s">
        <v>768</v>
      </c>
      <c r="B28" s="251" t="s">
        <v>2180</v>
      </c>
      <c r="C28" s="252">
        <f ca="1">ROUND((C5+C19+C20)*F27*'数据-取费表'!B21/'数据-取费表'!B20,0)</f>
        <v>4194</v>
      </c>
      <c r="D28" s="238"/>
      <c r="E28" s="239"/>
      <c r="F28" s="249"/>
      <c r="G28" s="250"/>
    </row>
    <row r="29" spans="1:7" s="217" customFormat="1" ht="13.5" customHeight="1">
      <c r="A29" s="885" t="s">
        <v>769</v>
      </c>
      <c r="B29" s="251" t="s">
        <v>2181</v>
      </c>
      <c r="C29" s="241">
        <f ca="1">ROUND(C21*F27*'数据-取费表'!B21/'数据-取费表'!B20,4)</f>
        <v>5.9999999999999995E-4</v>
      </c>
      <c r="D29" s="238"/>
      <c r="E29" s="239"/>
      <c r="F29" s="249"/>
      <c r="G29" s="250"/>
    </row>
    <row r="30" spans="1:7" s="217" customFormat="1" ht="13.5" customHeight="1">
      <c r="A30" s="258" t="s">
        <v>2182</v>
      </c>
      <c r="B30" s="213" t="s">
        <v>2183</v>
      </c>
      <c r="C30" s="238">
        <f>ROUND(F30/(1+'数据-取费表'!C42),4)</f>
        <v>5.33E-2</v>
      </c>
      <c r="D30" s="239" t="s">
        <v>2178</v>
      </c>
      <c r="E30" s="244"/>
      <c r="F30" s="240">
        <f>'数据-取费表'!B41</f>
        <v>5.6000000000000001E-2</v>
      </c>
      <c r="G30" s="237" t="s">
        <v>2184</v>
      </c>
    </row>
    <row r="31" spans="1:7" ht="16.5" customHeight="1">
      <c r="A31" s="212">
        <v>1</v>
      </c>
      <c r="B31" s="213" t="s">
        <v>2185</v>
      </c>
      <c r="C31" s="214">
        <f ca="1">ROUND((C5+C19+C20+C22+C27)/(1-C21-D22-D27-C30),0)</f>
        <v>157211</v>
      </c>
      <c r="D31" s="233"/>
      <c r="E31" s="214"/>
      <c r="F31" s="253"/>
      <c r="G31" s="237" t="s">
        <v>2186</v>
      </c>
    </row>
    <row r="32" spans="1:7" s="211" customFormat="1" ht="15.75">
      <c r="A32" s="255" t="s">
        <v>2187</v>
      </c>
      <c r="B32" s="256"/>
      <c r="C32" s="256"/>
      <c r="D32" s="256"/>
      <c r="E32" s="256"/>
      <c r="F32" s="256"/>
      <c r="G32" s="257"/>
    </row>
    <row r="33" spans="1:7" s="217" customFormat="1" ht="13.5" customHeight="1">
      <c r="A33" s="258" t="s">
        <v>759</v>
      </c>
      <c r="B33" s="213" t="s">
        <v>2188</v>
      </c>
      <c r="C33" s="259">
        <f ca="1">SUM(C34:C38)</f>
        <v>5543</v>
      </c>
      <c r="D33" s="235"/>
      <c r="E33" s="215"/>
      <c r="F33" s="244"/>
      <c r="G33" s="237"/>
    </row>
    <row r="34" spans="1:7" s="261" customFormat="1" ht="13.5" customHeight="1">
      <c r="A34" s="885" t="s">
        <v>768</v>
      </c>
      <c r="B34" s="218" t="s">
        <v>2189</v>
      </c>
      <c r="C34" s="223">
        <f ca="1">IF(B1="",IF(F34=100%,'数据-取费表'!M16,'数据-取费表'!O16),IF(F34=100%,INDIRECT("'数据-取费表'!m"&amp;$G$1)+INDIRECT("'数据-取费表'!t"&amp;$G$1),INDIRECT("'数据-取费表'!o"&amp;$G$1)+INDIRECT("'数据-取费表'!aq"&amp;$G$1)))</f>
        <v>4935</v>
      </c>
      <c r="D34" s="220"/>
      <c r="E34" s="223"/>
      <c r="F34" s="260">
        <f ca="1">IF('数据-取费表'!B24=0,1,IF(B1="",'数据-取费表'!N16,INDIRECT("'数据-取费表'!n"&amp;$G$1)))</f>
        <v>0.1</v>
      </c>
      <c r="G34" s="222" t="s">
        <v>2190</v>
      </c>
    </row>
    <row r="35" spans="1:7" ht="13.5" customHeight="1">
      <c r="A35" s="885" t="s">
        <v>773</v>
      </c>
      <c r="B35" s="218" t="s">
        <v>2191</v>
      </c>
      <c r="C35" s="223">
        <f ca="1">ROUND(C34*F35,0)</f>
        <v>148</v>
      </c>
      <c r="D35" s="223"/>
      <c r="E35" s="223"/>
      <c r="F35" s="262">
        <f>'数据-取费表'!B33</f>
        <v>0.03</v>
      </c>
      <c r="G35" s="222" t="s">
        <v>2192</v>
      </c>
    </row>
    <row r="36" spans="1:7" ht="24">
      <c r="A36" s="885" t="s">
        <v>774</v>
      </c>
      <c r="B36" s="218" t="s">
        <v>2193</v>
      </c>
      <c r="C36" s="223">
        <f ca="1">ROUND(IF(B1="",SUMIF('数据-取费表'!C:C,"住宅",IF(F34=100%,'数据-取费表'!M:M,'数据-取费表'!O:O))*F36,IF(INDIRECT("'数据-取费表'!c"&amp;$G$1)="住宅",IF(F34=100%,INDIRECT("'数据-取费表'!m"&amp;$G$1)*F36,INDIRECT("'数据-取费表'!o"&amp;$G$1)*F36),0)),0)</f>
        <v>136</v>
      </c>
      <c r="D36" s="223"/>
      <c r="E36" s="223"/>
      <c r="F36" s="262">
        <f>'数据-取费表'!B34</f>
        <v>0.05</v>
      </c>
      <c r="G36" s="263" t="s">
        <v>2194</v>
      </c>
    </row>
    <row r="37" spans="1:7" s="261" customFormat="1" ht="13.5" customHeight="1">
      <c r="A37" s="885" t="s">
        <v>775</v>
      </c>
      <c r="B37" s="218" t="s">
        <v>2195</v>
      </c>
      <c r="C37" s="252">
        <f ca="1">ROUND(E37*D37*F34/10000,0)</f>
        <v>250</v>
      </c>
      <c r="D37" s="220">
        <f ca="1">D19</f>
        <v>125203.41</v>
      </c>
      <c r="E37" s="252">
        <f>'数据-取费表'!B35</f>
        <v>200</v>
      </c>
      <c r="F37" s="262"/>
      <c r="G37" s="264" t="s">
        <v>2196</v>
      </c>
    </row>
    <row r="38" spans="1:7" ht="13.5" customHeight="1">
      <c r="A38" s="885" t="s">
        <v>776</v>
      </c>
      <c r="B38" s="218" t="s">
        <v>2197</v>
      </c>
      <c r="C38" s="223">
        <f ca="1">ROUND(C34*F38,0)</f>
        <v>74</v>
      </c>
      <c r="D38" s="223"/>
      <c r="E38" s="223"/>
      <c r="F38" s="262">
        <f>'数据-取费表'!B36</f>
        <v>1.4999999999999999E-2</v>
      </c>
      <c r="G38" s="222" t="s">
        <v>2192</v>
      </c>
    </row>
    <row r="39" spans="1:7" s="217" customFormat="1" ht="13.5" customHeight="1">
      <c r="A39" s="258" t="s">
        <v>2198</v>
      </c>
      <c r="B39" s="213" t="s">
        <v>2199</v>
      </c>
      <c r="C39" s="235">
        <f ca="1">ROUND(C33*F20,0)</f>
        <v>111</v>
      </c>
      <c r="D39" s="235"/>
      <c r="E39" s="235"/>
      <c r="F39" s="2532">
        <f>F20</f>
        <v>0.02</v>
      </c>
      <c r="G39" s="237" t="s">
        <v>2200</v>
      </c>
    </row>
    <row r="40" spans="1:7" s="217" customFormat="1" ht="13.5" customHeight="1">
      <c r="A40" s="258" t="s">
        <v>2201</v>
      </c>
      <c r="B40" s="213" t="s">
        <v>2202</v>
      </c>
      <c r="C40" s="1493">
        <f>F21</f>
        <v>0.02</v>
      </c>
      <c r="D40" s="239" t="s">
        <v>2203</v>
      </c>
      <c r="E40" s="235"/>
      <c r="F40" s="2532">
        <f>F21</f>
        <v>0.02</v>
      </c>
      <c r="G40" s="237" t="s">
        <v>2204</v>
      </c>
    </row>
    <row r="41" spans="1:7" s="217" customFormat="1" ht="13.5" customHeight="1">
      <c r="A41" s="258" t="s">
        <v>2205</v>
      </c>
      <c r="B41" s="213" t="s">
        <v>2206</v>
      </c>
      <c r="C41" s="235">
        <f ca="1">ROUND(SUM(C42:C43),0)</f>
        <v>32</v>
      </c>
      <c r="D41" s="238">
        <f ca="1">C44</f>
        <v>1E-4</v>
      </c>
      <c r="E41" s="239" t="s">
        <v>2203</v>
      </c>
      <c r="F41" s="2533">
        <f ca="1">F22</f>
        <v>3.85E-2</v>
      </c>
      <c r="G41" s="237" t="str">
        <f>IF('数据-取费表'!B22&lt;=1,"单利计息","复利计息")</f>
        <v>复利计息</v>
      </c>
    </row>
    <row r="42" spans="1:7" ht="13.5" customHeight="1">
      <c r="A42" s="885" t="s">
        <v>768</v>
      </c>
      <c r="B42" s="218" t="s">
        <v>2207</v>
      </c>
      <c r="C42" s="241">
        <f ca="1">ROUND(IF('数据-取费表'!B22&lt;=1,C33*F22*'数据-取费表'!B21/2,C33*(POWER((1+F22),'数据-取费表'!B21/2)-1)),0)</f>
        <v>31</v>
      </c>
      <c r="D42" s="241"/>
      <c r="E42" s="241"/>
      <c r="F42" s="242"/>
      <c r="G42" s="3299" t="s">
        <v>2208</v>
      </c>
    </row>
    <row r="43" spans="1:7" ht="13.5" customHeight="1">
      <c r="A43" s="885" t="s">
        <v>769</v>
      </c>
      <c r="B43" s="218" t="s">
        <v>2209</v>
      </c>
      <c r="C43" s="241">
        <f ca="1">ROUND(IF('数据-取费表'!B22&lt;=1,C39*F22*'数据-取费表'!B21/2,C39*(POWER((1+F22),'数据-取费表'!B21/2)-1)),0)</f>
        <v>1</v>
      </c>
      <c r="D43" s="241"/>
      <c r="E43" s="241"/>
      <c r="F43" s="242"/>
      <c r="G43" s="3300"/>
    </row>
    <row r="44" spans="1:7" ht="13.5" customHeight="1">
      <c r="A44" s="885" t="s">
        <v>770</v>
      </c>
      <c r="B44" s="218" t="s">
        <v>2210</v>
      </c>
      <c r="C44" s="241">
        <f ca="1">ROUND(IF('数据-取费表'!B22&lt;=1,C40*F22*'数据-取费表'!B21/2,C40*(POWER((1+F22),'数据-取费表'!B21/2)-1)),4)</f>
        <v>1E-4</v>
      </c>
      <c r="D44" s="241"/>
      <c r="E44" s="241"/>
      <c r="F44" s="242"/>
      <c r="G44" s="3301"/>
    </row>
    <row r="45" spans="1:7" s="217" customFormat="1" ht="13.5" customHeight="1">
      <c r="A45" s="258" t="s">
        <v>2211</v>
      </c>
      <c r="B45" s="247" t="s">
        <v>2177</v>
      </c>
      <c r="C45" s="248">
        <f ca="1">C46</f>
        <v>1696</v>
      </c>
      <c r="D45" s="238">
        <f ca="1">C47</f>
        <v>6.0000000000000001E-3</v>
      </c>
      <c r="E45" s="239" t="s">
        <v>2203</v>
      </c>
      <c r="F45" s="2534">
        <f ca="1">F27</f>
        <v>0.3</v>
      </c>
      <c r="G45" s="250" t="s">
        <v>2212</v>
      </c>
    </row>
    <row r="46" spans="1:7" s="217" customFormat="1" ht="13.5" customHeight="1">
      <c r="A46" s="885" t="s">
        <v>768</v>
      </c>
      <c r="B46" s="251" t="s">
        <v>2213</v>
      </c>
      <c r="C46" s="252">
        <f ca="1">ROUND((C33+C39)*F27,0)</f>
        <v>1696</v>
      </c>
      <c r="D46" s="266"/>
      <c r="E46" s="239"/>
      <c r="F46" s="249"/>
      <c r="G46" s="250"/>
    </row>
    <row r="47" spans="1:7" s="217" customFormat="1" ht="13.5" customHeight="1">
      <c r="A47" s="885" t="s">
        <v>769</v>
      </c>
      <c r="B47" s="251" t="s">
        <v>2214</v>
      </c>
      <c r="C47" s="241">
        <f ca="1">ROUND(C40*F27,4)</f>
        <v>6.0000000000000001E-3</v>
      </c>
      <c r="D47" s="266"/>
      <c r="E47" s="239"/>
      <c r="F47" s="249"/>
      <c r="G47" s="250"/>
    </row>
    <row r="48" spans="1:7" s="217" customFormat="1" ht="13.5" customHeight="1">
      <c r="A48" s="258" t="s">
        <v>2176</v>
      </c>
      <c r="B48" s="213" t="s">
        <v>2215</v>
      </c>
      <c r="C48" s="1493">
        <f>ROUND(F30/(1+'数据-取费表'!C42),4)</f>
        <v>5.33E-2</v>
      </c>
      <c r="D48" s="239" t="s">
        <v>2203</v>
      </c>
      <c r="E48" s="235"/>
      <c r="F48" s="2533">
        <f>F30</f>
        <v>5.6000000000000001E-2</v>
      </c>
      <c r="G48" s="237" t="s">
        <v>2216</v>
      </c>
    </row>
    <row r="49" spans="1:7" ht="16.5" customHeight="1">
      <c r="A49" s="258" t="s">
        <v>2182</v>
      </c>
      <c r="B49" s="213" t="s">
        <v>2217</v>
      </c>
      <c r="C49" s="235">
        <f ca="1">ROUND((C33+C39+C41+C45)/(1-C40-D41-D45-C48),0)</f>
        <v>8019</v>
      </c>
      <c r="D49" s="235"/>
      <c r="E49" s="235"/>
      <c r="F49" s="267"/>
      <c r="G49" s="237" t="s">
        <v>2218</v>
      </c>
    </row>
    <row r="50" spans="1:7" s="261" customFormat="1" ht="24">
      <c r="A50" s="258" t="s">
        <v>2219</v>
      </c>
      <c r="B50" s="213" t="s">
        <v>2220</v>
      </c>
      <c r="C50" s="235"/>
      <c r="D50" s="235"/>
      <c r="E50" s="235"/>
      <c r="F50" s="267">
        <f>IF('数据-取费表'!B24=0,'数据-取费表'!N16,1)</f>
        <v>1</v>
      </c>
      <c r="G50" s="250" t="s">
        <v>2221</v>
      </c>
    </row>
    <row r="51" spans="1:7" ht="16.5" customHeight="1">
      <c r="A51" s="258" t="s">
        <v>2222</v>
      </c>
      <c r="B51" s="213" t="s">
        <v>2223</v>
      </c>
      <c r="C51" s="235">
        <f ca="1">ROUND(C49*F50,0)</f>
        <v>8019</v>
      </c>
      <c r="D51" s="235"/>
      <c r="E51" s="235"/>
      <c r="F51" s="267"/>
      <c r="G51" s="237" t="s">
        <v>2224</v>
      </c>
    </row>
    <row r="52" spans="1:7" s="211" customFormat="1" ht="16.5" thickBot="1">
      <c r="A52" s="268" t="s">
        <v>2225</v>
      </c>
      <c r="B52" s="269"/>
      <c r="C52" s="270">
        <f ca="1">C31+C51</f>
        <v>165230</v>
      </c>
      <c r="D52" s="269"/>
      <c r="E52" s="269"/>
      <c r="F52" s="269"/>
      <c r="G52" s="271"/>
    </row>
    <row r="55" spans="1:7" ht="15">
      <c r="B55" s="273" t="s">
        <v>2226</v>
      </c>
      <c r="C55" s="274"/>
    </row>
    <row r="56" spans="1:7">
      <c r="B56" s="276" t="s">
        <v>1455</v>
      </c>
      <c r="C56" s="278">
        <f ca="1">1-C57</f>
        <v>0.95099999999999996</v>
      </c>
    </row>
    <row r="57" spans="1:7">
      <c r="B57" s="276" t="s">
        <v>1456</v>
      </c>
      <c r="C57" s="277">
        <f ca="1">ROUND(C51/C52,3)</f>
        <v>4.9000000000000002E-2</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125" style="254" customWidth="1"/>
    <col min="3" max="3" width="12.125" style="254" customWidth="1"/>
    <col min="4" max="5" width="11.125" style="275" customWidth="1"/>
    <col min="6" max="6" width="9.5" style="254" customWidth="1"/>
    <col min="7" max="7" width="31.875" style="254" customWidth="1"/>
    <col min="8" max="8" width="10.875" style="254" customWidth="1"/>
    <col min="9" max="254" width="9" style="254" customWidth="1"/>
    <col min="255" max="16384" width="8.375" style="254"/>
  </cols>
  <sheetData>
    <row r="1" spans="1:8" s="203" customFormat="1" ht="20.25">
      <c r="A1" s="199" t="s">
        <v>2125</v>
      </c>
      <c r="B1" s="1652"/>
      <c r="C1" s="2042" t="s">
        <v>2227</v>
      </c>
      <c r="D1" s="201"/>
      <c r="E1" s="201"/>
      <c r="F1" s="201"/>
      <c r="G1" s="1285">
        <f>MATCH(B1,'数据-取费表'!A6:A16,0)+5</f>
        <v>10</v>
      </c>
      <c r="H1" s="1189" t="str">
        <f>IF(ISERROR(FIND("住宅",B1)),"非住宅","住宅")</f>
        <v>非住宅</v>
      </c>
    </row>
    <row r="2" spans="1:8" s="203" customFormat="1" ht="18" customHeight="1">
      <c r="A2" s="204" t="s">
        <v>2126</v>
      </c>
      <c r="B2" s="205">
        <f ca="1">ROUND(IF(D2="——",C52/10000,C52/10000-E2),0)</f>
        <v>89083</v>
      </c>
      <c r="C2" s="202" t="s">
        <v>2127</v>
      </c>
      <c r="D2" s="2036" t="s">
        <v>47</v>
      </c>
      <c r="E2" s="1328" t="e">
        <f ca="1">SUMIF(INDIRECT("'"&amp;G2&amp;"'"&amp;"!A:A"),"承租人权益价值",INDIRECT("'"&amp;G2&amp;"'"&amp;"!c:c"))</f>
        <v>#REF!</v>
      </c>
      <c r="F2" s="2037" t="s">
        <v>2127</v>
      </c>
      <c r="G2" s="2038"/>
    </row>
    <row r="3" spans="1:8" s="203" customFormat="1" ht="18" customHeight="1" thickBot="1">
      <c r="A3" s="206" t="s">
        <v>2128</v>
      </c>
      <c r="B3" s="207">
        <f ca="1">ROUND(B2*10000/(IF(B1="",'数据-汇总表'!E3,INDIRECT("'数据-取费表'!k"&amp;$G$1))),0)</f>
        <v>7115</v>
      </c>
      <c r="C3" s="202" t="s">
        <v>2129</v>
      </c>
      <c r="D3" s="202"/>
      <c r="E3" s="202"/>
      <c r="F3" s="202"/>
      <c r="G3" s="202"/>
    </row>
    <row r="4" spans="1:8" s="211" customFormat="1" ht="15.75">
      <c r="A4" s="208" t="s">
        <v>2130</v>
      </c>
      <c r="B4" s="209"/>
      <c r="C4" s="209"/>
      <c r="D4" s="209"/>
      <c r="E4" s="209"/>
      <c r="F4" s="209"/>
      <c r="G4" s="210"/>
    </row>
    <row r="5" spans="1:8" s="217" customFormat="1" ht="13.5" customHeight="1">
      <c r="A5" s="258" t="s">
        <v>2131</v>
      </c>
      <c r="B5" s="213" t="s">
        <v>2132</v>
      </c>
      <c r="C5" s="214">
        <f ca="1">C6+C7+C8</f>
        <v>10253108</v>
      </c>
      <c r="D5" s="214" t="s">
        <v>2133</v>
      </c>
      <c r="E5" s="215" t="s">
        <v>2134</v>
      </c>
      <c r="F5" s="215" t="s">
        <v>2135</v>
      </c>
      <c r="G5" s="216"/>
    </row>
    <row r="6" spans="1:8" s="217" customFormat="1" ht="13.5" customHeight="1">
      <c r="A6" s="883" t="s">
        <v>2136</v>
      </c>
      <c r="B6" s="218" t="s">
        <v>2137</v>
      </c>
      <c r="C6" s="219"/>
      <c r="D6" s="220"/>
      <c r="E6" s="221"/>
      <c r="F6" s="221"/>
      <c r="G6" s="222"/>
    </row>
    <row r="7" spans="1:8" s="217" customFormat="1" ht="13.5" customHeight="1">
      <c r="A7" s="883" t="s">
        <v>2138</v>
      </c>
      <c r="B7" s="218" t="s">
        <v>2139</v>
      </c>
      <c r="C7" s="223">
        <f>ROUND(C6*F7,0)</f>
        <v>0</v>
      </c>
      <c r="D7" s="223"/>
      <c r="E7" s="221"/>
      <c r="F7" s="224">
        <f>IF(项目基本情况!B8="出让",0,'数据-取费表'!B48+'数据-取费表'!B49)</f>
        <v>3.0499999999999999E-2</v>
      </c>
      <c r="G7" s="222"/>
    </row>
    <row r="8" spans="1:8" s="226" customFormat="1">
      <c r="A8" s="883" t="s">
        <v>2140</v>
      </c>
      <c r="B8" s="218" t="s">
        <v>2141</v>
      </c>
      <c r="C8" s="223">
        <f ca="1">IF(G8="已包含在土地购买价格中",0,C9+C10)</f>
        <v>10253108</v>
      </c>
      <c r="D8" s="225"/>
      <c r="E8" s="223"/>
      <c r="F8" s="224"/>
      <c r="G8" s="2039"/>
    </row>
    <row r="9" spans="1:8" s="217" customFormat="1" ht="13.5" customHeight="1">
      <c r="A9" s="884" t="s">
        <v>777</v>
      </c>
      <c r="B9" s="227" t="s">
        <v>2142</v>
      </c>
      <c r="C9" s="228">
        <f ca="1">ROUND(D9*E9,0)</f>
        <v>3408072</v>
      </c>
      <c r="D9" s="951">
        <f ca="1">IF(B1="",'数据-汇总表'!E5,IF(INDIRECT("'数据-取费表'!c"&amp;$G$1)="住宅",INDIRECT("'数据-取费表'!k"&amp;$G$1),0))</f>
        <v>68161.440000000002</v>
      </c>
      <c r="E9" s="228">
        <f>'数据-取费表'!B27</f>
        <v>50</v>
      </c>
      <c r="F9" s="224"/>
      <c r="G9" s="229"/>
    </row>
    <row r="10" spans="1:8" s="217" customFormat="1" ht="13.5" customHeight="1">
      <c r="A10" s="884" t="s">
        <v>778</v>
      </c>
      <c r="B10" s="227" t="s">
        <v>2144</v>
      </c>
      <c r="C10" s="228">
        <f ca="1">ROUND(D10*E10,0)</f>
        <v>6845036</v>
      </c>
      <c r="D10" s="951">
        <f ca="1">IF(B1="",'数据-汇总表'!E6,IF(INDIRECT("'数据-取费表'!c"&amp;$G$1)="住宅",INDIRECT("'数据-取费表'!s"&amp;$G$1),INDIRECT("'数据-取费表'!k"&amp;$G$1)+INDIRECT("'数据-取费表'!s"&amp;$G$1)))</f>
        <v>57041.97</v>
      </c>
      <c r="E10" s="228">
        <f>'数据-取费表'!B28</f>
        <v>120</v>
      </c>
      <c r="F10" s="224"/>
      <c r="G10" s="229"/>
    </row>
    <row r="11" spans="1:8" s="217" customFormat="1" ht="13.5" hidden="1" customHeight="1">
      <c r="A11" s="230" t="s">
        <v>4</v>
      </c>
      <c r="B11" s="218" t="s">
        <v>2145</v>
      </c>
      <c r="C11" s="214"/>
      <c r="D11" s="953"/>
      <c r="E11" s="221"/>
      <c r="F11" s="221"/>
      <c r="G11" s="222"/>
    </row>
    <row r="12" spans="1:8" s="217" customFormat="1" ht="13.5" hidden="1" customHeight="1">
      <c r="A12" s="230" t="s">
        <v>5</v>
      </c>
      <c r="B12" s="218" t="s">
        <v>2228</v>
      </c>
      <c r="C12" s="214">
        <v>0</v>
      </c>
      <c r="D12" s="953"/>
      <c r="E12" s="231"/>
      <c r="F12" s="224">
        <v>3.0499999999999999E-2</v>
      </c>
      <c r="G12" s="222"/>
    </row>
    <row r="13" spans="1:8" s="217" customFormat="1" ht="13.5" hidden="1" customHeight="1">
      <c r="A13" s="230" t="s">
        <v>6</v>
      </c>
      <c r="B13" s="218" t="s">
        <v>2229</v>
      </c>
      <c r="C13" s="214"/>
      <c r="D13" s="953"/>
      <c r="E13" s="221"/>
      <c r="F13" s="221"/>
      <c r="G13" s="222"/>
    </row>
    <row r="14" spans="1:8" s="217" customFormat="1" ht="13.5" hidden="1" customHeight="1">
      <c r="A14" s="230" t="s">
        <v>7</v>
      </c>
      <c r="B14" s="218" t="s">
        <v>2141</v>
      </c>
      <c r="C14" s="214"/>
      <c r="D14" s="953"/>
      <c r="E14" s="221"/>
      <c r="F14" s="221"/>
      <c r="G14" s="222" t="s">
        <v>2230</v>
      </c>
    </row>
    <row r="15" spans="1:8" s="217" customFormat="1" ht="13.5" hidden="1" customHeight="1">
      <c r="A15" s="230" t="s">
        <v>8</v>
      </c>
      <c r="B15" s="218" t="s">
        <v>2231</v>
      </c>
      <c r="C15" s="223"/>
      <c r="D15" s="953"/>
      <c r="E15" s="221"/>
      <c r="F15" s="221"/>
      <c r="G15" s="222" t="s">
        <v>2232</v>
      </c>
    </row>
    <row r="16" spans="1:8" s="217" customFormat="1" ht="13.5" hidden="1" customHeight="1">
      <c r="A16" s="230" t="s">
        <v>9</v>
      </c>
      <c r="B16" s="218" t="s">
        <v>2141</v>
      </c>
      <c r="C16" s="223"/>
      <c r="D16" s="953"/>
      <c r="E16" s="221"/>
      <c r="F16" s="221"/>
      <c r="G16" s="222"/>
    </row>
    <row r="17" spans="1:7" s="217" customFormat="1" ht="13.5" hidden="1" customHeight="1">
      <c r="A17" s="230" t="s">
        <v>10</v>
      </c>
      <c r="B17" s="218" t="s">
        <v>2233</v>
      </c>
      <c r="C17" s="232"/>
      <c r="D17" s="954"/>
      <c r="E17" s="232"/>
      <c r="F17" s="232"/>
      <c r="G17" s="222" t="s">
        <v>2232</v>
      </c>
    </row>
    <row r="18" spans="1:7" s="217" customFormat="1" ht="13.5" hidden="1" customHeight="1">
      <c r="A18" s="230" t="s">
        <v>11</v>
      </c>
      <c r="B18" s="218" t="s">
        <v>2234</v>
      </c>
      <c r="C18" s="223">
        <v>0</v>
      </c>
      <c r="D18" s="953"/>
      <c r="E18" s="221"/>
      <c r="F18" s="224">
        <v>3.0499999999999999E-2</v>
      </c>
      <c r="G18" s="222" t="s">
        <v>2235</v>
      </c>
    </row>
    <row r="19" spans="1:7" s="226" customFormat="1" ht="13.5" customHeight="1">
      <c r="A19" s="258" t="s">
        <v>2236</v>
      </c>
      <c r="B19" s="213" t="s">
        <v>2237</v>
      </c>
      <c r="C19" s="214">
        <f ca="1">IF(G19="已包含在土地取得成本中","0",ROUND(D19*E19,0))</f>
        <v>25040682</v>
      </c>
      <c r="D19" s="955">
        <f ca="1">D9+D10</f>
        <v>125203.41</v>
      </c>
      <c r="E19" s="214">
        <f>'数据-取费表'!B31</f>
        <v>200</v>
      </c>
      <c r="F19" s="234"/>
      <c r="G19" s="2039"/>
    </row>
    <row r="20" spans="1:7" s="217" customFormat="1" ht="13.5" customHeight="1">
      <c r="A20" s="258" t="s">
        <v>2238</v>
      </c>
      <c r="B20" s="213" t="s">
        <v>2239</v>
      </c>
      <c r="C20" s="235">
        <f ca="1">ROUND((C5+C19)*F20,0)</f>
        <v>705876</v>
      </c>
      <c r="D20" s="235"/>
      <c r="E20" s="235"/>
      <c r="F20" s="236">
        <f>'数据-取费表'!B37</f>
        <v>0.02</v>
      </c>
      <c r="G20" s="237" t="s">
        <v>2240</v>
      </c>
    </row>
    <row r="21" spans="1:7" s="217" customFormat="1" ht="13.5" customHeight="1">
      <c r="A21" s="258" t="s">
        <v>2241</v>
      </c>
      <c r="B21" s="213" t="s">
        <v>2242</v>
      </c>
      <c r="C21" s="238">
        <f>F21</f>
        <v>0.02</v>
      </c>
      <c r="D21" s="239" t="s">
        <v>2243</v>
      </c>
      <c r="E21" s="235"/>
      <c r="F21" s="236">
        <f>'数据-取费表'!B38</f>
        <v>0.02</v>
      </c>
      <c r="G21" s="237" t="s">
        <v>2244</v>
      </c>
    </row>
    <row r="22" spans="1:7" s="217" customFormat="1" ht="13.5" customHeight="1">
      <c r="A22" s="258" t="s">
        <v>2245</v>
      </c>
      <c r="B22" s="213" t="s">
        <v>2246</v>
      </c>
      <c r="C22" s="1286">
        <f ca="1">ROUND(SUM(C23:C25),0)</f>
        <v>4276543</v>
      </c>
      <c r="D22" s="238">
        <f ca="1">C26</f>
        <v>1.1999999999999999E-3</v>
      </c>
      <c r="E22" s="239" t="s">
        <v>2243</v>
      </c>
      <c r="F22" s="240">
        <f ca="1">'数据-取费表'!B40</f>
        <v>3.85E-2</v>
      </c>
      <c r="G22" s="237" t="str">
        <f>IF('数据-取费表'!B22&lt;=1,"单利计息","复利计息")</f>
        <v>复利计息</v>
      </c>
    </row>
    <row r="23" spans="1:7" s="217" customFormat="1" ht="13.5" customHeight="1">
      <c r="A23" s="885" t="s">
        <v>2136</v>
      </c>
      <c r="B23" s="218" t="s">
        <v>2247</v>
      </c>
      <c r="C23" s="1287">
        <f ca="1">ROUND(IF('数据-取费表'!B22&lt;=1,C5*F22*'数据-取费表'!B22,C5*(POWER((1+F22),'数据-取费表'!B22)-1)),0)</f>
        <v>1230412</v>
      </c>
      <c r="D23" s="241"/>
      <c r="E23" s="241"/>
      <c r="F23" s="242"/>
      <c r="G23" s="243" t="s">
        <v>2248</v>
      </c>
    </row>
    <row r="24" spans="1:7" s="217" customFormat="1" ht="13.5" customHeight="1">
      <c r="A24" s="885" t="s">
        <v>2138</v>
      </c>
      <c r="B24" s="218" t="s">
        <v>2249</v>
      </c>
      <c r="C24" s="1287">
        <f ca="1">ROUND(IF('数据-取费表'!B22&lt;=1,C19*F22*('数据-取费表'!B19/2+'数据-取费表'!B20),C19*(POWER((1+F22),('数据-取费表'!B19/2+'数据-取费表'!B20))-1)),0)</f>
        <v>3004977</v>
      </c>
      <c r="D24" s="241"/>
      <c r="E24" s="241"/>
      <c r="F24" s="242"/>
      <c r="G24" s="243" t="s">
        <v>2250</v>
      </c>
    </row>
    <row r="25" spans="1:7" s="217" customFormat="1" ht="24">
      <c r="A25" s="885" t="s">
        <v>2140</v>
      </c>
      <c r="B25" s="218" t="s">
        <v>2251</v>
      </c>
      <c r="C25" s="1287">
        <f ca="1">ROUND(IF('数据-取费表'!B22&lt;=1,C20*F22*'数据-取费表'!B22/2,C20*(POWER((1+F22),'数据-取费表'!B22/2)-1)),0)</f>
        <v>41154</v>
      </c>
      <c r="D25" s="241"/>
      <c r="E25" s="244"/>
      <c r="F25" s="242"/>
      <c r="G25" s="245" t="s">
        <v>2252</v>
      </c>
    </row>
    <row r="26" spans="1:7" s="217" customFormat="1">
      <c r="A26" s="885" t="s">
        <v>772</v>
      </c>
      <c r="B26" s="218" t="s">
        <v>2175</v>
      </c>
      <c r="C26" s="241">
        <f ca="1">ROUND(IF('数据-取费表'!B22&lt;=1,F21*F22*'数据-取费表'!B22/2,F21*(POWER((1+F22),'数据-取费表'!B22/2)-1)),4)</f>
        <v>1.1999999999999999E-3</v>
      </c>
      <c r="D26" s="241"/>
      <c r="E26" s="244"/>
      <c r="F26" s="242"/>
      <c r="G26" s="246"/>
    </row>
    <row r="27" spans="1:7" s="217" customFormat="1" ht="24.75">
      <c r="A27" s="258" t="s">
        <v>2176</v>
      </c>
      <c r="B27" s="247" t="s">
        <v>2177</v>
      </c>
      <c r="C27" s="248">
        <f ca="1">C28</f>
        <v>10799900</v>
      </c>
      <c r="D27" s="238">
        <f ca="1">C29</f>
        <v>6.0000000000000001E-3</v>
      </c>
      <c r="E27" s="239" t="s">
        <v>2178</v>
      </c>
      <c r="F27" s="249">
        <f ca="1">IF(B1="",'数据-取费表'!Q16,INDIRECT("'数据-取费表'!q"&amp;$G$1))</f>
        <v>0.3</v>
      </c>
      <c r="G27" s="250" t="s">
        <v>2179</v>
      </c>
    </row>
    <row r="28" spans="1:7" s="217" customFormat="1" ht="13.5" customHeight="1">
      <c r="A28" s="885" t="s">
        <v>768</v>
      </c>
      <c r="B28" s="251" t="s">
        <v>2180</v>
      </c>
      <c r="C28" s="252">
        <f ca="1">ROUND((C5+C19+C20)*F27,0)</f>
        <v>10799900</v>
      </c>
      <c r="D28" s="238"/>
      <c r="E28" s="239"/>
      <c r="F28" s="249"/>
      <c r="G28" s="250"/>
    </row>
    <row r="29" spans="1:7" s="217" customFormat="1" ht="13.5" customHeight="1">
      <c r="A29" s="885" t="s">
        <v>769</v>
      </c>
      <c r="B29" s="251" t="s">
        <v>2181</v>
      </c>
      <c r="C29" s="241">
        <f ca="1">ROUND(C21*F27,4)</f>
        <v>6.0000000000000001E-3</v>
      </c>
      <c r="D29" s="238"/>
      <c r="E29" s="239"/>
      <c r="F29" s="249"/>
      <c r="G29" s="250"/>
    </row>
    <row r="30" spans="1:7" s="217" customFormat="1" ht="13.5" customHeight="1">
      <c r="A30" s="258" t="s">
        <v>2182</v>
      </c>
      <c r="B30" s="213" t="s">
        <v>2183</v>
      </c>
      <c r="C30" s="238">
        <f>ROUND(F30/(1+'数据-取费表'!C42),4)</f>
        <v>5.33E-2</v>
      </c>
      <c r="D30" s="239" t="s">
        <v>2178</v>
      </c>
      <c r="E30" s="244"/>
      <c r="F30" s="240">
        <f>'数据-取费表'!B41</f>
        <v>5.6000000000000001E-2</v>
      </c>
      <c r="G30" s="237" t="s">
        <v>2184</v>
      </c>
    </row>
    <row r="31" spans="1:7" ht="16.5" customHeight="1">
      <c r="A31" s="212">
        <v>1</v>
      </c>
      <c r="B31" s="213" t="s">
        <v>2185</v>
      </c>
      <c r="C31" s="214">
        <f ca="1">ROUND((C5+C19+C20+C22+C27)/(1-C21-D22-D27-C30),0)</f>
        <v>55547699</v>
      </c>
      <c r="D31" s="233"/>
      <c r="E31" s="214"/>
      <c r="F31" s="253"/>
      <c r="G31" s="237" t="s">
        <v>2186</v>
      </c>
    </row>
    <row r="32" spans="1:7" s="211" customFormat="1" ht="15.75">
      <c r="A32" s="255" t="s">
        <v>2253</v>
      </c>
      <c r="B32" s="256"/>
      <c r="C32" s="256"/>
      <c r="D32" s="256"/>
      <c r="E32" s="256"/>
      <c r="F32" s="256"/>
      <c r="G32" s="257"/>
    </row>
    <row r="33" spans="1:7" s="217" customFormat="1" ht="13.5" customHeight="1">
      <c r="A33" s="258" t="s">
        <v>759</v>
      </c>
      <c r="B33" s="213" t="s">
        <v>2254</v>
      </c>
      <c r="C33" s="259">
        <f ca="1">SUM(C34:C38)</f>
        <v>554354846</v>
      </c>
      <c r="D33" s="235"/>
      <c r="E33" s="215"/>
      <c r="F33" s="244"/>
      <c r="G33" s="237"/>
    </row>
    <row r="34" spans="1:7" s="261" customFormat="1" ht="13.5" customHeight="1">
      <c r="A34" s="885" t="s">
        <v>768</v>
      </c>
      <c r="B34" s="218" t="s">
        <v>2189</v>
      </c>
      <c r="C34" s="223">
        <f ca="1">ROUND(IF(B1="",SUMPRODUCT('数据-取费表'!K6:K14,'数据-取费表'!L6:L14),INDIRECT("'数据-取费表'!l"&amp;$G$1)*INDIRECT("'数据-取费表'!k"&amp;$G$1)+'数据-取费表'!L14*INDIRECT("'数据-取费表'!S"&amp;$G$1)),0)</f>
        <v>493475480</v>
      </c>
      <c r="D34" s="220"/>
      <c r="E34" s="223"/>
      <c r="F34" s="260"/>
      <c r="G34" s="222"/>
    </row>
    <row r="35" spans="1:7" ht="13.5" customHeight="1">
      <c r="A35" s="885" t="s">
        <v>773</v>
      </c>
      <c r="B35" s="218" t="s">
        <v>2191</v>
      </c>
      <c r="C35" s="223">
        <f ca="1">ROUND(C34*F35,0)</f>
        <v>14804264</v>
      </c>
      <c r="D35" s="223"/>
      <c r="E35" s="223"/>
      <c r="F35" s="262">
        <f>'数据-取费表'!B33</f>
        <v>0.03</v>
      </c>
      <c r="G35" s="222" t="s">
        <v>2192</v>
      </c>
    </row>
    <row r="36" spans="1:7" ht="24">
      <c r="A36" s="885" t="s">
        <v>774</v>
      </c>
      <c r="B36" s="218" t="s">
        <v>2193</v>
      </c>
      <c r="C36" s="223">
        <f ca="1">ROUND(IF(B1="",SUM('数据-取费表'!AP6:AP13)*F36,IF(INDIRECT("'数据-取费表'!c"&amp;$G$1)="住宅",INDIRECT("'数据-取费表'!k"&amp;$G$1)*INDIRECT("'数据-取费表'!l"&amp;$G$1)*F36,0)),0)</f>
        <v>13632288</v>
      </c>
      <c r="D36" s="223"/>
      <c r="E36" s="223"/>
      <c r="F36" s="262">
        <f>'数据-取费表'!B34</f>
        <v>0.05</v>
      </c>
      <c r="G36" s="263" t="s">
        <v>2194</v>
      </c>
    </row>
    <row r="37" spans="1:7" s="261" customFormat="1" ht="13.5" customHeight="1">
      <c r="A37" s="885" t="s">
        <v>775</v>
      </c>
      <c r="B37" s="218" t="s">
        <v>2195</v>
      </c>
      <c r="C37" s="252">
        <f ca="1">ROUND(E37*D37,0)</f>
        <v>25040682</v>
      </c>
      <c r="D37" s="220">
        <f ca="1">D19</f>
        <v>125203.41</v>
      </c>
      <c r="E37" s="252">
        <f>'数据-取费表'!B35</f>
        <v>200</v>
      </c>
      <c r="F37" s="262"/>
      <c r="G37" s="264"/>
    </row>
    <row r="38" spans="1:7" ht="13.5" customHeight="1">
      <c r="A38" s="885" t="s">
        <v>776</v>
      </c>
      <c r="B38" s="218" t="s">
        <v>2197</v>
      </c>
      <c r="C38" s="223">
        <f ca="1">ROUND(C34*F38,0)</f>
        <v>7402132</v>
      </c>
      <c r="D38" s="223"/>
      <c r="E38" s="223"/>
      <c r="F38" s="262">
        <f>'数据-取费表'!B36</f>
        <v>1.4999999999999999E-2</v>
      </c>
      <c r="G38" s="222" t="s">
        <v>2192</v>
      </c>
    </row>
    <row r="39" spans="1:7" s="217" customFormat="1" ht="13.5" customHeight="1">
      <c r="A39" s="258" t="s">
        <v>2198</v>
      </c>
      <c r="B39" s="213" t="s">
        <v>2199</v>
      </c>
      <c r="C39" s="235">
        <f ca="1">ROUND(C33*F20,0)</f>
        <v>11087097</v>
      </c>
      <c r="D39" s="235"/>
      <c r="E39" s="235"/>
      <c r="F39" s="2532">
        <f>F20</f>
        <v>0.02</v>
      </c>
      <c r="G39" s="237" t="s">
        <v>2200</v>
      </c>
    </row>
    <row r="40" spans="1:7" s="217" customFormat="1" ht="13.5" customHeight="1">
      <c r="A40" s="258" t="s">
        <v>2201</v>
      </c>
      <c r="B40" s="213" t="s">
        <v>2202</v>
      </c>
      <c r="C40" s="1493">
        <f>F21</f>
        <v>0.02</v>
      </c>
      <c r="D40" s="239" t="s">
        <v>2203</v>
      </c>
      <c r="E40" s="235"/>
      <c r="F40" s="2532">
        <f>F21</f>
        <v>0.02</v>
      </c>
      <c r="G40" s="237" t="s">
        <v>2204</v>
      </c>
    </row>
    <row r="41" spans="1:7" s="217" customFormat="1" ht="13.5" customHeight="1">
      <c r="A41" s="258" t="s">
        <v>2205</v>
      </c>
      <c r="B41" s="213" t="s">
        <v>2206</v>
      </c>
      <c r="C41" s="235">
        <f ca="1">ROUND(SUM(C42:C43),0)</f>
        <v>32966582</v>
      </c>
      <c r="D41" s="238">
        <f ca="1">C44</f>
        <v>1.1999999999999999E-3</v>
      </c>
      <c r="E41" s="239" t="s">
        <v>2203</v>
      </c>
      <c r="F41" s="2533">
        <f ca="1">F22</f>
        <v>3.85E-2</v>
      </c>
      <c r="G41" s="237" t="str">
        <f>IF('数据-取费表'!B22&lt;=1,"单利计息","复利计息")</f>
        <v>复利计息</v>
      </c>
    </row>
    <row r="42" spans="1:7" ht="13.5" customHeight="1">
      <c r="A42" s="885" t="s">
        <v>768</v>
      </c>
      <c r="B42" s="218" t="s">
        <v>2207</v>
      </c>
      <c r="C42" s="241">
        <f ca="1">ROUND(IF('数据-取费表'!B22&lt;=1,C33*F22*'数据-取费表'!B20/2,C33*(POWER((1+F22),'数据-取费表'!B20/2)-1)),0)</f>
        <v>32320178</v>
      </c>
      <c r="D42" s="241"/>
      <c r="E42" s="241"/>
      <c r="F42" s="242"/>
      <c r="G42" s="3299" t="s">
        <v>2255</v>
      </c>
    </row>
    <row r="43" spans="1:7" ht="13.5" customHeight="1">
      <c r="A43" s="885" t="s">
        <v>769</v>
      </c>
      <c r="B43" s="218" t="s">
        <v>2209</v>
      </c>
      <c r="C43" s="241">
        <f ca="1">ROUND(IF('数据-取费表'!B22&lt;=1,C39*F22*'数据-取费表'!B20/2,C39*(POWER((1+F22),'数据-取费表'!B20/2)-1)),0)</f>
        <v>646404</v>
      </c>
      <c r="D43" s="241"/>
      <c r="E43" s="241"/>
      <c r="F43" s="242"/>
      <c r="G43" s="3300"/>
    </row>
    <row r="44" spans="1:7" ht="13.5" customHeight="1">
      <c r="A44" s="885" t="s">
        <v>770</v>
      </c>
      <c r="B44" s="218" t="s">
        <v>2210</v>
      </c>
      <c r="C44" s="241">
        <f ca="1">ROUND(IF('数据-取费表'!B22&lt;=1,C40*F22*'数据-取费表'!B20/2,C40*(POWER((1+F22),'数据-取费表'!B20/2)-1)),4)</f>
        <v>1.1999999999999999E-3</v>
      </c>
      <c r="D44" s="241"/>
      <c r="E44" s="241"/>
      <c r="F44" s="242"/>
      <c r="G44" s="3301"/>
    </row>
    <row r="45" spans="1:7" s="217" customFormat="1" ht="13.5" customHeight="1">
      <c r="A45" s="258" t="s">
        <v>2211</v>
      </c>
      <c r="B45" s="247" t="s">
        <v>2177</v>
      </c>
      <c r="C45" s="248">
        <f ca="1">C46</f>
        <v>169632583</v>
      </c>
      <c r="D45" s="238">
        <f ca="1">C47</f>
        <v>6.0000000000000001E-3</v>
      </c>
      <c r="E45" s="239" t="s">
        <v>2203</v>
      </c>
      <c r="F45" s="2534">
        <f ca="1">F27</f>
        <v>0.3</v>
      </c>
      <c r="G45" s="250" t="s">
        <v>2212</v>
      </c>
    </row>
    <row r="46" spans="1:7" s="217" customFormat="1" ht="13.5" customHeight="1">
      <c r="A46" s="885" t="s">
        <v>768</v>
      </c>
      <c r="B46" s="251" t="s">
        <v>2213</v>
      </c>
      <c r="C46" s="252">
        <f ca="1">ROUND((C33+C39)*F27,0)</f>
        <v>169632583</v>
      </c>
      <c r="D46" s="266"/>
      <c r="E46" s="239"/>
      <c r="F46" s="249"/>
      <c r="G46" s="250"/>
    </row>
    <row r="47" spans="1:7" s="217" customFormat="1" ht="13.5" customHeight="1">
      <c r="A47" s="885" t="s">
        <v>769</v>
      </c>
      <c r="B47" s="251" t="s">
        <v>2214</v>
      </c>
      <c r="C47" s="241">
        <f ca="1">ROUND(C40*F27,4)</f>
        <v>6.0000000000000001E-3</v>
      </c>
      <c r="D47" s="266"/>
      <c r="E47" s="239"/>
      <c r="F47" s="249"/>
      <c r="G47" s="250"/>
    </row>
    <row r="48" spans="1:7" s="217" customFormat="1" ht="13.5" customHeight="1">
      <c r="A48" s="258" t="s">
        <v>2176</v>
      </c>
      <c r="B48" s="213" t="s">
        <v>2215</v>
      </c>
      <c r="C48" s="265">
        <f>ROUND(F30/(1+'数据-取费表'!C42),4)</f>
        <v>5.33E-2</v>
      </c>
      <c r="D48" s="239" t="s">
        <v>2203</v>
      </c>
      <c r="E48" s="235"/>
      <c r="F48" s="2533">
        <f>F30</f>
        <v>5.6000000000000001E-2</v>
      </c>
      <c r="G48" s="237" t="s">
        <v>2216</v>
      </c>
    </row>
    <row r="49" spans="1:7" ht="16.5" customHeight="1">
      <c r="A49" s="258" t="s">
        <v>2182</v>
      </c>
      <c r="B49" s="213" t="s">
        <v>2256</v>
      </c>
      <c r="C49" s="235">
        <f ca="1">ROUND((C33+C39+C41+C45)/(1-C40-D41-D45-C48),0)</f>
        <v>835281249</v>
      </c>
      <c r="D49" s="235"/>
      <c r="E49" s="235"/>
      <c r="F49" s="267"/>
      <c r="G49" s="237" t="s">
        <v>2218</v>
      </c>
    </row>
    <row r="50" spans="1:7" s="261" customFormat="1">
      <c r="A50" s="258" t="s">
        <v>2219</v>
      </c>
      <c r="B50" s="213" t="s">
        <v>2220</v>
      </c>
      <c r="C50" s="235"/>
      <c r="D50" s="235"/>
      <c r="E50" s="235"/>
      <c r="F50" s="267">
        <f>IF('数据-取费表'!B24=0,'数据-取费表'!N16,1)</f>
        <v>1</v>
      </c>
      <c r="G50" s="250"/>
    </row>
    <row r="51" spans="1:7" ht="16.5" customHeight="1">
      <c r="A51" s="258" t="s">
        <v>2222</v>
      </c>
      <c r="B51" s="213" t="s">
        <v>2257</v>
      </c>
      <c r="C51" s="235">
        <f ca="1">ROUND(C49*F50,0)</f>
        <v>835281249</v>
      </c>
      <c r="D51" s="235"/>
      <c r="E51" s="235"/>
      <c r="F51" s="267"/>
      <c r="G51" s="237" t="s">
        <v>2224</v>
      </c>
    </row>
    <row r="52" spans="1:7" s="211" customFormat="1" ht="16.5" thickBot="1">
      <c r="A52" s="268" t="s">
        <v>2225</v>
      </c>
      <c r="B52" s="269"/>
      <c r="C52" s="270">
        <f ca="1">C31+C51</f>
        <v>890828948</v>
      </c>
      <c r="D52" s="269"/>
      <c r="E52" s="269"/>
      <c r="F52" s="269"/>
      <c r="G52" s="271"/>
    </row>
    <row r="55" spans="1:7" ht="15">
      <c r="B55" s="273" t="s">
        <v>2226</v>
      </c>
      <c r="C55" s="274"/>
    </row>
    <row r="56" spans="1:7">
      <c r="B56" s="276" t="s">
        <v>1455</v>
      </c>
      <c r="C56" s="278">
        <f ca="1">1-C57</f>
        <v>6.2000000000000055E-2</v>
      </c>
    </row>
    <row r="57" spans="1:7">
      <c r="B57" s="276" t="s">
        <v>1456</v>
      </c>
      <c r="C57" s="277">
        <f ca="1">ROUND(C51/C52,3)</f>
        <v>0.93799999999999994</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C11" sqref="C11"/>
    </sheetView>
  </sheetViews>
  <sheetFormatPr defaultColWidth="9" defaultRowHeight="14.25"/>
  <cols>
    <col min="1" max="1" width="14.375" style="360" customWidth="1"/>
    <col min="2" max="2" width="15.875" style="360" customWidth="1"/>
    <col min="3" max="3" width="14.375" style="360" customWidth="1"/>
    <col min="4" max="4" width="14.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360"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30" s="355" customFormat="1" ht="28.5" customHeight="1">
      <c r="A1" s="351" t="s">
        <v>2540</v>
      </c>
      <c r="B1" s="352"/>
      <c r="C1" s="353" t="s">
        <v>2541</v>
      </c>
      <c r="D1" s="692"/>
      <c r="E1" s="692"/>
      <c r="F1" s="691" t="s">
        <v>2439</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2126</v>
      </c>
      <c r="B2" s="624">
        <f>F66</f>
        <v>132676</v>
      </c>
      <c r="C2" s="1035"/>
      <c r="D2" s="1035"/>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c r="AD2" s="354"/>
    </row>
    <row r="3" spans="1:30" s="355" customFormat="1" ht="28.5" customHeight="1" thickBot="1">
      <c r="A3" s="206" t="s">
        <v>2128</v>
      </c>
      <c r="B3" s="563">
        <f>ROUND(IF(D3="",B2*10000/'数据-汇总表'!E3,B2*10000/D3),0)</f>
        <v>10597</v>
      </c>
      <c r="C3" s="206" t="s">
        <v>2542</v>
      </c>
      <c r="D3" s="1352"/>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30" ht="15">
      <c r="A4" s="358" t="s">
        <v>2441</v>
      </c>
      <c r="B4" s="359"/>
      <c r="C4" s="3320" t="s">
        <v>2442</v>
      </c>
      <c r="D4" s="3321"/>
      <c r="E4" s="3322" t="s">
        <v>2443</v>
      </c>
      <c r="F4" s="3323"/>
      <c r="G4" s="3320" t="s">
        <v>2444</v>
      </c>
      <c r="H4" s="3321"/>
      <c r="I4" s="3320" t="s">
        <v>2445</v>
      </c>
      <c r="J4" s="3321"/>
      <c r="K4" s="564" t="s">
        <v>2446</v>
      </c>
      <c r="L4" s="2941"/>
      <c r="M4" s="2942"/>
      <c r="N4" s="2942"/>
      <c r="O4" s="2942"/>
      <c r="P4" s="3324" t="s">
        <v>2447</v>
      </c>
      <c r="Q4" s="3325"/>
      <c r="R4" s="3307" t="s">
        <v>2443</v>
      </c>
      <c r="S4" s="3308"/>
      <c r="T4" s="3307" t="s">
        <v>2444</v>
      </c>
      <c r="U4" s="3308"/>
      <c r="V4" s="3332" t="s">
        <v>2445</v>
      </c>
      <c r="W4" s="3332"/>
      <c r="X4" s="1537"/>
      <c r="Y4" s="3307" t="s">
        <v>2447</v>
      </c>
      <c r="Z4" s="3308"/>
      <c r="AA4" s="3302" t="s">
        <v>2443</v>
      </c>
      <c r="AB4" s="3303" t="s">
        <v>2444</v>
      </c>
      <c r="AC4" s="3302" t="s">
        <v>2445</v>
      </c>
    </row>
    <row r="5" spans="1:30" ht="15">
      <c r="A5" s="361"/>
      <c r="B5" s="362"/>
      <c r="C5" s="3313" t="s">
        <v>2338</v>
      </c>
      <c r="D5" s="3314"/>
      <c r="E5" s="3311" t="str">
        <f>土地案例!A44</f>
        <v>温州市七都片区北单元03-B-22地块</v>
      </c>
      <c r="F5" s="3312"/>
      <c r="G5" s="3313" t="str">
        <f>土地案例!A27</f>
        <v>温州市广化桥路周边D-4-1地块</v>
      </c>
      <c r="H5" s="3314"/>
      <c r="I5" s="3313" t="str">
        <f>土地案例!A31</f>
        <v>温州市核心片区江滨单元垟儿地块</v>
      </c>
      <c r="J5" s="3314"/>
      <c r="K5" s="564"/>
      <c r="L5" s="2941"/>
      <c r="M5" s="2942"/>
      <c r="N5" s="2942"/>
      <c r="O5" s="2942"/>
      <c r="P5" s="3326"/>
      <c r="Q5" s="3327"/>
      <c r="R5" s="3309"/>
      <c r="S5" s="3310"/>
      <c r="T5" s="3309"/>
      <c r="U5" s="3310"/>
      <c r="V5" s="3332"/>
      <c r="W5" s="3332"/>
      <c r="X5" s="1537"/>
      <c r="Y5" s="3309"/>
      <c r="Z5" s="3310"/>
      <c r="AA5" s="3303"/>
      <c r="AB5" s="3303"/>
      <c r="AC5" s="3303"/>
    </row>
    <row r="6" spans="1:30" ht="15.75" thickBot="1">
      <c r="A6" s="363"/>
      <c r="B6" s="364"/>
      <c r="C6" s="3315" t="s">
        <v>2342</v>
      </c>
      <c r="D6" s="3316"/>
      <c r="E6" s="3317" t="s">
        <v>2342</v>
      </c>
      <c r="F6" s="3318"/>
      <c r="G6" s="3315" t="s">
        <v>2342</v>
      </c>
      <c r="H6" s="3316"/>
      <c r="I6" s="3315" t="s">
        <v>2342</v>
      </c>
      <c r="J6" s="3316"/>
      <c r="K6" s="564" t="s">
        <v>2343</v>
      </c>
      <c r="L6" s="2941"/>
      <c r="M6" s="2942"/>
      <c r="N6" s="2942"/>
      <c r="O6" s="2942"/>
      <c r="P6" s="3328"/>
      <c r="Q6" s="3329"/>
      <c r="R6" s="3309"/>
      <c r="S6" s="3310"/>
      <c r="T6" s="3330"/>
      <c r="U6" s="3331"/>
      <c r="V6" s="3332"/>
      <c r="W6" s="3332"/>
      <c r="X6" s="1537"/>
      <c r="Y6" s="3330"/>
      <c r="Z6" s="3331"/>
      <c r="AA6" s="3304"/>
      <c r="AB6" s="3304"/>
      <c r="AC6" s="3304"/>
    </row>
    <row r="7" spans="1:30" s="110" customFormat="1" ht="15.75" thickBot="1">
      <c r="A7" s="365" t="s">
        <v>2344</v>
      </c>
      <c r="B7" s="366"/>
      <c r="C7" s="367">
        <f>'数据-取费表'!B2</f>
        <v>44236</v>
      </c>
      <c r="D7" s="368">
        <v>100</v>
      </c>
      <c r="E7" s="369" t="str">
        <f>土地案例!J44</f>
        <v>2019-04-24</v>
      </c>
      <c r="F7" s="370">
        <f>SUMIF(70:70,YEAR(E7)&amp;"-"&amp;INT((MONTH(E7)+2)/3),71:71)</f>
        <v>93</v>
      </c>
      <c r="G7" s="2157" t="str">
        <f>土地案例!I27</f>
        <v>2019-10-17</v>
      </c>
      <c r="H7" s="368">
        <f>SUMIF(70:70,YEAR(G7)&amp;"-"&amp;INT((MONTH(G7)+2)/3),71:71)</f>
        <v>95</v>
      </c>
      <c r="I7" s="2157" t="str">
        <f>土地案例!J31</f>
        <v>2019-07-15</v>
      </c>
      <c r="J7" s="368">
        <f>SUMIF(70:70,YEAR(I7)&amp;"-"&amp;INT((MONTH(I7)+2)/3),71:71)</f>
        <v>94</v>
      </c>
      <c r="K7" s="565"/>
      <c r="L7" s="2943"/>
      <c r="M7" s="2944"/>
      <c r="N7" s="2944"/>
      <c r="O7" s="2944"/>
      <c r="P7" s="3305" t="s">
        <v>2345</v>
      </c>
      <c r="Q7" s="3333"/>
      <c r="R7" s="707" t="s">
        <v>14</v>
      </c>
      <c r="S7" s="708">
        <f t="shared" ref="S7:S15" si="0">F7</f>
        <v>93</v>
      </c>
      <c r="T7" s="707" t="s">
        <v>14</v>
      </c>
      <c r="U7" s="708">
        <f t="shared" ref="U7:U15" si="1">H7</f>
        <v>95</v>
      </c>
      <c r="V7" s="707" t="s">
        <v>14</v>
      </c>
      <c r="W7" s="708">
        <f t="shared" ref="W7:W15" si="2">J7</f>
        <v>94</v>
      </c>
      <c r="X7" s="709"/>
      <c r="Y7" s="3305" t="s">
        <v>2345</v>
      </c>
      <c r="Z7" s="3306"/>
      <c r="AA7" s="710">
        <f>D7/F7</f>
        <v>1.075268817204301</v>
      </c>
      <c r="AB7" s="710">
        <f>D7/H7</f>
        <v>1.0526315789473684</v>
      </c>
      <c r="AC7" s="710">
        <f>D7/J7</f>
        <v>1.0638297872340425</v>
      </c>
    </row>
    <row r="8" spans="1:30" s="110" customFormat="1" ht="15.75" thickBot="1">
      <c r="A8" s="365" t="s">
        <v>2346</v>
      </c>
      <c r="B8" s="366"/>
      <c r="C8" s="371" t="s">
        <v>2347</v>
      </c>
      <c r="D8" s="368">
        <v>100</v>
      </c>
      <c r="E8" s="371" t="s">
        <v>3291</v>
      </c>
      <c r="F8" s="370">
        <f>SUMIF(73:73,E8,74:74)-SUMIF(73:73,C8,74:74)+100</f>
        <v>100</v>
      </c>
      <c r="G8" s="371" t="s">
        <v>3291</v>
      </c>
      <c r="H8" s="368">
        <f>SUMIF(73:73,G8,74:74)-SUMIF(73:73,C8,74:74)+100</f>
        <v>100</v>
      </c>
      <c r="I8" s="371" t="s">
        <v>3291</v>
      </c>
      <c r="J8" s="368">
        <f>SUMIF(73:73,I8,74:74)-SUMIF(73:73,C8,74:74)+100</f>
        <v>100</v>
      </c>
      <c r="K8" s="565"/>
      <c r="L8" s="2943"/>
      <c r="M8" s="2944"/>
      <c r="N8" s="2944"/>
      <c r="O8" s="2944"/>
      <c r="P8" s="3305" t="s">
        <v>2348</v>
      </c>
      <c r="Q8" s="3306"/>
      <c r="R8" s="707" t="s">
        <v>14</v>
      </c>
      <c r="S8" s="708">
        <f t="shared" si="0"/>
        <v>100</v>
      </c>
      <c r="T8" s="707" t="s">
        <v>14</v>
      </c>
      <c r="U8" s="708">
        <f t="shared" si="1"/>
        <v>100</v>
      </c>
      <c r="V8" s="707" t="s">
        <v>14</v>
      </c>
      <c r="W8" s="708">
        <f t="shared" si="2"/>
        <v>100</v>
      </c>
      <c r="X8" s="709"/>
      <c r="Y8" s="3305" t="s">
        <v>2348</v>
      </c>
      <c r="Z8" s="3306"/>
      <c r="AA8" s="710">
        <f t="shared" ref="AA8:AA45" si="3">D8/F8</f>
        <v>1</v>
      </c>
      <c r="AB8" s="710">
        <f t="shared" ref="AB8:AB45" si="4">D8/H8</f>
        <v>1</v>
      </c>
      <c r="AC8" s="710">
        <f t="shared" ref="AC8:AC45" si="5">D8/J8</f>
        <v>1</v>
      </c>
    </row>
    <row r="9" spans="1:30" s="110" customFormat="1">
      <c r="A9" s="372" t="s">
        <v>2349</v>
      </c>
      <c r="B9" s="64" t="s">
        <v>2350</v>
      </c>
      <c r="C9" s="2160"/>
      <c r="D9" s="128">
        <v>100</v>
      </c>
      <c r="E9" s="2160"/>
      <c r="F9" s="128">
        <f>SUMIF(75:75,E9,76:76)-SUMIF(75:75,C9,76:76)+100</f>
        <v>100</v>
      </c>
      <c r="G9" s="2160"/>
      <c r="H9" s="128">
        <f>SUMIF(75:75,G9,76:76)-SUMIF(75:75,C9,76:76)+100</f>
        <v>100</v>
      </c>
      <c r="I9" s="2160"/>
      <c r="J9" s="128">
        <f>SUMIF(75:75,I9,76:76)-SUMIF(75:75,C9,76:76)+100</f>
        <v>100</v>
      </c>
      <c r="K9" s="565"/>
      <c r="L9" s="2943"/>
      <c r="M9" s="2944"/>
      <c r="N9" s="2944"/>
      <c r="O9" s="2998"/>
      <c r="P9" s="3319" t="s">
        <v>2351</v>
      </c>
      <c r="Q9" s="1525" t="str">
        <f t="shared" ref="Q9:Q15" si="6">B9</f>
        <v>用途</v>
      </c>
      <c r="R9" s="707" t="s">
        <v>14</v>
      </c>
      <c r="S9" s="708">
        <f t="shared" si="0"/>
        <v>100</v>
      </c>
      <c r="T9" s="707" t="s">
        <v>14</v>
      </c>
      <c r="U9" s="708">
        <f t="shared" si="1"/>
        <v>100</v>
      </c>
      <c r="V9" s="707" t="s">
        <v>14</v>
      </c>
      <c r="W9" s="708">
        <f t="shared" si="2"/>
        <v>100</v>
      </c>
      <c r="X9" s="709"/>
      <c r="Y9" s="3275" t="s">
        <v>2352</v>
      </c>
      <c r="Z9" s="52" t="str">
        <f t="shared" ref="Z9:Z15" si="7">Q9</f>
        <v>用途</v>
      </c>
      <c r="AA9" s="710">
        <f t="shared" si="3"/>
        <v>1</v>
      </c>
      <c r="AB9" s="710">
        <f t="shared" si="4"/>
        <v>1</v>
      </c>
      <c r="AC9" s="710">
        <f t="shared" si="5"/>
        <v>1</v>
      </c>
    </row>
    <row r="10" spans="1:30" s="383" customFormat="1" ht="27">
      <c r="A10" s="377"/>
      <c r="B10" s="378" t="s">
        <v>2353</v>
      </c>
      <c r="C10" s="388"/>
      <c r="D10" s="129">
        <v>100</v>
      </c>
      <c r="E10" s="421"/>
      <c r="F10" s="129">
        <f>ROUND(100/'数据-取费表'!G16,0)</f>
        <v>102</v>
      </c>
      <c r="G10" s="419"/>
      <c r="H10" s="129">
        <f>ROUND(100/'数据-取费表'!G16,0)</f>
        <v>102</v>
      </c>
      <c r="I10" s="419"/>
      <c r="J10" s="129">
        <f>ROUND(100/'数据-取费表'!G16,0)</f>
        <v>102</v>
      </c>
      <c r="K10" s="625"/>
      <c r="L10" s="2945"/>
      <c r="M10" s="2946"/>
      <c r="N10" s="2946"/>
      <c r="O10" s="2999"/>
      <c r="P10" s="3319"/>
      <c r="Q10" s="1525" t="str">
        <f t="shared" si="6"/>
        <v>土地使用年限（年）</v>
      </c>
      <c r="R10" s="707" t="s">
        <v>14</v>
      </c>
      <c r="S10" s="708">
        <f t="shared" si="0"/>
        <v>102</v>
      </c>
      <c r="T10" s="707" t="s">
        <v>14</v>
      </c>
      <c r="U10" s="708">
        <f t="shared" si="1"/>
        <v>102</v>
      </c>
      <c r="V10" s="707" t="s">
        <v>14</v>
      </c>
      <c r="W10" s="708">
        <f t="shared" si="2"/>
        <v>102</v>
      </c>
      <c r="X10" s="709"/>
      <c r="Y10" s="3275"/>
      <c r="Z10" s="52" t="str">
        <f t="shared" si="7"/>
        <v>土地使用年限（年）</v>
      </c>
      <c r="AA10" s="710">
        <f t="shared" si="3"/>
        <v>0.98039215686274506</v>
      </c>
      <c r="AB10" s="710">
        <f t="shared" si="4"/>
        <v>0.98039215686274506</v>
      </c>
      <c r="AC10" s="710">
        <f t="shared" si="5"/>
        <v>0.98039215686274506</v>
      </c>
    </row>
    <row r="11" spans="1:30" ht="15">
      <c r="A11" s="384"/>
      <c r="B11" s="378" t="s">
        <v>2354</v>
      </c>
      <c r="C11" s="385">
        <v>1</v>
      </c>
      <c r="D11" s="129">
        <v>100</v>
      </c>
      <c r="E11" s="385">
        <v>2.4</v>
      </c>
      <c r="F11" s="129">
        <f>LOOKUP(E11,80:80,81:81)-LOOKUP(C11,80:80,81:81)+100</f>
        <v>90</v>
      </c>
      <c r="G11" s="386">
        <v>1.8</v>
      </c>
      <c r="H11" s="129">
        <f>LOOKUP(G11,80:80,81:81)-LOOKUP(C11,80:80,81:81)+100</f>
        <v>95</v>
      </c>
      <c r="I11" s="385">
        <v>1.9</v>
      </c>
      <c r="J11" s="129">
        <f>LOOKUP(I11,80:80,81:81)-LOOKUP(C11,80:80,81:81)+100</f>
        <v>95</v>
      </c>
      <c r="K11" s="626">
        <v>5</v>
      </c>
      <c r="L11" s="2947"/>
      <c r="M11" s="2942"/>
      <c r="N11" s="2942"/>
      <c r="O11" s="3000"/>
      <c r="P11" s="3319"/>
      <c r="Q11" s="1525" t="str">
        <f t="shared" si="6"/>
        <v>容积率</v>
      </c>
      <c r="R11" s="707" t="s">
        <v>14</v>
      </c>
      <c r="S11" s="708">
        <f t="shared" si="0"/>
        <v>90</v>
      </c>
      <c r="T11" s="707" t="s">
        <v>14</v>
      </c>
      <c r="U11" s="708">
        <f t="shared" si="1"/>
        <v>95</v>
      </c>
      <c r="V11" s="707" t="s">
        <v>14</v>
      </c>
      <c r="W11" s="708">
        <f t="shared" si="2"/>
        <v>95</v>
      </c>
      <c r="X11" s="709"/>
      <c r="Y11" s="3275"/>
      <c r="Z11" s="52" t="str">
        <f t="shared" si="7"/>
        <v>容积率</v>
      </c>
      <c r="AA11" s="710">
        <f t="shared" si="3"/>
        <v>1.1111111111111112</v>
      </c>
      <c r="AB11" s="710">
        <f t="shared" si="4"/>
        <v>1.0526315789473684</v>
      </c>
      <c r="AC11" s="710">
        <f t="shared" si="5"/>
        <v>1.0526315789473684</v>
      </c>
    </row>
    <row r="12" spans="1:30" s="110" customFormat="1" ht="15">
      <c r="A12" s="387"/>
      <c r="B12" s="2076" t="s">
        <v>2543</v>
      </c>
      <c r="C12" s="388"/>
      <c r="D12" s="389">
        <v>100</v>
      </c>
      <c r="E12" s="421"/>
      <c r="F12" s="129">
        <f>SUMIF(82:82,E12,83:83)-SUMIF(82:82,C12,83:83)+100</f>
        <v>100</v>
      </c>
      <c r="G12" s="419"/>
      <c r="H12" s="129">
        <f>SUMIF(82:82,G12,83:83)-SUMIF(82:82,C12,83:83)+100</f>
        <v>100</v>
      </c>
      <c r="I12" s="421"/>
      <c r="J12" s="129">
        <f>SUMIF(82:82,I12,83:83)-SUMIF(82:82,C12,83:83)+100</f>
        <v>100</v>
      </c>
      <c r="K12" s="625"/>
      <c r="L12" s="2943"/>
      <c r="M12" s="2944"/>
      <c r="N12" s="2944"/>
      <c r="O12" s="2998"/>
      <c r="P12" s="3319"/>
      <c r="Q12" s="1525" t="str">
        <f t="shared" si="6"/>
        <v>配建</v>
      </c>
      <c r="R12" s="707" t="s">
        <v>14</v>
      </c>
      <c r="S12" s="708">
        <f t="shared" si="0"/>
        <v>100</v>
      </c>
      <c r="T12" s="707" t="s">
        <v>14</v>
      </c>
      <c r="U12" s="708">
        <f t="shared" si="1"/>
        <v>100</v>
      </c>
      <c r="V12" s="707" t="s">
        <v>14</v>
      </c>
      <c r="W12" s="708">
        <f t="shared" si="2"/>
        <v>100</v>
      </c>
      <c r="X12" s="709"/>
      <c r="Y12" s="3275"/>
      <c r="Z12" s="52" t="str">
        <f t="shared" si="7"/>
        <v>配建</v>
      </c>
      <c r="AA12" s="710">
        <f>D12/F12</f>
        <v>1</v>
      </c>
      <c r="AB12" s="710">
        <f>D12/H12</f>
        <v>1</v>
      </c>
      <c r="AC12" s="710">
        <f>D12/J12</f>
        <v>1</v>
      </c>
    </row>
    <row r="13" spans="1:30" ht="15">
      <c r="A13" s="384"/>
      <c r="B13" s="2076">
        <v>111</v>
      </c>
      <c r="C13" s="390"/>
      <c r="D13" s="391">
        <v>100</v>
      </c>
      <c r="E13" s="503"/>
      <c r="F13" s="129">
        <f>SUMIF(84:84,E13,85:85)-SUMIF(84:84,C13,85:85)+100</f>
        <v>100</v>
      </c>
      <c r="G13" s="627"/>
      <c r="H13" s="391">
        <f>SUMIF(84:84,G13,85:85)-SUMIF(84:84,C13,85:85)+100</f>
        <v>100</v>
      </c>
      <c r="I13" s="627"/>
      <c r="J13" s="391">
        <f>SUMIF(84:84,I13,85:85)-SUMIF(84:84,C13,85:85)+100</f>
        <v>100</v>
      </c>
      <c r="K13" s="625"/>
      <c r="L13" s="2948"/>
      <c r="M13" s="2942"/>
      <c r="N13" s="2942"/>
      <c r="O13" s="3000"/>
      <c r="P13" s="3319"/>
      <c r="Q13" s="1525">
        <f t="shared" si="6"/>
        <v>111</v>
      </c>
      <c r="R13" s="707" t="s">
        <v>14</v>
      </c>
      <c r="S13" s="708">
        <f t="shared" si="0"/>
        <v>100</v>
      </c>
      <c r="T13" s="707" t="s">
        <v>14</v>
      </c>
      <c r="U13" s="708">
        <f t="shared" si="1"/>
        <v>100</v>
      </c>
      <c r="V13" s="707" t="s">
        <v>14</v>
      </c>
      <c r="W13" s="708">
        <f t="shared" si="2"/>
        <v>100</v>
      </c>
      <c r="X13" s="709"/>
      <c r="Y13" s="3275"/>
      <c r="Z13" s="52">
        <f t="shared" si="7"/>
        <v>111</v>
      </c>
      <c r="AA13" s="710">
        <f>D13/F13</f>
        <v>1</v>
      </c>
      <c r="AB13" s="710">
        <f>D13/H13</f>
        <v>1</v>
      </c>
      <c r="AC13" s="710">
        <f>D13/J13</f>
        <v>1</v>
      </c>
    </row>
    <row r="14" spans="1:30" ht="15.75" thickBot="1">
      <c r="A14" s="392"/>
      <c r="B14" s="2078">
        <v>111</v>
      </c>
      <c r="C14" s="393"/>
      <c r="D14" s="394">
        <v>100</v>
      </c>
      <c r="E14" s="503"/>
      <c r="F14" s="394">
        <f>SUMIF(86:86,E14,87:87)-SUMIF(86:86,C14,87:87)+100</f>
        <v>100</v>
      </c>
      <c r="G14" s="627"/>
      <c r="H14" s="394">
        <f>SUMIF(86:86,G14,87:87)-SUMIF(86:86,C14,87:87)+100</f>
        <v>100</v>
      </c>
      <c r="I14" s="627"/>
      <c r="J14" s="394">
        <f>SUMIF(86:86,I14,87:87)-SUMIF(86:86,C14,87:87)+100</f>
        <v>100</v>
      </c>
      <c r="K14" s="625"/>
      <c r="L14" s="2948"/>
      <c r="M14" s="2942"/>
      <c r="N14" s="2942"/>
      <c r="O14" s="3000"/>
      <c r="P14" s="3319"/>
      <c r="Q14" s="1525">
        <f t="shared" si="6"/>
        <v>111</v>
      </c>
      <c r="R14" s="707" t="s">
        <v>14</v>
      </c>
      <c r="S14" s="708">
        <f t="shared" si="0"/>
        <v>100</v>
      </c>
      <c r="T14" s="707" t="s">
        <v>14</v>
      </c>
      <c r="U14" s="708">
        <f t="shared" si="1"/>
        <v>100</v>
      </c>
      <c r="V14" s="707" t="s">
        <v>14</v>
      </c>
      <c r="W14" s="708">
        <f t="shared" si="2"/>
        <v>100</v>
      </c>
      <c r="X14" s="709"/>
      <c r="Y14" s="3275"/>
      <c r="Z14" s="52">
        <f t="shared" si="7"/>
        <v>111</v>
      </c>
      <c r="AA14" s="710">
        <f>D14/F14</f>
        <v>1</v>
      </c>
      <c r="AB14" s="710">
        <f>D14/H14</f>
        <v>1</v>
      </c>
      <c r="AC14" s="710">
        <f>D14/J14</f>
        <v>1</v>
      </c>
    </row>
    <row r="15" spans="1:30" ht="99.75">
      <c r="A15" s="396" t="s">
        <v>2355</v>
      </c>
      <c r="B15" s="62" t="s">
        <v>1921</v>
      </c>
      <c r="C15" s="2079"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8"/>
      <c r="M15" s="2942"/>
      <c r="N15" s="2942"/>
      <c r="O15" s="3000"/>
      <c r="P15" s="3334" t="s">
        <v>2356</v>
      </c>
      <c r="Q15" s="1534" t="str">
        <f t="shared" si="6"/>
        <v>居住社区成熟度</v>
      </c>
      <c r="R15" s="711" t="s">
        <v>14</v>
      </c>
      <c r="S15" s="712">
        <f t="shared" si="0"/>
        <v>100</v>
      </c>
      <c r="T15" s="711" t="s">
        <v>14</v>
      </c>
      <c r="U15" s="712">
        <f t="shared" si="1"/>
        <v>100</v>
      </c>
      <c r="V15" s="711" t="s">
        <v>14</v>
      </c>
      <c r="W15" s="712">
        <f t="shared" si="2"/>
        <v>100</v>
      </c>
      <c r="X15" s="1537"/>
      <c r="Y15" s="3334" t="s">
        <v>2356</v>
      </c>
      <c r="Z15" s="1538" t="str">
        <f t="shared" si="7"/>
        <v>居住社区成熟度</v>
      </c>
      <c r="AA15" s="1535">
        <f t="shared" si="3"/>
        <v>1</v>
      </c>
      <c r="AB15" s="1535">
        <f t="shared" si="4"/>
        <v>1</v>
      </c>
      <c r="AC15" s="1535">
        <f t="shared" si="5"/>
        <v>1</v>
      </c>
    </row>
    <row r="16" spans="1:30" ht="15">
      <c r="A16" s="384"/>
      <c r="B16" s="402"/>
      <c r="C16" s="403"/>
      <c r="D16" s="404"/>
      <c r="E16" s="2081"/>
      <c r="F16" s="404"/>
      <c r="G16" s="2081"/>
      <c r="H16" s="406"/>
      <c r="I16" s="2080"/>
      <c r="J16" s="404"/>
      <c r="K16" s="625"/>
      <c r="L16" s="2948"/>
      <c r="M16" s="2942"/>
      <c r="N16" s="2942"/>
      <c r="O16" s="3000"/>
      <c r="P16" s="3335"/>
      <c r="Q16" s="1534"/>
      <c r="R16" s="711"/>
      <c r="S16" s="712"/>
      <c r="T16" s="711"/>
      <c r="U16" s="712"/>
      <c r="V16" s="711"/>
      <c r="W16" s="712"/>
      <c r="X16" s="1537"/>
      <c r="Y16" s="3335"/>
      <c r="Z16" s="1538"/>
      <c r="AA16" s="1535">
        <v>1</v>
      </c>
      <c r="AB16" s="1535">
        <v>1</v>
      </c>
      <c r="AC16" s="1535">
        <v>1</v>
      </c>
    </row>
    <row r="17" spans="1:29" ht="71.25">
      <c r="A17" s="384"/>
      <c r="B17" s="407" t="s">
        <v>2449</v>
      </c>
      <c r="C17" s="2138"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8"/>
      <c r="M17" s="2942"/>
      <c r="N17" s="2942"/>
      <c r="O17" s="3000"/>
      <c r="P17" s="3335"/>
      <c r="Q17" s="1534" t="str">
        <f>B17</f>
        <v>商业繁华度</v>
      </c>
      <c r="R17" s="711" t="s">
        <v>14</v>
      </c>
      <c r="S17" s="712">
        <f>F17</f>
        <v>100</v>
      </c>
      <c r="T17" s="711" t="s">
        <v>14</v>
      </c>
      <c r="U17" s="712">
        <f>H17</f>
        <v>100</v>
      </c>
      <c r="V17" s="711" t="s">
        <v>14</v>
      </c>
      <c r="W17" s="712">
        <f>J17</f>
        <v>100</v>
      </c>
      <c r="X17" s="1537"/>
      <c r="Y17" s="3335"/>
      <c r="Z17" s="1538" t="str">
        <f>Q17</f>
        <v>商业繁华度</v>
      </c>
      <c r="AA17" s="1535">
        <f t="shared" si="3"/>
        <v>1</v>
      </c>
      <c r="AB17" s="1535">
        <f t="shared" si="4"/>
        <v>1</v>
      </c>
      <c r="AC17" s="1535">
        <f t="shared" si="5"/>
        <v>1</v>
      </c>
    </row>
    <row r="18" spans="1:29" ht="15">
      <c r="A18" s="384"/>
      <c r="B18" s="412"/>
      <c r="C18" s="2084"/>
      <c r="D18" s="406"/>
      <c r="E18" s="2086"/>
      <c r="F18" s="406"/>
      <c r="G18" s="2086"/>
      <c r="H18" s="404"/>
      <c r="I18" s="2085"/>
      <c r="J18" s="404"/>
      <c r="K18" s="625"/>
      <c r="L18" s="2948"/>
      <c r="M18" s="2942"/>
      <c r="N18" s="2942"/>
      <c r="O18" s="3000"/>
      <c r="P18" s="3335"/>
      <c r="Q18" s="1534"/>
      <c r="R18" s="711"/>
      <c r="S18" s="712"/>
      <c r="T18" s="711"/>
      <c r="U18" s="712"/>
      <c r="V18" s="711"/>
      <c r="W18" s="712"/>
      <c r="X18" s="1537"/>
      <c r="Y18" s="3335"/>
      <c r="Z18" s="1538"/>
      <c r="AA18" s="1535">
        <v>1</v>
      </c>
      <c r="AB18" s="1535">
        <v>1</v>
      </c>
      <c r="AC18" s="1535">
        <v>1</v>
      </c>
    </row>
    <row r="19" spans="1:29" ht="71.25">
      <c r="A19" s="384"/>
      <c r="B19" s="407" t="s">
        <v>2483</v>
      </c>
      <c r="C19" s="2138"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8"/>
      <c r="M19" s="2942"/>
      <c r="N19" s="2942"/>
      <c r="O19" s="3000"/>
      <c r="P19" s="3335"/>
      <c r="Q19" s="1534" t="str">
        <f>B19</f>
        <v>办公集聚程度</v>
      </c>
      <c r="R19" s="711" t="s">
        <v>14</v>
      </c>
      <c r="S19" s="712">
        <f>F19</f>
        <v>100</v>
      </c>
      <c r="T19" s="711" t="s">
        <v>14</v>
      </c>
      <c r="U19" s="712">
        <f>H19</f>
        <v>100</v>
      </c>
      <c r="V19" s="711" t="s">
        <v>14</v>
      </c>
      <c r="W19" s="712">
        <f>J19</f>
        <v>100</v>
      </c>
      <c r="X19" s="1537"/>
      <c r="Y19" s="3335"/>
      <c r="Z19" s="1538" t="str">
        <f>Q19</f>
        <v>办公集聚程度</v>
      </c>
      <c r="AA19" s="1535">
        <f t="shared" si="3"/>
        <v>1</v>
      </c>
      <c r="AB19" s="1535">
        <f t="shared" si="4"/>
        <v>1</v>
      </c>
      <c r="AC19" s="1535">
        <f t="shared" si="5"/>
        <v>1</v>
      </c>
    </row>
    <row r="20" spans="1:29" ht="15">
      <c r="A20" s="384"/>
      <c r="B20" s="412"/>
      <c r="C20" s="403"/>
      <c r="D20" s="404"/>
      <c r="E20" s="2081"/>
      <c r="F20" s="404"/>
      <c r="G20" s="2081"/>
      <c r="H20" s="404"/>
      <c r="I20" s="2080"/>
      <c r="J20" s="404"/>
      <c r="K20" s="625"/>
      <c r="L20" s="2948"/>
      <c r="M20" s="2942"/>
      <c r="N20" s="2942"/>
      <c r="O20" s="3000"/>
      <c r="P20" s="3335"/>
      <c r="Q20" s="1534"/>
      <c r="R20" s="711"/>
      <c r="S20" s="712"/>
      <c r="T20" s="711"/>
      <c r="U20" s="712"/>
      <c r="V20" s="711"/>
      <c r="W20" s="712"/>
      <c r="X20" s="1537"/>
      <c r="Y20" s="3335"/>
      <c r="Z20" s="1538"/>
      <c r="AA20" s="1535">
        <v>1</v>
      </c>
      <c r="AB20" s="1535">
        <v>1</v>
      </c>
      <c r="AC20" s="1535">
        <v>1</v>
      </c>
    </row>
    <row r="21" spans="1:29" ht="85.5">
      <c r="A21" s="384"/>
      <c r="B21" s="407" t="s">
        <v>2505</v>
      </c>
      <c r="C21" s="2083"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8"/>
      <c r="M21" s="2942"/>
      <c r="N21" s="2942"/>
      <c r="O21" s="3000"/>
      <c r="P21" s="3335"/>
      <c r="Q21" s="1534" t="str">
        <f>B21</f>
        <v>交通便捷度</v>
      </c>
      <c r="R21" s="711" t="s">
        <v>14</v>
      </c>
      <c r="S21" s="712">
        <f>F21</f>
        <v>100</v>
      </c>
      <c r="T21" s="711" t="s">
        <v>14</v>
      </c>
      <c r="U21" s="712">
        <f>H21</f>
        <v>100</v>
      </c>
      <c r="V21" s="711" t="s">
        <v>14</v>
      </c>
      <c r="W21" s="712">
        <f>J21</f>
        <v>100</v>
      </c>
      <c r="X21" s="1537"/>
      <c r="Y21" s="3335"/>
      <c r="Z21" s="1538" t="str">
        <f>Q21</f>
        <v>交通便捷度</v>
      </c>
      <c r="AA21" s="1535">
        <f t="shared" si="3"/>
        <v>1</v>
      </c>
      <c r="AB21" s="1535">
        <f t="shared" si="4"/>
        <v>1</v>
      </c>
      <c r="AC21" s="1535">
        <f t="shared" si="5"/>
        <v>1</v>
      </c>
    </row>
    <row r="22" spans="1:29" ht="15">
      <c r="A22" s="384"/>
      <c r="B22" s="1290"/>
      <c r="C22" s="403"/>
      <c r="D22" s="406"/>
      <c r="E22" s="2081"/>
      <c r="F22" s="404"/>
      <c r="G22" s="2081"/>
      <c r="H22" s="404"/>
      <c r="I22" s="2080"/>
      <c r="J22" s="404"/>
      <c r="K22" s="625"/>
      <c r="L22" s="2948"/>
      <c r="M22" s="2942"/>
      <c r="N22" s="2942"/>
      <c r="O22" s="3000"/>
      <c r="P22" s="3335"/>
      <c r="Q22" s="1534"/>
      <c r="R22" s="711"/>
      <c r="S22" s="712"/>
      <c r="T22" s="711"/>
      <c r="U22" s="712"/>
      <c r="V22" s="711"/>
      <c r="W22" s="712"/>
      <c r="X22" s="1537"/>
      <c r="Y22" s="3335"/>
      <c r="Z22" s="1538"/>
      <c r="AA22" s="1535">
        <v>1</v>
      </c>
      <c r="AB22" s="1535">
        <v>1</v>
      </c>
      <c r="AC22" s="1535">
        <v>1</v>
      </c>
    </row>
    <row r="23" spans="1:29" ht="15">
      <c r="A23" s="361"/>
      <c r="B23" s="407" t="s">
        <v>2544</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8"/>
      <c r="M23" s="2942"/>
      <c r="N23" s="2942"/>
      <c r="O23" s="3000"/>
      <c r="P23" s="3335"/>
      <c r="Q23" s="1534" t="str">
        <f t="shared" ref="Q23:Q37" si="8">B23</f>
        <v>区域土地利用方向</v>
      </c>
      <c r="R23" s="711" t="s">
        <v>14</v>
      </c>
      <c r="S23" s="712">
        <f>F23</f>
        <v>100</v>
      </c>
      <c r="T23" s="711" t="s">
        <v>14</v>
      </c>
      <c r="U23" s="712">
        <f>H23</f>
        <v>100</v>
      </c>
      <c r="V23" s="711" t="s">
        <v>14</v>
      </c>
      <c r="W23" s="712">
        <f>J23</f>
        <v>100</v>
      </c>
      <c r="X23" s="1537"/>
      <c r="Y23" s="3335"/>
      <c r="Z23" s="1538" t="str">
        <f>Q23</f>
        <v>区域土地利用方向</v>
      </c>
      <c r="AA23" s="1535">
        <f t="shared" si="3"/>
        <v>1</v>
      </c>
      <c r="AB23" s="1535">
        <f t="shared" si="4"/>
        <v>1</v>
      </c>
      <c r="AC23" s="1535">
        <f t="shared" si="5"/>
        <v>1</v>
      </c>
    </row>
    <row r="24" spans="1:29" ht="15">
      <c r="A24" s="361"/>
      <c r="B24" s="412"/>
      <c r="C24" s="570"/>
      <c r="D24" s="404"/>
      <c r="E24" s="2081"/>
      <c r="F24" s="404"/>
      <c r="G24" s="2080"/>
      <c r="H24" s="404"/>
      <c r="I24" s="2080"/>
      <c r="J24" s="404"/>
      <c r="K24" s="748"/>
      <c r="L24" s="2948"/>
      <c r="M24" s="2942"/>
      <c r="N24" s="2942"/>
      <c r="O24" s="3000"/>
      <c r="P24" s="3335"/>
      <c r="Q24" s="1534"/>
      <c r="R24" s="711"/>
      <c r="S24" s="712"/>
      <c r="T24" s="711"/>
      <c r="U24" s="712"/>
      <c r="V24" s="711"/>
      <c r="W24" s="712"/>
      <c r="X24" s="1537"/>
      <c r="Y24" s="3335"/>
      <c r="Z24" s="1538"/>
      <c r="AA24" s="1535"/>
      <c r="AB24" s="1535"/>
      <c r="AC24" s="1535"/>
    </row>
    <row r="25" spans="1:29" ht="57">
      <c r="A25" s="361"/>
      <c r="B25" s="1290" t="s">
        <v>2545</v>
      </c>
      <c r="C25" s="2138"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8"/>
      <c r="M25" s="2942"/>
      <c r="N25" s="2942"/>
      <c r="O25" s="3000"/>
      <c r="P25" s="3335"/>
      <c r="Q25" s="1534" t="str">
        <f t="shared" si="8"/>
        <v>自然及人文环境状况</v>
      </c>
      <c r="R25" s="711" t="s">
        <v>14</v>
      </c>
      <c r="S25" s="712">
        <f>F25</f>
        <v>100</v>
      </c>
      <c r="T25" s="711" t="s">
        <v>14</v>
      </c>
      <c r="U25" s="712">
        <f>H25</f>
        <v>100</v>
      </c>
      <c r="V25" s="711" t="s">
        <v>14</v>
      </c>
      <c r="W25" s="712">
        <f>J25</f>
        <v>100</v>
      </c>
      <c r="X25" s="1537"/>
      <c r="Y25" s="3335"/>
      <c r="Z25" s="1538" t="str">
        <f>Q25</f>
        <v>自然及人文环境状况</v>
      </c>
      <c r="AA25" s="1535">
        <f t="shared" si="3"/>
        <v>1</v>
      </c>
      <c r="AB25" s="1535">
        <f t="shared" si="4"/>
        <v>1</v>
      </c>
      <c r="AC25" s="1535">
        <f t="shared" si="5"/>
        <v>1</v>
      </c>
    </row>
    <row r="26" spans="1:29" ht="15">
      <c r="A26" s="361"/>
      <c r="B26" s="412"/>
      <c r="C26" s="403"/>
      <c r="D26" s="404"/>
      <c r="E26" s="2087"/>
      <c r="F26" s="404"/>
      <c r="G26" s="2087"/>
      <c r="H26" s="404"/>
      <c r="I26" s="403"/>
      <c r="J26" s="404"/>
      <c r="K26" s="625"/>
      <c r="L26" s="2948"/>
      <c r="M26" s="2942"/>
      <c r="N26" s="2942"/>
      <c r="O26" s="3000"/>
      <c r="P26" s="3335"/>
      <c r="Q26" s="1534"/>
      <c r="R26" s="711"/>
      <c r="S26" s="712"/>
      <c r="T26" s="711"/>
      <c r="U26" s="712"/>
      <c r="V26" s="711"/>
      <c r="W26" s="712"/>
      <c r="X26" s="1537"/>
      <c r="Y26" s="3335"/>
      <c r="Z26" s="1538"/>
      <c r="AA26" s="1535">
        <v>1</v>
      </c>
      <c r="AB26" s="1535">
        <v>1</v>
      </c>
      <c r="AC26" s="1535">
        <v>1</v>
      </c>
    </row>
    <row r="27" spans="1:29" s="110" customFormat="1" ht="42.75">
      <c r="A27" s="602"/>
      <c r="B27" s="1290" t="s">
        <v>2450</v>
      </c>
      <c r="C27" s="2083"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3"/>
      <c r="M27" s="2944"/>
      <c r="N27" s="2944"/>
      <c r="O27" s="2998"/>
      <c r="P27" s="3335"/>
      <c r="Q27" s="1525" t="str">
        <f t="shared" si="8"/>
        <v>公共配套设施</v>
      </c>
      <c r="R27" s="707" t="s">
        <v>14</v>
      </c>
      <c r="S27" s="708">
        <f>F27</f>
        <v>100</v>
      </c>
      <c r="T27" s="707" t="s">
        <v>14</v>
      </c>
      <c r="U27" s="708">
        <f>H27</f>
        <v>100</v>
      </c>
      <c r="V27" s="707" t="s">
        <v>14</v>
      </c>
      <c r="W27" s="708">
        <f>J27</f>
        <v>100</v>
      </c>
      <c r="X27" s="709"/>
      <c r="Y27" s="3335"/>
      <c r="Z27" s="52" t="str">
        <f>Q27</f>
        <v>公共配套设施</v>
      </c>
      <c r="AA27" s="1535">
        <f>D27/F27</f>
        <v>1</v>
      </c>
      <c r="AB27" s="1535">
        <f>D27/H27</f>
        <v>1</v>
      </c>
      <c r="AC27" s="1535">
        <f>D27/J27</f>
        <v>1</v>
      </c>
    </row>
    <row r="28" spans="1:29" s="110" customFormat="1" ht="15">
      <c r="A28" s="602"/>
      <c r="B28" s="412"/>
      <c r="C28" s="2161"/>
      <c r="D28" s="404"/>
      <c r="E28" s="2087"/>
      <c r="F28" s="404"/>
      <c r="G28" s="2087"/>
      <c r="H28" s="404"/>
      <c r="I28" s="403"/>
      <c r="J28" s="404"/>
      <c r="K28" s="625"/>
      <c r="L28" s="2943"/>
      <c r="M28" s="2944"/>
      <c r="N28" s="2944"/>
      <c r="O28" s="2998"/>
      <c r="P28" s="3335"/>
      <c r="Q28" s="1525"/>
      <c r="R28" s="707"/>
      <c r="S28" s="708"/>
      <c r="T28" s="707"/>
      <c r="U28" s="708"/>
      <c r="V28" s="707"/>
      <c r="W28" s="708"/>
      <c r="X28" s="709"/>
      <c r="Y28" s="3335"/>
      <c r="Z28" s="52"/>
      <c r="AA28" s="1535">
        <v>1</v>
      </c>
      <c r="AB28" s="1535">
        <v>1</v>
      </c>
      <c r="AC28" s="1535">
        <v>1</v>
      </c>
    </row>
    <row r="29" spans="1:29" s="110" customFormat="1" ht="28.5">
      <c r="A29" s="602"/>
      <c r="B29" s="1290" t="s">
        <v>2451</v>
      </c>
      <c r="C29" s="2083"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3"/>
      <c r="M29" s="2944"/>
      <c r="N29" s="2944"/>
      <c r="O29" s="2998"/>
      <c r="P29" s="3335"/>
      <c r="Q29" s="1525" t="str">
        <f t="shared" ref="Q29" si="9">B29</f>
        <v>基础设施水平</v>
      </c>
      <c r="R29" s="707" t="s">
        <v>14</v>
      </c>
      <c r="S29" s="708">
        <f>F29</f>
        <v>100</v>
      </c>
      <c r="T29" s="707" t="s">
        <v>14</v>
      </c>
      <c r="U29" s="708">
        <f>H29</f>
        <v>100</v>
      </c>
      <c r="V29" s="707" t="s">
        <v>14</v>
      </c>
      <c r="W29" s="708">
        <f>J29</f>
        <v>100</v>
      </c>
      <c r="X29" s="709"/>
      <c r="Y29" s="3335"/>
      <c r="Z29" s="52" t="str">
        <f>Q29</f>
        <v>基础设施水平</v>
      </c>
      <c r="AA29" s="1535">
        <f>D29/F29</f>
        <v>1</v>
      </c>
      <c r="AB29" s="1535">
        <f>D29/H29</f>
        <v>1</v>
      </c>
      <c r="AC29" s="1535">
        <f>D29/J29</f>
        <v>1</v>
      </c>
    </row>
    <row r="30" spans="1:29" s="110" customFormat="1" ht="15">
      <c r="A30" s="602"/>
      <c r="B30" s="412"/>
      <c r="C30" s="2161"/>
      <c r="D30" s="404"/>
      <c r="E30" s="2162"/>
      <c r="F30" s="404"/>
      <c r="G30" s="2162"/>
      <c r="H30" s="404"/>
      <c r="I30" s="2162"/>
      <c r="J30" s="404"/>
      <c r="K30" s="625"/>
      <c r="L30" s="2943"/>
      <c r="M30" s="2944"/>
      <c r="N30" s="2944"/>
      <c r="O30" s="2998"/>
      <c r="P30" s="3335"/>
      <c r="Q30" s="1525"/>
      <c r="R30" s="707"/>
      <c r="S30" s="708"/>
      <c r="T30" s="707"/>
      <c r="U30" s="708"/>
      <c r="V30" s="707"/>
      <c r="W30" s="708"/>
      <c r="X30" s="709"/>
      <c r="Y30" s="3335"/>
      <c r="Z30" s="52"/>
      <c r="AA30" s="1535">
        <v>1</v>
      </c>
      <c r="AB30" s="1535">
        <v>1</v>
      </c>
      <c r="AC30" s="1535">
        <v>1</v>
      </c>
    </row>
    <row r="31" spans="1:29" ht="15">
      <c r="A31" s="384"/>
      <c r="B31" s="412" t="s">
        <v>2452</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8"/>
      <c r="M31" s="2942"/>
      <c r="N31" s="2942"/>
      <c r="O31" s="3000"/>
      <c r="P31" s="3335"/>
      <c r="Q31" s="1534" t="str">
        <f t="shared" si="8"/>
        <v>临街状况</v>
      </c>
      <c r="R31" s="711" t="s">
        <v>14</v>
      </c>
      <c r="S31" s="712">
        <f t="shared" ref="S31:S45" si="10">F31</f>
        <v>100</v>
      </c>
      <c r="T31" s="711" t="s">
        <v>14</v>
      </c>
      <c r="U31" s="712">
        <f t="shared" ref="U31:U45" si="11">H31</f>
        <v>100</v>
      </c>
      <c r="V31" s="711" t="s">
        <v>14</v>
      </c>
      <c r="W31" s="712">
        <f t="shared" ref="W31:W45" si="12">J31</f>
        <v>100</v>
      </c>
      <c r="X31" s="1537"/>
      <c r="Y31" s="3335"/>
      <c r="Z31" s="1538" t="str">
        <f t="shared" ref="Z31:Z45" si="13">Q31</f>
        <v>临街状况</v>
      </c>
      <c r="AA31" s="1535">
        <f t="shared" si="3"/>
        <v>1</v>
      </c>
      <c r="AB31" s="1535">
        <f t="shared" si="4"/>
        <v>1</v>
      </c>
      <c r="AC31" s="1535">
        <f t="shared" si="5"/>
        <v>1</v>
      </c>
    </row>
    <row r="32" spans="1:29" ht="27">
      <c r="A32" s="384"/>
      <c r="B32" s="1290" t="s">
        <v>2487</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8"/>
      <c r="M32" s="2942"/>
      <c r="N32" s="2942"/>
      <c r="O32" s="3000"/>
      <c r="P32" s="3335"/>
      <c r="Q32" s="1534" t="str">
        <f t="shared" si="8"/>
        <v>毗邻道路的类型与等级</v>
      </c>
      <c r="R32" s="711" t="s">
        <v>14</v>
      </c>
      <c r="S32" s="712">
        <f t="shared" si="10"/>
        <v>100</v>
      </c>
      <c r="T32" s="711" t="s">
        <v>14</v>
      </c>
      <c r="U32" s="712">
        <f t="shared" si="11"/>
        <v>100</v>
      </c>
      <c r="V32" s="711" t="s">
        <v>14</v>
      </c>
      <c r="W32" s="712">
        <f t="shared" si="12"/>
        <v>100</v>
      </c>
      <c r="X32" s="1537"/>
      <c r="Y32" s="3335"/>
      <c r="Z32" s="1538" t="str">
        <f t="shared" si="13"/>
        <v>毗邻道路的类型与等级</v>
      </c>
      <c r="AA32" s="1535">
        <f t="shared" si="3"/>
        <v>1</v>
      </c>
      <c r="AB32" s="1535">
        <f t="shared" si="4"/>
        <v>1</v>
      </c>
      <c r="AC32" s="1535">
        <f t="shared" si="5"/>
        <v>1</v>
      </c>
    </row>
    <row r="33" spans="1:29" ht="15">
      <c r="A33" s="384"/>
      <c r="B33" s="412"/>
      <c r="C33" s="403"/>
      <c r="D33" s="404"/>
      <c r="E33" s="2087"/>
      <c r="F33" s="404"/>
      <c r="G33" s="2087"/>
      <c r="H33" s="404"/>
      <c r="I33" s="403"/>
      <c r="J33" s="404"/>
      <c r="K33" s="567"/>
      <c r="L33" s="2948"/>
      <c r="M33" s="2942"/>
      <c r="N33" s="2942"/>
      <c r="O33" s="3000"/>
      <c r="P33" s="3335"/>
      <c r="Q33" s="1534"/>
      <c r="R33" s="711"/>
      <c r="S33" s="712"/>
      <c r="T33" s="711"/>
      <c r="U33" s="712"/>
      <c r="V33" s="711"/>
      <c r="W33" s="712"/>
      <c r="X33" s="1537"/>
      <c r="Y33" s="3335"/>
      <c r="Z33" s="1538"/>
      <c r="AA33" s="1535">
        <v>1</v>
      </c>
      <c r="AB33" s="1535">
        <v>1</v>
      </c>
      <c r="AC33" s="1535">
        <v>1</v>
      </c>
    </row>
    <row r="34" spans="1:29" ht="15">
      <c r="A34" s="384"/>
      <c r="B34" s="378" t="s">
        <v>2546</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8"/>
      <c r="M34" s="2942"/>
      <c r="N34" s="2942"/>
      <c r="O34" s="3000"/>
      <c r="P34" s="3335"/>
      <c r="Q34" s="1534" t="str">
        <f t="shared" si="8"/>
        <v>土地级别</v>
      </c>
      <c r="R34" s="711" t="s">
        <v>14</v>
      </c>
      <c r="S34" s="712">
        <f t="shared" si="10"/>
        <v>100</v>
      </c>
      <c r="T34" s="711" t="s">
        <v>14</v>
      </c>
      <c r="U34" s="712">
        <f t="shared" si="11"/>
        <v>100</v>
      </c>
      <c r="V34" s="711" t="s">
        <v>14</v>
      </c>
      <c r="W34" s="712">
        <f t="shared" si="12"/>
        <v>100</v>
      </c>
      <c r="X34" s="1537"/>
      <c r="Y34" s="3335"/>
      <c r="Z34" s="1538" t="str">
        <f t="shared" si="13"/>
        <v>土地级别</v>
      </c>
      <c r="AA34" s="1535">
        <f t="shared" si="3"/>
        <v>1</v>
      </c>
      <c r="AB34" s="1535">
        <f t="shared" si="4"/>
        <v>1</v>
      </c>
      <c r="AC34" s="1535">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8"/>
      <c r="M35" s="2942"/>
      <c r="N35" s="2942"/>
      <c r="O35" s="3000"/>
      <c r="P35" s="3335"/>
      <c r="Q35" s="1534">
        <f t="shared" si="8"/>
        <v>111</v>
      </c>
      <c r="R35" s="711" t="s">
        <v>14</v>
      </c>
      <c r="S35" s="712">
        <f t="shared" si="10"/>
        <v>100</v>
      </c>
      <c r="T35" s="711" t="s">
        <v>14</v>
      </c>
      <c r="U35" s="712">
        <f t="shared" si="11"/>
        <v>100</v>
      </c>
      <c r="V35" s="711" t="s">
        <v>14</v>
      </c>
      <c r="W35" s="712">
        <f t="shared" si="12"/>
        <v>100</v>
      </c>
      <c r="X35" s="1537"/>
      <c r="Y35" s="3335"/>
      <c r="Z35" s="1538">
        <f t="shared" si="13"/>
        <v>111</v>
      </c>
      <c r="AA35" s="1535">
        <f t="shared" si="3"/>
        <v>1</v>
      </c>
      <c r="AB35" s="1535">
        <f t="shared" si="4"/>
        <v>1</v>
      </c>
      <c r="AC35" s="1535">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8"/>
      <c r="M36" s="2942"/>
      <c r="N36" s="2942"/>
      <c r="O36" s="3000"/>
      <c r="P36" s="3336" t="s">
        <v>2361</v>
      </c>
      <c r="Q36" s="1534">
        <f t="shared" si="8"/>
        <v>111</v>
      </c>
      <c r="R36" s="711" t="s">
        <v>14</v>
      </c>
      <c r="S36" s="712">
        <f t="shared" si="10"/>
        <v>100</v>
      </c>
      <c r="T36" s="711" t="s">
        <v>14</v>
      </c>
      <c r="U36" s="712">
        <f t="shared" si="11"/>
        <v>100</v>
      </c>
      <c r="V36" s="711" t="s">
        <v>14</v>
      </c>
      <c r="W36" s="712">
        <f t="shared" si="12"/>
        <v>100</v>
      </c>
      <c r="X36" s="1537"/>
      <c r="Y36" s="3337" t="s">
        <v>2361</v>
      </c>
      <c r="Z36" s="1538">
        <f t="shared" si="13"/>
        <v>111</v>
      </c>
      <c r="AA36" s="1535">
        <f t="shared" si="3"/>
        <v>1</v>
      </c>
      <c r="AB36" s="1535">
        <f t="shared" si="4"/>
        <v>1</v>
      </c>
      <c r="AC36" s="1535">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7"/>
      <c r="M37" s="2949"/>
      <c r="N37" s="2949"/>
      <c r="O37" s="3001"/>
      <c r="P37" s="3337"/>
      <c r="Q37" s="1534">
        <f t="shared" si="8"/>
        <v>111</v>
      </c>
      <c r="R37" s="714" t="s">
        <v>14</v>
      </c>
      <c r="S37" s="715">
        <f t="shared" si="10"/>
        <v>100</v>
      </c>
      <c r="T37" s="714" t="s">
        <v>14</v>
      </c>
      <c r="U37" s="715">
        <f t="shared" si="11"/>
        <v>100</v>
      </c>
      <c r="V37" s="714" t="s">
        <v>14</v>
      </c>
      <c r="W37" s="715">
        <f t="shared" si="12"/>
        <v>100</v>
      </c>
      <c r="X37" s="716"/>
      <c r="Y37" s="3337"/>
      <c r="Z37" s="717">
        <f t="shared" si="13"/>
        <v>111</v>
      </c>
      <c r="AA37" s="1535">
        <f t="shared" si="3"/>
        <v>1</v>
      </c>
      <c r="AB37" s="1535">
        <f t="shared" si="4"/>
        <v>1</v>
      </c>
      <c r="AC37" s="1535">
        <f t="shared" si="5"/>
        <v>1</v>
      </c>
    </row>
    <row r="38" spans="1:29" ht="15">
      <c r="A38" s="428" t="s">
        <v>2359</v>
      </c>
      <c r="B38" s="412" t="s">
        <v>2547</v>
      </c>
      <c r="C38" s="632">
        <v>64907</v>
      </c>
      <c r="D38" s="423">
        <v>100</v>
      </c>
      <c r="E38" s="632">
        <f>土地案例!D44</f>
        <v>35308.300000000003</v>
      </c>
      <c r="F38" s="423">
        <f>LOOKUP(E38,117:117,118:118)-LOOKUP(C38,117:117,118:118)+100</f>
        <v>98</v>
      </c>
      <c r="G38" s="632">
        <f>土地案例!D27</f>
        <v>21190.9</v>
      </c>
      <c r="H38" s="423">
        <f>LOOKUP(G38,117:117,118:118)-LOOKUP(C38,117:117,118:118)+100</f>
        <v>98</v>
      </c>
      <c r="I38" s="484">
        <f>土地案例!D31</f>
        <v>10274</v>
      </c>
      <c r="J38" s="423">
        <f>LOOKUP(I38,117:117,118:118)-LOOKUP(C38,117:117,118:118)+100</f>
        <v>98</v>
      </c>
      <c r="K38" s="567"/>
      <c r="L38" s="2948"/>
      <c r="M38" s="2942"/>
      <c r="N38" s="2942"/>
      <c r="O38" s="3000"/>
      <c r="P38" s="3337"/>
      <c r="Q38" s="1534" t="str">
        <f>B38</f>
        <v>宗地面积</v>
      </c>
      <c r="R38" s="711" t="s">
        <v>14</v>
      </c>
      <c r="S38" s="712">
        <f t="shared" si="10"/>
        <v>98</v>
      </c>
      <c r="T38" s="711" t="s">
        <v>14</v>
      </c>
      <c r="U38" s="712">
        <f t="shared" si="11"/>
        <v>98</v>
      </c>
      <c r="V38" s="711" t="s">
        <v>14</v>
      </c>
      <c r="W38" s="712">
        <f t="shared" si="12"/>
        <v>98</v>
      </c>
      <c r="X38" s="1537"/>
      <c r="Y38" s="3337"/>
      <c r="Z38" s="1538" t="str">
        <f t="shared" si="13"/>
        <v>宗地面积</v>
      </c>
      <c r="AA38" s="1535">
        <f t="shared" si="3"/>
        <v>1.0204081632653061</v>
      </c>
      <c r="AB38" s="1535">
        <f t="shared" si="4"/>
        <v>1.0204081632653061</v>
      </c>
      <c r="AC38" s="1535">
        <f t="shared" si="5"/>
        <v>1.0204081632653061</v>
      </c>
    </row>
    <row r="39" spans="1:29" ht="15">
      <c r="A39" s="428"/>
      <c r="B39" s="378" t="s">
        <v>2548</v>
      </c>
      <c r="C39" s="2089"/>
      <c r="D39" s="391">
        <v>100</v>
      </c>
      <c r="E39" s="2089"/>
      <c r="F39" s="391">
        <f>SUMIF(119:119,E39,120:120)-SUMIF(119:119,C39,120:120)+100</f>
        <v>100</v>
      </c>
      <c r="G39" s="2089"/>
      <c r="H39" s="391">
        <f>SUMIF(119:119,G39,120:120)-SUMIF(119:119,C39,120:120)+100</f>
        <v>100</v>
      </c>
      <c r="I39" s="2089"/>
      <c r="J39" s="391">
        <f>SUMIF(119:119,I39,120:120)-SUMIF(119:119,C39,120:120)+100</f>
        <v>100</v>
      </c>
      <c r="K39" s="566"/>
      <c r="L39" s="2948"/>
      <c r="M39" s="2942"/>
      <c r="N39" s="2942"/>
      <c r="O39" s="3000"/>
      <c r="P39" s="3337"/>
      <c r="Q39" s="1534" t="str">
        <f t="shared" ref="Q39:Q45" si="14">B39</f>
        <v>宗地形状</v>
      </c>
      <c r="R39" s="711" t="s">
        <v>14</v>
      </c>
      <c r="S39" s="712">
        <f t="shared" si="10"/>
        <v>100</v>
      </c>
      <c r="T39" s="711" t="s">
        <v>14</v>
      </c>
      <c r="U39" s="712">
        <f t="shared" si="11"/>
        <v>100</v>
      </c>
      <c r="V39" s="711" t="s">
        <v>14</v>
      </c>
      <c r="W39" s="712">
        <f t="shared" si="12"/>
        <v>100</v>
      </c>
      <c r="X39" s="1537"/>
      <c r="Y39" s="3337"/>
      <c r="Z39" s="1538" t="str">
        <f t="shared" si="13"/>
        <v>宗地形状</v>
      </c>
      <c r="AA39" s="1535">
        <f t="shared" si="3"/>
        <v>1</v>
      </c>
      <c r="AB39" s="1535">
        <f t="shared" si="4"/>
        <v>1</v>
      </c>
      <c r="AC39" s="1535">
        <f t="shared" si="5"/>
        <v>1</v>
      </c>
    </row>
    <row r="40" spans="1:29" ht="15">
      <c r="A40" s="428"/>
      <c r="B40" s="378" t="s">
        <v>2549</v>
      </c>
      <c r="C40" s="2089"/>
      <c r="D40" s="391">
        <v>100</v>
      </c>
      <c r="E40" s="2089"/>
      <c r="F40" s="391">
        <f>SUMIF(121:121,E40,122:122)-SUMIF(121:121,C40,122:122)+100</f>
        <v>100</v>
      </c>
      <c r="G40" s="2089"/>
      <c r="H40" s="391">
        <f>SUMIF(121:121,G40,122:122)-SUMIF(121:121,C40,122:122)+100</f>
        <v>100</v>
      </c>
      <c r="I40" s="2089"/>
      <c r="J40" s="391">
        <f>SUMIF(121:121,I40,122:122)-SUMIF(121:121,C40,122:122)+100</f>
        <v>100</v>
      </c>
      <c r="K40" s="566"/>
      <c r="L40" s="2948"/>
      <c r="M40" s="2942"/>
      <c r="N40" s="2942"/>
      <c r="O40" s="3000"/>
      <c r="P40" s="3337"/>
      <c r="Q40" s="1534" t="str">
        <f t="shared" si="14"/>
        <v>临街宽度及深度</v>
      </c>
      <c r="R40" s="711" t="s">
        <v>14</v>
      </c>
      <c r="S40" s="712">
        <f t="shared" si="10"/>
        <v>100</v>
      </c>
      <c r="T40" s="711" t="s">
        <v>14</v>
      </c>
      <c r="U40" s="712">
        <f t="shared" si="11"/>
        <v>100</v>
      </c>
      <c r="V40" s="711" t="s">
        <v>14</v>
      </c>
      <c r="W40" s="712">
        <f t="shared" si="12"/>
        <v>100</v>
      </c>
      <c r="X40" s="1537"/>
      <c r="Y40" s="3337"/>
      <c r="Z40" s="1538" t="str">
        <f t="shared" si="13"/>
        <v>临街宽度及深度</v>
      </c>
      <c r="AA40" s="1535">
        <f t="shared" si="3"/>
        <v>1</v>
      </c>
      <c r="AB40" s="1535">
        <f t="shared" si="4"/>
        <v>1</v>
      </c>
      <c r="AC40" s="1535">
        <f t="shared" si="5"/>
        <v>1</v>
      </c>
    </row>
    <row r="41" spans="1:29" s="110" customFormat="1" ht="15">
      <c r="A41" s="429"/>
      <c r="B41" s="378" t="s">
        <v>2550</v>
      </c>
      <c r="C41" s="2163"/>
      <c r="D41" s="129">
        <v>100</v>
      </c>
      <c r="E41" s="2163"/>
      <c r="F41" s="391">
        <f>SUMIF(123:123,E41,124:124)-SUMIF(123:123,C41,124:124)+100</f>
        <v>100</v>
      </c>
      <c r="G41" s="2163"/>
      <c r="H41" s="391">
        <f>SUMIF(123:123,G41,124:124)-SUMIF(123:123,C41,124:124)+100</f>
        <v>100</v>
      </c>
      <c r="I41" s="2163"/>
      <c r="J41" s="391">
        <f>SUMIF(123:123,I41,124:124)-SUMIF(123:123,C41,124:124)+100</f>
        <v>100</v>
      </c>
      <c r="K41" s="566"/>
      <c r="L41" s="2943"/>
      <c r="M41" s="2944"/>
      <c r="N41" s="2944"/>
      <c r="O41" s="2998"/>
      <c r="P41" s="3337"/>
      <c r="Q41" s="1534" t="str">
        <f t="shared" si="14"/>
        <v>宗地开发程度</v>
      </c>
      <c r="R41" s="707" t="s">
        <v>14</v>
      </c>
      <c r="S41" s="708">
        <f t="shared" si="10"/>
        <v>100</v>
      </c>
      <c r="T41" s="707" t="s">
        <v>14</v>
      </c>
      <c r="U41" s="708">
        <f t="shared" si="11"/>
        <v>100</v>
      </c>
      <c r="V41" s="707" t="s">
        <v>14</v>
      </c>
      <c r="W41" s="708">
        <f t="shared" si="12"/>
        <v>100</v>
      </c>
      <c r="X41" s="709"/>
      <c r="Y41" s="3337"/>
      <c r="Z41" s="52" t="str">
        <f t="shared" si="13"/>
        <v>宗地开发程度</v>
      </c>
      <c r="AA41" s="710">
        <f t="shared" si="3"/>
        <v>1</v>
      </c>
      <c r="AB41" s="710">
        <f t="shared" si="4"/>
        <v>1</v>
      </c>
      <c r="AC41" s="710">
        <f t="shared" si="5"/>
        <v>1</v>
      </c>
    </row>
    <row r="42" spans="1:29" ht="15">
      <c r="A42" s="428"/>
      <c r="B42" s="378" t="s">
        <v>2551</v>
      </c>
      <c r="C42" s="2089"/>
      <c r="D42" s="391">
        <v>100</v>
      </c>
      <c r="E42" s="2089"/>
      <c r="F42" s="391">
        <f>SUMIF(125:125,E42,126:126)-SUMIF(125:125,C42,126:126)+100</f>
        <v>100</v>
      </c>
      <c r="G42" s="2089"/>
      <c r="H42" s="391">
        <f>SUMIF(125:125,G42,126:126)-SUMIF(125:125,C42,126:126)+100</f>
        <v>100</v>
      </c>
      <c r="I42" s="2089"/>
      <c r="J42" s="391">
        <f>SUMIF(125:125,I42,126:126)-SUMIF(125:125,C42,126:126)+100</f>
        <v>100</v>
      </c>
      <c r="K42" s="566"/>
      <c r="L42" s="2948"/>
      <c r="M42" s="2942"/>
      <c r="N42" s="2942"/>
      <c r="O42" s="3000"/>
      <c r="P42" s="3337" t="s">
        <v>2361</v>
      </c>
      <c r="Q42" s="1534" t="str">
        <f t="shared" si="14"/>
        <v>工程地质条件</v>
      </c>
      <c r="R42" s="711" t="s">
        <v>14</v>
      </c>
      <c r="S42" s="712">
        <f t="shared" si="10"/>
        <v>100</v>
      </c>
      <c r="T42" s="711" t="s">
        <v>14</v>
      </c>
      <c r="U42" s="712">
        <f t="shared" si="11"/>
        <v>100</v>
      </c>
      <c r="V42" s="711" t="s">
        <v>14</v>
      </c>
      <c r="W42" s="712">
        <f t="shared" si="12"/>
        <v>100</v>
      </c>
      <c r="X42" s="1537"/>
      <c r="Y42" s="3337" t="s">
        <v>2361</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8"/>
      <c r="M43" s="2942"/>
      <c r="N43" s="2942"/>
      <c r="O43" s="3000"/>
      <c r="P43" s="3337"/>
      <c r="Q43" s="1534">
        <f t="shared" si="14"/>
        <v>111</v>
      </c>
      <c r="R43" s="711" t="s">
        <v>14</v>
      </c>
      <c r="S43" s="712">
        <f t="shared" si="10"/>
        <v>100</v>
      </c>
      <c r="T43" s="711" t="s">
        <v>14</v>
      </c>
      <c r="U43" s="712">
        <f t="shared" si="11"/>
        <v>100</v>
      </c>
      <c r="V43" s="711" t="s">
        <v>14</v>
      </c>
      <c r="W43" s="712">
        <f t="shared" si="12"/>
        <v>100</v>
      </c>
      <c r="X43" s="1537"/>
      <c r="Y43" s="3337"/>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8"/>
      <c r="M44" s="2942"/>
      <c r="N44" s="2942"/>
      <c r="O44" s="3000"/>
      <c r="P44" s="3337"/>
      <c r="Q44" s="1534">
        <f t="shared" si="14"/>
        <v>111</v>
      </c>
      <c r="R44" s="711" t="s">
        <v>14</v>
      </c>
      <c r="S44" s="712">
        <f t="shared" si="10"/>
        <v>100</v>
      </c>
      <c r="T44" s="711" t="s">
        <v>14</v>
      </c>
      <c r="U44" s="712">
        <f t="shared" si="11"/>
        <v>100</v>
      </c>
      <c r="V44" s="711" t="s">
        <v>14</v>
      </c>
      <c r="W44" s="712">
        <f t="shared" si="12"/>
        <v>100</v>
      </c>
      <c r="X44" s="1537"/>
      <c r="Y44" s="3337"/>
      <c r="Z44" s="1538">
        <f t="shared" si="13"/>
        <v>111</v>
      </c>
      <c r="AA44" s="1535">
        <f t="shared" si="3"/>
        <v>1</v>
      </c>
      <c r="AB44" s="1535">
        <f t="shared" si="4"/>
        <v>1</v>
      </c>
      <c r="AC44" s="1535">
        <f t="shared" si="5"/>
        <v>1</v>
      </c>
    </row>
    <row r="45" spans="1:29" s="427" customFormat="1" ht="15.75" thickBot="1">
      <c r="A45" s="424"/>
      <c r="B45" s="1293">
        <v>111</v>
      </c>
      <c r="C45" s="2164"/>
      <c r="D45" s="633">
        <v>100</v>
      </c>
      <c r="E45" s="627"/>
      <c r="F45" s="394">
        <f>SUMIF(131:131,E45,132:132)-SUMIF(131:131,C45,132:132)+100</f>
        <v>100</v>
      </c>
      <c r="G45" s="627"/>
      <c r="H45" s="394">
        <f>SUMIF(131:131,G45,132:132)-SUMIF(131:131,C45,132:132)+100</f>
        <v>100</v>
      </c>
      <c r="I45" s="627"/>
      <c r="J45" s="394">
        <f>SUMIF(131:131,I45,132:132)-SUMIF(131:131,C45,132:132)+100</f>
        <v>100</v>
      </c>
      <c r="K45" s="634"/>
      <c r="L45" s="2947"/>
      <c r="M45" s="2949"/>
      <c r="N45" s="2949"/>
      <c r="O45" s="3001"/>
      <c r="P45" s="3337"/>
      <c r="Q45" s="1534">
        <f t="shared" si="14"/>
        <v>111</v>
      </c>
      <c r="R45" s="714" t="s">
        <v>14</v>
      </c>
      <c r="S45" s="715">
        <f t="shared" si="10"/>
        <v>100</v>
      </c>
      <c r="T45" s="714" t="s">
        <v>14</v>
      </c>
      <c r="U45" s="715">
        <f t="shared" si="11"/>
        <v>100</v>
      </c>
      <c r="V45" s="714" t="s">
        <v>14</v>
      </c>
      <c r="W45" s="715">
        <f t="shared" si="12"/>
        <v>100</v>
      </c>
      <c r="X45" s="716"/>
      <c r="Y45" s="3337"/>
      <c r="Z45" s="717">
        <f t="shared" si="13"/>
        <v>111</v>
      </c>
      <c r="AA45" s="1535">
        <f t="shared" si="3"/>
        <v>1</v>
      </c>
      <c r="AB45" s="1535">
        <f t="shared" si="4"/>
        <v>1</v>
      </c>
      <c r="AC45" s="1535">
        <f t="shared" si="5"/>
        <v>1</v>
      </c>
    </row>
    <row r="46" spans="1:29" ht="15">
      <c r="A46" s="435" t="s">
        <v>2516</v>
      </c>
      <c r="B46" s="2165" t="s">
        <v>2552</v>
      </c>
      <c r="C46" s="635" t="s">
        <v>0</v>
      </c>
      <c r="D46" s="437"/>
      <c r="E46" s="438">
        <f>土地案例!M44</f>
        <v>13606.34</v>
      </c>
      <c r="F46" s="439"/>
      <c r="G46" s="440">
        <f>土地案例!M27</f>
        <v>16988.34</v>
      </c>
      <c r="H46" s="441"/>
      <c r="I46" s="438">
        <f>土地案例!M31</f>
        <v>20798.54</v>
      </c>
      <c r="J46" s="441"/>
      <c r="K46" s="720"/>
      <c r="L46" s="2950"/>
      <c r="M46" s="2951"/>
      <c r="N46" s="2942"/>
      <c r="O46" s="2951"/>
      <c r="P46" s="3319" t="str">
        <f>A46</f>
        <v>成交单价</v>
      </c>
      <c r="Q46" s="3319"/>
      <c r="R46" s="3332">
        <f>E46</f>
        <v>13606.34</v>
      </c>
      <c r="S46" s="3332"/>
      <c r="T46" s="3332">
        <f>G46</f>
        <v>16988.34</v>
      </c>
      <c r="U46" s="3332"/>
      <c r="V46" s="3332">
        <f>I46</f>
        <v>20798.54</v>
      </c>
      <c r="W46" s="3332"/>
      <c r="X46" s="696"/>
      <c r="Y46" s="718"/>
      <c r="Z46" s="696"/>
      <c r="AA46" s="696"/>
      <c r="AB46" s="696"/>
      <c r="AC46" s="696"/>
    </row>
    <row r="47" spans="1:29" ht="15.75" thickBot="1">
      <c r="A47" s="442" t="s">
        <v>2465</v>
      </c>
      <c r="B47" s="636"/>
      <c r="C47" s="445">
        <f>R48</f>
        <v>19465</v>
      </c>
      <c r="D47" s="2535" t="s">
        <v>2856</v>
      </c>
      <c r="E47" s="445">
        <f>R47</f>
        <v>16263</v>
      </c>
      <c r="F47" s="2536"/>
      <c r="G47" s="444">
        <f>T47</f>
        <v>18831</v>
      </c>
      <c r="H47" s="2536"/>
      <c r="I47" s="445">
        <f>V47</f>
        <v>23300</v>
      </c>
      <c r="J47" s="2536"/>
      <c r="K47" s="2538">
        <f>F47+H47+J47</f>
        <v>0</v>
      </c>
      <c r="L47" s="2950"/>
      <c r="M47" s="2951"/>
      <c r="N47" s="2951"/>
      <c r="O47" s="2951"/>
      <c r="P47" s="3319" t="str">
        <f>A47</f>
        <v>比较价值（元/平方米）</v>
      </c>
      <c r="Q47" s="3319"/>
      <c r="R47" s="3338">
        <f>ROUND(PRODUCT(R46,AA7:AA45),0)</f>
        <v>16263</v>
      </c>
      <c r="S47" s="3338"/>
      <c r="T47" s="3338">
        <f>ROUND(PRODUCT(T46,AB7:AB45),0)</f>
        <v>18831</v>
      </c>
      <c r="U47" s="3338"/>
      <c r="V47" s="3338">
        <f>ROUND(PRODUCT(V46,AC7:AC45),0)</f>
        <v>23300</v>
      </c>
      <c r="W47" s="3338"/>
      <c r="X47" s="696"/>
      <c r="Y47" s="696"/>
      <c r="Z47" s="696"/>
      <c r="AA47" s="696"/>
      <c r="AB47" s="696"/>
      <c r="AC47" s="696"/>
    </row>
    <row r="48" spans="1:29" ht="15.75" thickBot="1">
      <c r="A48" s="446" t="s">
        <v>2553</v>
      </c>
      <c r="B48" s="447"/>
      <c r="C48" s="448">
        <f>R48</f>
        <v>19465</v>
      </c>
      <c r="D48" s="448"/>
      <c r="E48" s="448"/>
      <c r="F48" s="448"/>
      <c r="G48" s="448"/>
      <c r="H48" s="448"/>
      <c r="I48" s="448"/>
      <c r="J48" s="448"/>
      <c r="K48" s="721"/>
      <c r="L48" s="2950"/>
      <c r="M48" s="2951"/>
      <c r="N48" s="2951"/>
      <c r="O48" s="2951"/>
      <c r="P48" s="3339" t="str">
        <f>A48</f>
        <v>估价对象XX用房的比较价值（楼面单价，元/平方米）</v>
      </c>
      <c r="Q48" s="3340"/>
      <c r="R48" s="3341">
        <f>ROUND(IF(D47="简单平均",AVERAGE(R47:W47),R47*F47+T47*H47+V47*J47),0)</f>
        <v>19465</v>
      </c>
      <c r="S48" s="3341"/>
      <c r="T48" s="3341"/>
      <c r="U48" s="3341"/>
      <c r="V48" s="3341"/>
      <c r="W48" s="3341"/>
      <c r="X48" s="696"/>
      <c r="Y48" s="696"/>
      <c r="Z48" s="696"/>
      <c r="AA48" s="696"/>
      <c r="AB48" s="696"/>
      <c r="AC48" s="696"/>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1" t="s">
        <v>2467</v>
      </c>
      <c r="D51" s="452"/>
      <c r="E51" s="453">
        <f>IF(E46&lt;E47,E47/E46-1,E46/E47-1)</f>
        <v>0.19525162534524343</v>
      </c>
      <c r="F51" s="454" t="str">
        <f>IF(OR(E51&gt;=0.3,E51&lt;=-0.3),"超过30%","")</f>
        <v/>
      </c>
      <c r="G51" s="453">
        <f>IF(G46&lt;G47,G47/G46-1,G46/G47-1)</f>
        <v>0.10846615973073304</v>
      </c>
      <c r="H51" s="454" t="str">
        <f>IF(OR(G51&gt;=0.3,G51&lt;=-0.3),"超过30%","")</f>
        <v/>
      </c>
      <c r="I51" s="453">
        <f>IF(I46&lt;I47,I47/I46-1,I46/I47-1)</f>
        <v>0.12027094209497391</v>
      </c>
      <c r="J51" s="454"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1" t="s">
        <v>2468</v>
      </c>
      <c r="D52" s="455"/>
      <c r="E52" s="453">
        <f>IF(E47&lt;G47,G47/E47-1,E47/G47-1)</f>
        <v>0.15790444567422979</v>
      </c>
      <c r="F52" s="454" t="str">
        <f>IF(OR(E52&gt;=0.2,E52&lt;=-0.2),"超过20%","")</f>
        <v/>
      </c>
      <c r="G52" s="453">
        <f>IF(G47&lt;I47,I47/G47-1,G47/I47-1)</f>
        <v>0.2373214380542723</v>
      </c>
      <c r="H52" s="454" t="str">
        <f>IF(OR(G52&gt;=0.2,G52&lt;=-0.2),"超过20%","")</f>
        <v>超过20%</v>
      </c>
      <c r="I52" s="453">
        <f>IF(I47&lt;E47,E47/I47-1,I47/E47-1)</f>
        <v>0.43269999385107294</v>
      </c>
      <c r="J52" s="454" t="str">
        <f>IF(OR(I52&gt;=0.2,I52&lt;=-0.2),"超过20%","")</f>
        <v>超过20%</v>
      </c>
      <c r="K52" s="2956"/>
      <c r="L52" s="2952"/>
      <c r="M52" s="2951"/>
      <c r="N52" s="2951"/>
      <c r="O52" s="2951"/>
      <c r="P52" s="2951"/>
      <c r="Q52" s="2951"/>
      <c r="R52" s="2951"/>
      <c r="S52" s="2951"/>
      <c r="T52" s="2951"/>
      <c r="U52" s="2951"/>
      <c r="V52" s="2951"/>
      <c r="W52" s="2951"/>
      <c r="X52" s="2951"/>
      <c r="Y52" s="2951"/>
      <c r="Z52" s="2951"/>
      <c r="AA52" s="2951"/>
      <c r="AB52" s="2951"/>
      <c r="AC52" s="2951"/>
    </row>
    <row r="53" spans="1:29" s="456" customFormat="1" ht="13.5" customHeight="1">
      <c r="A53" s="2954"/>
      <c r="B53" s="2954"/>
      <c r="C53" s="451" t="s">
        <v>2469</v>
      </c>
      <c r="D53" s="455"/>
      <c r="E53" s="453">
        <f>IF(E46&lt;G46,G46/E46-1,E46/G46-1)</f>
        <v>0.24856059748617199</v>
      </c>
      <c r="F53" s="454" t="str">
        <f>IF(OR(E53&gt;=0.3,E53&lt;=-0.3),"超过30%","")</f>
        <v/>
      </c>
      <c r="G53" s="453">
        <f>IF(G46&lt;I46,I46/G46-1,G46/I46-1)</f>
        <v>0.22428324368360886</v>
      </c>
      <c r="H53" s="454" t="str">
        <f>IF(OR(G53&gt;=0.3,G53&lt;=-0.3),"超过30%","")</f>
        <v/>
      </c>
      <c r="I53" s="453">
        <f>IF(I46&lt;E46,E46/I46-1,I46/E46-1)</f>
        <v>0.52859181822591528</v>
      </c>
      <c r="J53" s="454" t="str">
        <f>IF(OR(I53&gt;=0.3,I53&lt;=-0.3),"超过30%","")</f>
        <v>超过30%</v>
      </c>
      <c r="K53" s="2959"/>
      <c r="L53" s="2953"/>
      <c r="M53" s="2954"/>
      <c r="N53" s="2954"/>
      <c r="O53" s="2954"/>
      <c r="P53" s="2954"/>
      <c r="Q53" s="2954"/>
      <c r="R53" s="2954"/>
      <c r="S53" s="2954"/>
      <c r="T53" s="2954"/>
      <c r="U53" s="2954"/>
      <c r="V53" s="2954"/>
      <c r="W53" s="2954"/>
      <c r="X53" s="2954"/>
      <c r="Y53" s="2954"/>
      <c r="Z53" s="2954"/>
      <c r="AA53" s="2954"/>
      <c r="AB53" s="2954"/>
      <c r="AC53" s="2954"/>
    </row>
    <row r="54" spans="1:29" s="456" customFormat="1" ht="15" thickBot="1">
      <c r="A54" s="2954"/>
      <c r="B54" s="2957"/>
      <c r="C54" s="699"/>
      <c r="D54" s="697"/>
      <c r="E54" s="697"/>
      <c r="F54" s="697"/>
      <c r="G54" s="697"/>
      <c r="H54" s="697"/>
      <c r="I54" s="697"/>
      <c r="J54" s="697"/>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7" t="s">
        <v>2554</v>
      </c>
      <c r="B55" s="638" t="s">
        <v>2555</v>
      </c>
      <c r="C55" s="2166" t="s">
        <v>2556</v>
      </c>
      <c r="D55" s="2167" t="s">
        <v>2557</v>
      </c>
      <c r="E55" s="639" t="s">
        <v>2558</v>
      </c>
      <c r="F55" s="1018" t="s">
        <v>2559</v>
      </c>
      <c r="G55" s="3320" t="s">
        <v>2560</v>
      </c>
      <c r="H55" s="3342"/>
      <c r="I55" s="137" t="s">
        <v>2561</v>
      </c>
      <c r="J55" s="2168">
        <f>项目基本情况!F35</f>
        <v>0</v>
      </c>
      <c r="K55" s="2169" t="s">
        <v>2562</v>
      </c>
      <c r="L55" s="2952"/>
      <c r="M55" s="2951"/>
      <c r="N55" s="2951"/>
      <c r="O55" s="2951"/>
      <c r="P55" s="2951"/>
      <c r="Q55" s="2951"/>
      <c r="R55" s="2951"/>
      <c r="S55" s="2951"/>
      <c r="T55" s="2951"/>
      <c r="U55" s="2951"/>
      <c r="V55" s="2951"/>
      <c r="W55" s="2951"/>
      <c r="X55" s="2951"/>
      <c r="Y55" s="2951"/>
      <c r="Z55" s="2951"/>
      <c r="AA55" s="2951"/>
      <c r="AB55" s="2951"/>
      <c r="AC55" s="2951"/>
    </row>
    <row r="56" spans="1:29" s="645" customFormat="1">
      <c r="A56" s="641" t="s">
        <v>2563</v>
      </c>
      <c r="B56" s="642">
        <f>C48</f>
        <v>19465</v>
      </c>
      <c r="C56" s="643">
        <v>1</v>
      </c>
      <c r="D56" s="1072">
        <v>1</v>
      </c>
      <c r="E56" s="643">
        <f>'数据-汇总表'!E8+'数据-汇总表'!E9</f>
        <v>68161.440000000002</v>
      </c>
      <c r="F56" s="1014">
        <f t="shared" ref="F56:F65" si="15">ROUND(B56*E56/10000,0)</f>
        <v>132676</v>
      </c>
      <c r="G56" s="3343"/>
      <c r="H56" s="3319"/>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5" customFormat="1">
      <c r="A57" s="646" t="s">
        <v>2564</v>
      </c>
      <c r="B57" s="221">
        <f>ROUND($C$48*C57*D57,0)</f>
        <v>0</v>
      </c>
      <c r="C57" s="173">
        <f t="shared" ref="C57:C65" si="16">IF($C$55="北京市系数",I57,J57)</f>
        <v>0</v>
      </c>
      <c r="D57" s="1073">
        <v>0.25</v>
      </c>
      <c r="E57" s="647"/>
      <c r="F57" s="1014">
        <f t="shared" si="15"/>
        <v>0</v>
      </c>
      <c r="G57" s="3344" t="s">
        <v>2565</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5" customFormat="1">
      <c r="A58" s="646" t="s">
        <v>2566</v>
      </c>
      <c r="B58" s="221">
        <f t="shared" ref="B58:B65" si="17">ROUND($C$48*C58*D58,0)</f>
        <v>0</v>
      </c>
      <c r="C58" s="173">
        <f t="shared" si="16"/>
        <v>0</v>
      </c>
      <c r="D58" s="1073">
        <v>0.25</v>
      </c>
      <c r="E58" s="647"/>
      <c r="F58" s="1014">
        <f t="shared" si="15"/>
        <v>0</v>
      </c>
      <c r="G58" s="3344"/>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5" customFormat="1">
      <c r="A59" s="646" t="s">
        <v>2567</v>
      </c>
      <c r="B59" s="221">
        <f t="shared" si="17"/>
        <v>0</v>
      </c>
      <c r="C59" s="173">
        <f t="shared" si="16"/>
        <v>0</v>
      </c>
      <c r="D59" s="1073">
        <v>0.25</v>
      </c>
      <c r="E59" s="647"/>
      <c r="F59" s="1014">
        <f t="shared" si="15"/>
        <v>0</v>
      </c>
      <c r="G59" s="3344"/>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5" customFormat="1">
      <c r="A60" s="646" t="s">
        <v>2568</v>
      </c>
      <c r="B60" s="221">
        <f t="shared" si="17"/>
        <v>0</v>
      </c>
      <c r="C60" s="173">
        <f t="shared" si="16"/>
        <v>0</v>
      </c>
      <c r="D60" s="1073">
        <v>0.25</v>
      </c>
      <c r="E60" s="647"/>
      <c r="F60" s="1014">
        <f t="shared" si="15"/>
        <v>0</v>
      </c>
      <c r="G60" s="3344"/>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5" customFormat="1">
      <c r="A61" s="646" t="s">
        <v>2569</v>
      </c>
      <c r="B61" s="221">
        <f t="shared" si="17"/>
        <v>0</v>
      </c>
      <c r="C61" s="173">
        <f t="shared" si="16"/>
        <v>0</v>
      </c>
      <c r="D61" s="1073">
        <v>0.25</v>
      </c>
      <c r="E61" s="220">
        <f>'数据-汇总表'!E11</f>
        <v>0</v>
      </c>
      <c r="F61" s="1014">
        <f t="shared" si="15"/>
        <v>0</v>
      </c>
      <c r="G61" s="2170" t="s">
        <v>2570</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5" customFormat="1">
      <c r="A62" s="646" t="s">
        <v>2571</v>
      </c>
      <c r="B62" s="221">
        <f t="shared" si="17"/>
        <v>0</v>
      </c>
      <c r="C62" s="173">
        <f t="shared" si="16"/>
        <v>0</v>
      </c>
      <c r="D62" s="1073">
        <v>0.25</v>
      </c>
      <c r="E62" s="220">
        <f>'数据-汇总表'!E12</f>
        <v>0</v>
      </c>
      <c r="F62" s="1014">
        <f t="shared" si="15"/>
        <v>0</v>
      </c>
      <c r="G62" s="1020" t="s">
        <v>2572</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5" customFormat="1">
      <c r="A63" s="646" t="s">
        <v>2573</v>
      </c>
      <c r="B63" s="221">
        <f t="shared" si="17"/>
        <v>0</v>
      </c>
      <c r="C63" s="173">
        <f t="shared" si="16"/>
        <v>0</v>
      </c>
      <c r="D63" s="1073">
        <v>0.25</v>
      </c>
      <c r="E63" s="220">
        <f>'数据-汇总表'!E13</f>
        <v>0</v>
      </c>
      <c r="F63" s="1014">
        <f t="shared" si="15"/>
        <v>0</v>
      </c>
      <c r="G63" s="1020" t="s">
        <v>2574</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5" customFormat="1">
      <c r="A64" s="646" t="s">
        <v>2575</v>
      </c>
      <c r="B64" s="221">
        <f t="shared" si="17"/>
        <v>0</v>
      </c>
      <c r="C64" s="173">
        <f t="shared" si="16"/>
        <v>0</v>
      </c>
      <c r="D64" s="1073">
        <v>0.25</v>
      </c>
      <c r="E64" s="220">
        <f>'数据-汇总表'!E14</f>
        <v>0</v>
      </c>
      <c r="F64" s="1014">
        <f t="shared" si="15"/>
        <v>0</v>
      </c>
      <c r="G64" s="2170" t="s">
        <v>2565</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5" customFormat="1" ht="15" thickBot="1">
      <c r="A65" s="646" t="s">
        <v>2576</v>
      </c>
      <c r="B65" s="221">
        <f t="shared" si="17"/>
        <v>0</v>
      </c>
      <c r="C65" s="173">
        <f t="shared" si="16"/>
        <v>0</v>
      </c>
      <c r="D65" s="1073">
        <v>0.25</v>
      </c>
      <c r="E65" s="220">
        <f>'数据-汇总表'!E15</f>
        <v>0</v>
      </c>
      <c r="F65" s="1014">
        <f t="shared" si="15"/>
        <v>0</v>
      </c>
      <c r="G65" s="2171" t="s">
        <v>2570</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5" customFormat="1" ht="13.5" thickBot="1">
      <c r="A66" s="648" t="s">
        <v>2577</v>
      </c>
      <c r="B66" s="649" t="s">
        <v>25</v>
      </c>
      <c r="C66" s="649" t="s">
        <v>26</v>
      </c>
      <c r="D66" s="649" t="s">
        <v>974</v>
      </c>
      <c r="E66" s="649">
        <f>IF(B46="楼面地价",SUM(E56:E65),'数据-汇总表'!D3)</f>
        <v>68161.440000000002</v>
      </c>
      <c r="F66" s="650">
        <f>IF(B46="楼面地价",SUM(F56:F65),ROUND(C48*E66/10000,0))</f>
        <v>132676</v>
      </c>
      <c r="G66" s="723"/>
      <c r="H66" s="723"/>
      <c r="I66" s="723"/>
      <c r="J66" s="723"/>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6"/>
      <c r="B67" s="698"/>
      <c r="C67" s="699"/>
      <c r="D67" s="696"/>
      <c r="E67" s="696"/>
      <c r="F67" s="696"/>
      <c r="G67" s="696"/>
      <c r="H67" s="696"/>
      <c r="I67" s="696"/>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6"/>
      <c r="B68" s="698"/>
      <c r="C68" s="698" t="str">
        <f>YEAR(C7)&amp;"-"&amp;MONTH(C7)&amp;"-1"</f>
        <v>2021-2-1</v>
      </c>
      <c r="D68" s="698">
        <f>EDATE(C68,-3)</f>
        <v>44136</v>
      </c>
      <c r="E68" s="698">
        <f>EDATE(D68,-3)</f>
        <v>44044</v>
      </c>
      <c r="F68" s="698">
        <f t="shared" ref="F68:O68" si="18">EDATE(E68,-3)</f>
        <v>43952</v>
      </c>
      <c r="G68" s="698">
        <f t="shared" si="18"/>
        <v>43862</v>
      </c>
      <c r="H68" s="698">
        <f t="shared" si="18"/>
        <v>43770</v>
      </c>
      <c r="I68" s="698">
        <f t="shared" si="18"/>
        <v>43678</v>
      </c>
      <c r="J68" s="698">
        <f t="shared" si="18"/>
        <v>43586</v>
      </c>
      <c r="K68" s="698">
        <f t="shared" si="18"/>
        <v>43497</v>
      </c>
      <c r="L68" s="698">
        <f t="shared" si="18"/>
        <v>43405</v>
      </c>
      <c r="M68" s="698">
        <f t="shared" si="18"/>
        <v>43313</v>
      </c>
      <c r="N68" s="698">
        <f t="shared" si="18"/>
        <v>43221</v>
      </c>
      <c r="O68" s="698">
        <f t="shared" si="18"/>
        <v>43132</v>
      </c>
      <c r="P68" s="2951"/>
      <c r="Q68" s="2951"/>
      <c r="R68" s="2951"/>
      <c r="S68" s="2951"/>
      <c r="T68" s="2951"/>
      <c r="U68" s="2951"/>
      <c r="V68" s="2951"/>
      <c r="W68" s="2951"/>
      <c r="X68" s="2951"/>
      <c r="Y68" s="2951"/>
      <c r="Z68" s="2951"/>
      <c r="AA68" s="2951"/>
      <c r="AB68" s="2951"/>
      <c r="AC68" s="2951"/>
    </row>
    <row r="69" spans="1:29" ht="21.75" thickBot="1">
      <c r="A69" s="700" t="s">
        <v>2470</v>
      </c>
      <c r="B69" s="696"/>
      <c r="C69" s="701"/>
      <c r="D69" s="701"/>
      <c r="E69" s="701"/>
      <c r="F69" s="702"/>
      <c r="G69" s="702"/>
      <c r="H69" s="701"/>
      <c r="I69" s="701"/>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2" customFormat="1" ht="15">
      <c r="A70" s="2172" t="s">
        <v>2578</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2"/>
      <c r="Q70" s="2967"/>
      <c r="R70" s="2967"/>
      <c r="S70" s="2967"/>
      <c r="T70" s="2967"/>
      <c r="U70" s="2967"/>
      <c r="V70" s="2967"/>
      <c r="W70" s="2967"/>
      <c r="X70" s="2967"/>
      <c r="Y70" s="2967"/>
      <c r="Z70" s="2967"/>
      <c r="AA70" s="2967"/>
      <c r="AB70" s="2967"/>
      <c r="AC70" s="2967"/>
    </row>
    <row r="71" spans="1:29" s="110" customFormat="1" ht="30" customHeight="1">
      <c r="A71" s="2173" t="s">
        <v>2579</v>
      </c>
      <c r="B71" s="291" t="str">
        <f>"北京市平均增长率"&amp;TEXT(SUMIF(基准地价修正!N21:N25,A71,基准地价修正!P21:P25),"0.00%")</f>
        <v>北京市平均增长率1.85%</v>
      </c>
      <c r="C71" s="557">
        <v>100</v>
      </c>
      <c r="D71" s="549">
        <f>C71-1</f>
        <v>99</v>
      </c>
      <c r="E71" s="549">
        <f t="shared" ref="E71:M71" si="20">D71-1</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5"/>
      <c r="Q71" s="2885"/>
      <c r="R71" s="2885"/>
      <c r="S71" s="2885"/>
      <c r="T71" s="2885"/>
      <c r="U71" s="2885"/>
      <c r="V71" s="2885"/>
      <c r="W71" s="2885"/>
      <c r="X71" s="2885"/>
      <c r="Y71" s="2885"/>
      <c r="Z71" s="2885"/>
      <c r="AA71" s="2885"/>
      <c r="AB71" s="2885"/>
      <c r="AC71" s="2885"/>
    </row>
    <row r="72" spans="1:29" s="110" customFormat="1" ht="15.75" thickBot="1">
      <c r="A72" s="469" t="s">
        <v>2381</v>
      </c>
      <c r="B72" s="470"/>
      <c r="C72" s="471"/>
      <c r="D72" s="472"/>
      <c r="E72" s="472"/>
      <c r="F72" s="472"/>
      <c r="G72" s="472"/>
      <c r="H72" s="472"/>
      <c r="I72" s="472"/>
      <c r="J72" s="472"/>
      <c r="K72" s="472"/>
      <c r="L72" s="472"/>
      <c r="M72" s="473"/>
      <c r="N72" s="472"/>
      <c r="O72" s="1071"/>
      <c r="P72" s="2965"/>
      <c r="Q72" s="2965"/>
      <c r="R72" s="2885"/>
      <c r="S72" s="2885"/>
      <c r="T72" s="2885"/>
      <c r="U72" s="2885"/>
      <c r="V72" s="2885"/>
      <c r="W72" s="2885"/>
      <c r="X72" s="2885"/>
      <c r="Y72" s="2885"/>
      <c r="Z72" s="2885"/>
      <c r="AA72" s="2885"/>
      <c r="AB72" s="2885"/>
      <c r="AC72" s="2885"/>
    </row>
    <row r="73" spans="1:29" s="110" customFormat="1" ht="15">
      <c r="A73" s="475" t="s">
        <v>2346</v>
      </c>
      <c r="B73" s="464"/>
      <c r="C73" s="476" t="s">
        <v>2448</v>
      </c>
      <c r="D73" s="477"/>
      <c r="E73" s="477"/>
      <c r="F73" s="477"/>
      <c r="G73" s="477"/>
      <c r="H73" s="477"/>
      <c r="I73" s="477"/>
      <c r="J73" s="477"/>
      <c r="K73" s="477"/>
      <c r="L73" s="478"/>
      <c r="M73" s="479"/>
      <c r="N73" s="2978"/>
      <c r="O73" s="2978"/>
      <c r="P73" s="3003"/>
      <c r="Q73" s="2965"/>
      <c r="R73" s="2885"/>
      <c r="S73" s="2885"/>
      <c r="T73" s="2885"/>
      <c r="U73" s="2885"/>
      <c r="V73" s="2885"/>
      <c r="W73" s="2885"/>
      <c r="X73" s="2885"/>
      <c r="Y73" s="2885"/>
      <c r="Z73" s="2885"/>
      <c r="AA73" s="2885"/>
      <c r="AB73" s="2885"/>
      <c r="AC73" s="2885"/>
    </row>
    <row r="74" spans="1:29" s="110" customFormat="1" ht="15.75" thickBot="1">
      <c r="A74" s="475"/>
      <c r="B74" s="464"/>
      <c r="C74" s="592">
        <v>100</v>
      </c>
      <c r="D74" s="466"/>
      <c r="E74" s="466"/>
      <c r="F74" s="466"/>
      <c r="G74" s="466"/>
      <c r="H74" s="466"/>
      <c r="I74" s="466"/>
      <c r="J74" s="466"/>
      <c r="K74" s="466"/>
      <c r="L74" s="466"/>
      <c r="M74" s="468"/>
      <c r="N74" s="2978"/>
      <c r="O74" s="2978"/>
      <c r="P74" s="2965"/>
      <c r="Q74" s="2965"/>
      <c r="R74" s="2885"/>
      <c r="S74" s="2885"/>
      <c r="T74" s="2885"/>
      <c r="U74" s="2885"/>
      <c r="V74" s="2885"/>
      <c r="W74" s="2885"/>
      <c r="X74" s="2885"/>
      <c r="Y74" s="2885"/>
      <c r="Z74" s="2885"/>
      <c r="AA74" s="2885"/>
      <c r="AB74" s="2885"/>
      <c r="AC74" s="2885"/>
    </row>
    <row r="75" spans="1:29">
      <c r="A75" s="481" t="s">
        <v>2384</v>
      </c>
      <c r="B75" s="482" t="s">
        <v>2350</v>
      </c>
      <c r="C75" s="3083" t="s">
        <v>3292</v>
      </c>
      <c r="D75" s="484"/>
      <c r="E75" s="484"/>
      <c r="F75" s="484"/>
      <c r="G75" s="484"/>
      <c r="H75" s="484"/>
      <c r="I75" s="484"/>
      <c r="J75" s="484"/>
      <c r="K75" s="485"/>
      <c r="L75" s="486"/>
      <c r="M75" s="487"/>
      <c r="N75" s="2979"/>
      <c r="O75" s="2979"/>
      <c r="P75" s="3004"/>
      <c r="Q75" s="2965"/>
      <c r="R75" s="2951"/>
      <c r="S75" s="2951"/>
      <c r="T75" s="2951"/>
      <c r="U75" s="2951"/>
      <c r="V75" s="2951"/>
      <c r="W75" s="2951"/>
      <c r="X75" s="2951"/>
      <c r="Y75" s="2951"/>
      <c r="Z75" s="2951"/>
      <c r="AA75" s="2951"/>
      <c r="AB75" s="2951"/>
      <c r="AC75" s="2951"/>
    </row>
    <row r="76" spans="1:29" ht="15.75" thickBot="1">
      <c r="A76" s="488"/>
      <c r="B76" s="489"/>
      <c r="C76" s="490">
        <v>100</v>
      </c>
      <c r="D76" s="490"/>
      <c r="E76" s="490"/>
      <c r="F76" s="490"/>
      <c r="G76" s="490"/>
      <c r="H76" s="490"/>
      <c r="I76" s="490"/>
      <c r="J76" s="490"/>
      <c r="K76" s="490"/>
      <c r="L76" s="490"/>
      <c r="M76" s="491"/>
      <c r="N76" s="2980"/>
      <c r="O76" s="2980"/>
      <c r="P76" s="3004"/>
      <c r="Q76" s="2965"/>
      <c r="R76" s="2951"/>
      <c r="S76" s="2951"/>
      <c r="T76" s="2951"/>
      <c r="U76" s="2951"/>
      <c r="V76" s="2951"/>
      <c r="W76" s="2951"/>
      <c r="X76" s="2951"/>
      <c r="Y76" s="2951"/>
      <c r="Z76" s="2951"/>
      <c r="AA76" s="2951"/>
      <c r="AB76" s="2951"/>
      <c r="AC76" s="2951"/>
    </row>
    <row r="77" spans="1:29" ht="27.75" thickTop="1">
      <c r="A77" s="488"/>
      <c r="B77" s="492" t="s">
        <v>2353</v>
      </c>
      <c r="C77" s="493"/>
      <c r="D77" s="493"/>
      <c r="E77" s="493"/>
      <c r="F77" s="493"/>
      <c r="G77" s="493"/>
      <c r="H77" s="493"/>
      <c r="I77" s="493"/>
      <c r="J77" s="493"/>
      <c r="K77" s="494"/>
      <c r="L77" s="495"/>
      <c r="M77" s="496"/>
      <c r="N77" s="2979"/>
      <c r="O77" s="2979"/>
      <c r="P77" s="3004"/>
      <c r="Q77" s="2965"/>
      <c r="R77" s="2951"/>
      <c r="S77" s="2951"/>
      <c r="T77" s="2951"/>
      <c r="U77" s="2951"/>
      <c r="V77" s="2951"/>
      <c r="W77" s="2951"/>
      <c r="X77" s="2951"/>
      <c r="Y77" s="2951"/>
      <c r="Z77" s="2951"/>
      <c r="AA77" s="2951"/>
      <c r="AB77" s="2951"/>
      <c r="AC77" s="2951"/>
    </row>
    <row r="78" spans="1:29" ht="15.75" thickBot="1">
      <c r="A78" s="488"/>
      <c r="B78" s="497"/>
      <c r="C78" s="498"/>
      <c r="D78" s="498"/>
      <c r="E78" s="498"/>
      <c r="F78" s="498"/>
      <c r="G78" s="498"/>
      <c r="H78" s="498"/>
      <c r="I78" s="498"/>
      <c r="J78" s="498"/>
      <c r="K78" s="498"/>
      <c r="L78" s="498"/>
      <c r="M78" s="499"/>
      <c r="N78" s="2980"/>
      <c r="O78" s="2980"/>
      <c r="P78" s="3004"/>
      <c r="Q78" s="2965"/>
      <c r="R78" s="2951"/>
      <c r="S78" s="2951"/>
      <c r="T78" s="2951"/>
      <c r="U78" s="2951"/>
      <c r="V78" s="2951"/>
      <c r="W78" s="2951"/>
      <c r="X78" s="2951"/>
      <c r="Y78" s="2951"/>
      <c r="Z78" s="2951"/>
      <c r="AA78" s="2951"/>
      <c r="AB78" s="2951"/>
      <c r="AC78" s="2951"/>
    </row>
    <row r="79" spans="1:29" ht="15.75" thickTop="1">
      <c r="A79" s="488"/>
      <c r="B79" s="500" t="s">
        <v>2354</v>
      </c>
      <c r="C79" s="501" t="str">
        <f>C80&amp;"（含）"&amp;"-"&amp;D80</f>
        <v>0（含）-1</v>
      </c>
      <c r="D79" s="501" t="str">
        <f t="shared" ref="D79:L79" si="21">D80&amp;"（含）"&amp;"-"&amp;E80</f>
        <v>1（含）-1.5</v>
      </c>
      <c r="E79" s="501" t="str">
        <f t="shared" si="21"/>
        <v>1.5（含）-2</v>
      </c>
      <c r="F79" s="501" t="str">
        <f t="shared" si="21"/>
        <v>2（含）-2.5</v>
      </c>
      <c r="G79" s="501" t="str">
        <f t="shared" si="21"/>
        <v>2.5（含）-3</v>
      </c>
      <c r="H79" s="501" t="str">
        <f t="shared" si="21"/>
        <v>3（含）-</v>
      </c>
      <c r="I79" s="501" t="str">
        <f t="shared" si="21"/>
        <v>（含）-</v>
      </c>
      <c r="J79" s="501" t="str">
        <f t="shared" si="21"/>
        <v>（含）-</v>
      </c>
      <c r="K79" s="501" t="str">
        <f t="shared" si="21"/>
        <v>（含）-</v>
      </c>
      <c r="L79" s="501" t="str">
        <f t="shared" si="21"/>
        <v>（含）-</v>
      </c>
      <c r="M79" s="404"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8"/>
      <c r="B80" s="502"/>
      <c r="C80" s="503">
        <v>0</v>
      </c>
      <c r="D80" s="503">
        <v>1</v>
      </c>
      <c r="E80" s="503">
        <v>1.5</v>
      </c>
      <c r="F80" s="503">
        <v>2</v>
      </c>
      <c r="G80" s="503">
        <v>2.5</v>
      </c>
      <c r="H80" s="503">
        <v>3</v>
      </c>
      <c r="I80" s="503"/>
      <c r="J80" s="503"/>
      <c r="K80" s="504"/>
      <c r="L80" s="505"/>
      <c r="M80" s="506"/>
      <c r="N80" s="2979"/>
      <c r="O80" s="2979"/>
      <c r="P80" s="3004"/>
      <c r="Q80" s="2965"/>
      <c r="R80" s="2951"/>
      <c r="S80" s="2951"/>
      <c r="T80" s="2951"/>
      <c r="U80" s="2951"/>
      <c r="V80" s="2951"/>
      <c r="W80" s="2951"/>
      <c r="X80" s="2951"/>
      <c r="Y80" s="2951"/>
      <c r="Z80" s="2951"/>
      <c r="AA80" s="2951"/>
      <c r="AB80" s="2951"/>
      <c r="AC80" s="2951"/>
    </row>
    <row r="81" spans="1:29" ht="15.75" thickBot="1">
      <c r="A81" s="488"/>
      <c r="B81" s="489"/>
      <c r="C81" s="498">
        <v>100</v>
      </c>
      <c r="D81" s="498">
        <f t="shared" ref="D81:M81" si="22">IF($B$46="单位面积地价",C81+$K11,C81-$K11)</f>
        <v>95</v>
      </c>
      <c r="E81" s="498">
        <f t="shared" si="22"/>
        <v>90</v>
      </c>
      <c r="F81" s="498">
        <f t="shared" si="22"/>
        <v>85</v>
      </c>
      <c r="G81" s="498">
        <f t="shared" si="22"/>
        <v>80</v>
      </c>
      <c r="H81" s="498">
        <f t="shared" si="22"/>
        <v>75</v>
      </c>
      <c r="I81" s="498">
        <f t="shared" si="22"/>
        <v>70</v>
      </c>
      <c r="J81" s="498">
        <f t="shared" si="22"/>
        <v>65</v>
      </c>
      <c r="K81" s="498">
        <f t="shared" si="22"/>
        <v>60</v>
      </c>
      <c r="L81" s="498">
        <f t="shared" si="22"/>
        <v>55</v>
      </c>
      <c r="M81" s="498">
        <f t="shared" si="22"/>
        <v>50</v>
      </c>
      <c r="N81" s="2980"/>
      <c r="O81" s="2980"/>
      <c r="P81" s="3004"/>
      <c r="Q81" s="2965"/>
      <c r="R81" s="2951"/>
      <c r="S81" s="2951"/>
      <c r="T81" s="2951"/>
      <c r="U81" s="2951"/>
      <c r="V81" s="2951"/>
      <c r="W81" s="2951"/>
      <c r="X81" s="2951"/>
      <c r="Y81" s="2951"/>
      <c r="Z81" s="2951"/>
      <c r="AA81" s="2951"/>
      <c r="AB81" s="2951"/>
      <c r="AC81" s="2951"/>
    </row>
    <row r="82" spans="1:29" s="427" customFormat="1" ht="15.75" thickTop="1">
      <c r="A82" s="507"/>
      <c r="B82" s="492" t="str">
        <f>B12</f>
        <v>配建</v>
      </c>
      <c r="C82" s="508"/>
      <c r="D82" s="508"/>
      <c r="E82" s="508"/>
      <c r="F82" s="508"/>
      <c r="G82" s="508"/>
      <c r="H82" s="509"/>
      <c r="I82" s="509"/>
      <c r="J82" s="509"/>
      <c r="K82" s="509"/>
      <c r="L82" s="510"/>
      <c r="M82" s="511"/>
      <c r="N82" s="2981"/>
      <c r="O82" s="2981"/>
      <c r="P82" s="3005"/>
      <c r="Q82" s="2972"/>
      <c r="R82" s="2973"/>
      <c r="S82" s="2973"/>
      <c r="T82" s="2973"/>
      <c r="U82" s="2973"/>
      <c r="V82" s="2973"/>
      <c r="W82" s="2973"/>
      <c r="X82" s="2973"/>
      <c r="Y82" s="2973"/>
      <c r="Z82" s="2973"/>
      <c r="AA82" s="2973"/>
      <c r="AB82" s="2973"/>
      <c r="AC82" s="2973"/>
    </row>
    <row r="83" spans="1:29" s="427" customFormat="1" ht="15.75" thickBot="1">
      <c r="A83" s="507"/>
      <c r="B83" s="497"/>
      <c r="C83" s="514"/>
      <c r="D83" s="490"/>
      <c r="E83" s="490"/>
      <c r="F83" s="490"/>
      <c r="G83" s="490"/>
      <c r="H83" s="490"/>
      <c r="I83" s="490"/>
      <c r="J83" s="490"/>
      <c r="K83" s="490"/>
      <c r="L83" s="490"/>
      <c r="M83" s="491"/>
      <c r="N83" s="2980"/>
      <c r="O83" s="2980"/>
      <c r="P83" s="3005"/>
      <c r="Q83" s="2972"/>
      <c r="R83" s="2973"/>
      <c r="S83" s="2973"/>
      <c r="T83" s="2973"/>
      <c r="U83" s="2973"/>
      <c r="V83" s="2973"/>
      <c r="W83" s="2973"/>
      <c r="X83" s="2973"/>
      <c r="Y83" s="2973"/>
      <c r="Z83" s="2973"/>
      <c r="AA83" s="2973"/>
      <c r="AB83" s="2973"/>
      <c r="AC83" s="2973"/>
    </row>
    <row r="84" spans="1:29" s="427" customFormat="1" ht="15.75" thickTop="1">
      <c r="A84" s="507"/>
      <c r="B84" s="492">
        <f>B13</f>
        <v>111</v>
      </c>
      <c r="C84" s="508"/>
      <c r="D84" s="508"/>
      <c r="E84" s="508"/>
      <c r="F84" s="508"/>
      <c r="G84" s="508"/>
      <c r="H84" s="509"/>
      <c r="I84" s="509"/>
      <c r="J84" s="509"/>
      <c r="K84" s="509"/>
      <c r="L84" s="510"/>
      <c r="M84" s="511"/>
      <c r="N84" s="2981"/>
      <c r="O84" s="2981"/>
      <c r="P84" s="2949"/>
      <c r="Q84" s="2975"/>
      <c r="R84" s="2973"/>
      <c r="S84" s="2973"/>
      <c r="T84" s="2973"/>
      <c r="U84" s="2973"/>
      <c r="V84" s="2973"/>
      <c r="W84" s="2973"/>
      <c r="X84" s="2973"/>
      <c r="Y84" s="2973"/>
      <c r="Z84" s="2973"/>
      <c r="AA84" s="2973"/>
      <c r="AB84" s="2973"/>
      <c r="AC84" s="2973"/>
    </row>
    <row r="85" spans="1:29" s="427" customFormat="1" ht="15.75" thickBot="1">
      <c r="A85" s="507"/>
      <c r="B85" s="497"/>
      <c r="C85" s="514"/>
      <c r="D85" s="514"/>
      <c r="E85" s="514"/>
      <c r="F85" s="514"/>
      <c r="G85" s="514"/>
      <c r="H85" s="516"/>
      <c r="I85" s="516"/>
      <c r="J85" s="516"/>
      <c r="K85" s="516"/>
      <c r="L85" s="516"/>
      <c r="M85" s="517"/>
      <c r="N85" s="2981"/>
      <c r="O85" s="2981"/>
      <c r="P85" s="3005"/>
      <c r="Q85" s="2972"/>
      <c r="R85" s="2973"/>
      <c r="S85" s="2973"/>
      <c r="T85" s="2973"/>
      <c r="U85" s="2973"/>
      <c r="V85" s="2973"/>
      <c r="W85" s="2973"/>
      <c r="X85" s="2973"/>
      <c r="Y85" s="2973"/>
      <c r="Z85" s="2973"/>
      <c r="AA85" s="2973"/>
      <c r="AB85" s="2973"/>
      <c r="AC85" s="2973"/>
    </row>
    <row r="86" spans="1:29" s="427" customFormat="1" ht="15.75" thickTop="1">
      <c r="A86" s="507"/>
      <c r="B86" s="500">
        <f>B14</f>
        <v>111</v>
      </c>
      <c r="C86" s="477"/>
      <c r="D86" s="477"/>
      <c r="E86" s="477"/>
      <c r="F86" s="477"/>
      <c r="G86" s="477"/>
      <c r="H86" s="518"/>
      <c r="I86" s="518"/>
      <c r="J86" s="518"/>
      <c r="K86" s="518"/>
      <c r="L86" s="519"/>
      <c r="M86" s="520"/>
      <c r="N86" s="2981"/>
      <c r="O86" s="2981"/>
      <c r="P86" s="3010"/>
      <c r="Q86" s="2972"/>
      <c r="R86" s="2973"/>
      <c r="S86" s="2973"/>
      <c r="T86" s="2973"/>
      <c r="U86" s="2973"/>
      <c r="V86" s="2973"/>
      <c r="W86" s="2973"/>
      <c r="X86" s="2973"/>
      <c r="Y86" s="2973"/>
      <c r="Z86" s="2973"/>
      <c r="AA86" s="2973"/>
      <c r="AB86" s="2973"/>
      <c r="AC86" s="2973"/>
    </row>
    <row r="87" spans="1:29" s="427" customFormat="1" ht="15.75" thickBot="1">
      <c r="A87" s="522"/>
      <c r="B87" s="523"/>
      <c r="C87" s="524"/>
      <c r="D87" s="524"/>
      <c r="E87" s="524"/>
      <c r="F87" s="524"/>
      <c r="G87" s="524"/>
      <c r="H87" s="525"/>
      <c r="I87" s="525"/>
      <c r="J87" s="525"/>
      <c r="K87" s="525"/>
      <c r="L87" s="525"/>
      <c r="M87" s="526"/>
      <c r="N87" s="2981"/>
      <c r="O87" s="2981"/>
      <c r="P87" s="3005"/>
      <c r="Q87" s="2972"/>
      <c r="R87" s="2973"/>
      <c r="S87" s="2973"/>
      <c r="T87" s="2973"/>
      <c r="U87" s="2973"/>
      <c r="V87" s="2973"/>
      <c r="W87" s="2973"/>
      <c r="X87" s="2973"/>
      <c r="Y87" s="2973"/>
      <c r="Z87" s="2973"/>
      <c r="AA87" s="2973"/>
      <c r="AB87" s="2973"/>
      <c r="AC87" s="2973"/>
    </row>
    <row r="88" spans="1:29">
      <c r="A88" s="481" t="s">
        <v>2355</v>
      </c>
      <c r="B88" s="482" t="s">
        <v>2392</v>
      </c>
      <c r="C88" s="527" t="s">
        <v>2393</v>
      </c>
      <c r="D88" s="527" t="s">
        <v>2394</v>
      </c>
      <c r="E88" s="527" t="s">
        <v>2395</v>
      </c>
      <c r="F88" s="527" t="s">
        <v>2396</v>
      </c>
      <c r="G88" s="527" t="s">
        <v>2397</v>
      </c>
      <c r="H88" s="483"/>
      <c r="I88" s="483"/>
      <c r="J88" s="483"/>
      <c r="K88" s="528"/>
      <c r="L88" s="529"/>
      <c r="M88" s="530"/>
      <c r="N88" s="2979"/>
      <c r="O88" s="2979"/>
      <c r="P88" s="3006"/>
      <c r="Q88" s="2965"/>
      <c r="R88" s="2951"/>
      <c r="S88" s="2951"/>
      <c r="T88" s="2951"/>
      <c r="U88" s="2951"/>
      <c r="V88" s="2951"/>
      <c r="W88" s="2951"/>
      <c r="X88" s="2951"/>
      <c r="Y88" s="2951"/>
      <c r="Z88" s="2951"/>
      <c r="AA88" s="2951"/>
      <c r="AB88" s="2951"/>
      <c r="AC88" s="2951"/>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0"/>
      <c r="O89" s="2980"/>
      <c r="P89" s="3004"/>
      <c r="Q89" s="2965"/>
      <c r="R89" s="2951"/>
      <c r="S89" s="2951"/>
      <c r="T89" s="2951"/>
      <c r="U89" s="2951"/>
      <c r="V89" s="2951"/>
      <c r="W89" s="2951"/>
      <c r="X89" s="2951"/>
      <c r="Y89" s="2951"/>
      <c r="Z89" s="2951"/>
      <c r="AA89" s="2951"/>
      <c r="AB89" s="2951"/>
      <c r="AC89" s="2951"/>
    </row>
    <row r="90" spans="1:29" ht="15.75" thickTop="1">
      <c r="A90" s="488"/>
      <c r="B90" s="492" t="s">
        <v>2580</v>
      </c>
      <c r="C90" s="532" t="s">
        <v>2393</v>
      </c>
      <c r="D90" s="532" t="s">
        <v>2394</v>
      </c>
      <c r="E90" s="532" t="s">
        <v>2395</v>
      </c>
      <c r="F90" s="532" t="s">
        <v>2396</v>
      </c>
      <c r="G90" s="532" t="s">
        <v>2397</v>
      </c>
      <c r="H90" s="493"/>
      <c r="I90" s="493"/>
      <c r="J90" s="493"/>
      <c r="K90" s="494"/>
      <c r="L90" s="495"/>
      <c r="M90" s="496"/>
      <c r="N90" s="2979"/>
      <c r="O90" s="2979"/>
      <c r="P90" s="3004"/>
      <c r="Q90" s="2965"/>
      <c r="R90" s="2951"/>
      <c r="S90" s="2951"/>
      <c r="T90" s="2951"/>
      <c r="U90" s="2951"/>
      <c r="V90" s="2951"/>
      <c r="W90" s="2951"/>
      <c r="X90" s="2951"/>
      <c r="Y90" s="2951"/>
      <c r="Z90" s="2951"/>
      <c r="AA90" s="2951"/>
      <c r="AB90" s="2951"/>
      <c r="AC90" s="2951"/>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80"/>
      <c r="O91" s="2980"/>
      <c r="P91" s="3004"/>
      <c r="Q91" s="2965"/>
      <c r="R91" s="2951"/>
      <c r="S91" s="2951"/>
      <c r="T91" s="2951"/>
      <c r="U91" s="2951"/>
      <c r="V91" s="2951"/>
      <c r="W91" s="2951"/>
      <c r="X91" s="2951"/>
      <c r="Y91" s="2951"/>
      <c r="Z91" s="2951"/>
      <c r="AA91" s="2951"/>
      <c r="AB91" s="2951"/>
      <c r="AC91" s="2951"/>
    </row>
    <row r="92" spans="1:29" ht="15.75" thickTop="1">
      <c r="A92" s="488"/>
      <c r="B92" s="492" t="s">
        <v>2493</v>
      </c>
      <c r="C92" s="532" t="s">
        <v>2393</v>
      </c>
      <c r="D92" s="532" t="s">
        <v>2394</v>
      </c>
      <c r="E92" s="532" t="s">
        <v>2395</v>
      </c>
      <c r="F92" s="532" t="s">
        <v>2396</v>
      </c>
      <c r="G92" s="532" t="s">
        <v>2397</v>
      </c>
      <c r="H92" s="493"/>
      <c r="I92" s="493"/>
      <c r="J92" s="493"/>
      <c r="K92" s="494"/>
      <c r="L92" s="495"/>
      <c r="M92" s="496"/>
      <c r="N92" s="2979"/>
      <c r="O92" s="2979"/>
      <c r="P92" s="3004"/>
      <c r="Q92" s="2965"/>
      <c r="R92" s="2951"/>
      <c r="S92" s="2951"/>
      <c r="T92" s="2951"/>
      <c r="U92" s="2951"/>
      <c r="V92" s="2951"/>
      <c r="W92" s="2951"/>
      <c r="X92" s="2951"/>
      <c r="Y92" s="2951"/>
      <c r="Z92" s="2951"/>
      <c r="AA92" s="2951"/>
      <c r="AB92" s="2951"/>
      <c r="AC92" s="2951"/>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0"/>
      <c r="O93" s="2980"/>
      <c r="P93" s="3004"/>
      <c r="Q93" s="2965"/>
      <c r="R93" s="2951"/>
      <c r="S93" s="2951"/>
      <c r="T93" s="2951"/>
      <c r="U93" s="2951"/>
      <c r="V93" s="2951"/>
      <c r="W93" s="2951"/>
      <c r="X93" s="2951"/>
      <c r="Y93" s="2951"/>
      <c r="Z93" s="2951"/>
      <c r="AA93" s="2951"/>
      <c r="AB93" s="2951"/>
      <c r="AC93" s="2951"/>
    </row>
    <row r="94" spans="1:29" ht="15.75" thickTop="1">
      <c r="A94" s="488"/>
      <c r="B94" s="492" t="s">
        <v>2398</v>
      </c>
      <c r="C94" s="532" t="s">
        <v>2393</v>
      </c>
      <c r="D94" s="532" t="s">
        <v>2394</v>
      </c>
      <c r="E94" s="532" t="s">
        <v>2395</v>
      </c>
      <c r="F94" s="532" t="s">
        <v>2396</v>
      </c>
      <c r="G94" s="532" t="s">
        <v>2397</v>
      </c>
      <c r="H94" s="493"/>
      <c r="I94" s="493"/>
      <c r="J94" s="493"/>
      <c r="K94" s="494"/>
      <c r="L94" s="495"/>
      <c r="M94" s="496"/>
      <c r="N94" s="2979"/>
      <c r="O94" s="2979"/>
      <c r="P94" s="3004"/>
      <c r="Q94" s="2965"/>
      <c r="R94" s="2951"/>
      <c r="S94" s="2951"/>
      <c r="T94" s="2951"/>
      <c r="U94" s="2951"/>
      <c r="V94" s="2951"/>
      <c r="W94" s="2951"/>
      <c r="X94" s="2951"/>
      <c r="Y94" s="2951"/>
      <c r="Z94" s="2951"/>
      <c r="AA94" s="2951"/>
      <c r="AB94" s="2951"/>
      <c r="AC94" s="2951"/>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80"/>
      <c r="O95" s="2980"/>
      <c r="P95" s="3004"/>
      <c r="Q95" s="2965"/>
      <c r="R95" s="2951"/>
      <c r="S95" s="2951"/>
      <c r="T95" s="2951"/>
      <c r="U95" s="2951"/>
      <c r="V95" s="2951"/>
      <c r="W95" s="2951"/>
      <c r="X95" s="2951"/>
      <c r="Y95" s="2951"/>
      <c r="Z95" s="2951"/>
      <c r="AA95" s="2951"/>
      <c r="AB95" s="2951"/>
      <c r="AC95" s="2951"/>
    </row>
    <row r="96" spans="1:29" s="110" customFormat="1" ht="15.75" thickTop="1">
      <c r="A96" s="533"/>
      <c r="B96" s="492" t="s">
        <v>2581</v>
      </c>
      <c r="C96" s="532" t="s">
        <v>2393</v>
      </c>
      <c r="D96" s="532" t="s">
        <v>2394</v>
      </c>
      <c r="E96" s="532" t="s">
        <v>2395</v>
      </c>
      <c r="F96" s="532" t="s">
        <v>2396</v>
      </c>
      <c r="G96" s="532" t="s">
        <v>2397</v>
      </c>
      <c r="H96" s="532"/>
      <c r="I96" s="532"/>
      <c r="J96" s="532"/>
      <c r="K96" s="532"/>
      <c r="L96" s="651"/>
      <c r="M96" s="575"/>
      <c r="N96" s="2978"/>
      <c r="O96" s="2978"/>
      <c r="P96" s="3004"/>
      <c r="Q96" s="2965"/>
      <c r="R96" s="2885"/>
      <c r="S96" s="2885"/>
      <c r="T96" s="2885"/>
      <c r="U96" s="2885"/>
      <c r="V96" s="2885"/>
      <c r="W96" s="2885"/>
      <c r="X96" s="2885"/>
      <c r="Y96" s="2885"/>
      <c r="Z96" s="2885"/>
      <c r="AA96" s="2885"/>
      <c r="AB96" s="2885"/>
      <c r="AC96" s="2885"/>
    </row>
    <row r="97" spans="1:29" s="110" customFormat="1" ht="15.75" thickBot="1">
      <c r="A97" s="533"/>
      <c r="B97" s="497"/>
      <c r="C97" s="536">
        <v>100</v>
      </c>
      <c r="D97" s="498">
        <f>C97-$K23</f>
        <v>100</v>
      </c>
      <c r="E97" s="498">
        <f>D97-$K23</f>
        <v>100</v>
      </c>
      <c r="F97" s="498">
        <f>E97-$K23</f>
        <v>100</v>
      </c>
      <c r="G97" s="498">
        <f>F97-$K23</f>
        <v>100</v>
      </c>
      <c r="H97" s="498"/>
      <c r="I97" s="498"/>
      <c r="J97" s="498"/>
      <c r="K97" s="498"/>
      <c r="L97" s="498"/>
      <c r="M97" s="499"/>
      <c r="N97" s="2980"/>
      <c r="O97" s="2980"/>
      <c r="P97" s="3004"/>
      <c r="Q97" s="2965"/>
      <c r="R97" s="2885"/>
      <c r="S97" s="2885"/>
      <c r="T97" s="2885"/>
      <c r="U97" s="2885"/>
      <c r="V97" s="2885"/>
      <c r="W97" s="2885"/>
      <c r="X97" s="2885"/>
      <c r="Y97" s="2885"/>
      <c r="Z97" s="2885"/>
      <c r="AA97" s="2885"/>
      <c r="AB97" s="2885"/>
      <c r="AC97" s="2885"/>
    </row>
    <row r="98" spans="1:29" s="110" customFormat="1" ht="27.75" thickTop="1">
      <c r="A98" s="533"/>
      <c r="B98" s="492" t="s">
        <v>2582</v>
      </c>
      <c r="C98" s="527" t="s">
        <v>2393</v>
      </c>
      <c r="D98" s="527" t="s">
        <v>2394</v>
      </c>
      <c r="E98" s="527" t="s">
        <v>2395</v>
      </c>
      <c r="F98" s="527" t="s">
        <v>2396</v>
      </c>
      <c r="G98" s="527" t="s">
        <v>2397</v>
      </c>
      <c r="H98" s="532"/>
      <c r="I98" s="532"/>
      <c r="J98" s="532"/>
      <c r="K98" s="532"/>
      <c r="L98" s="532"/>
      <c r="M98" s="575"/>
      <c r="N98" s="2978"/>
      <c r="O98" s="2978"/>
      <c r="P98" s="3004"/>
      <c r="Q98" s="2965"/>
      <c r="R98" s="2885"/>
      <c r="S98" s="2885"/>
      <c r="T98" s="2885"/>
      <c r="U98" s="2885"/>
      <c r="V98" s="2885"/>
      <c r="W98" s="2885"/>
      <c r="X98" s="2885"/>
      <c r="Y98" s="2885"/>
      <c r="Z98" s="2885"/>
      <c r="AA98" s="2885"/>
      <c r="AB98" s="2885"/>
      <c r="AC98" s="2885"/>
    </row>
    <row r="99" spans="1:29" s="110" customFormat="1" ht="15.75" thickBot="1">
      <c r="A99" s="533"/>
      <c r="B99" s="497"/>
      <c r="C99" s="498">
        <v>100</v>
      </c>
      <c r="D99" s="498">
        <f>C99-$K25</f>
        <v>100</v>
      </c>
      <c r="E99" s="498">
        <f>D99-$K25</f>
        <v>100</v>
      </c>
      <c r="F99" s="498">
        <f>E99-$K25</f>
        <v>100</v>
      </c>
      <c r="G99" s="498">
        <f>F99-$K25</f>
        <v>100</v>
      </c>
      <c r="H99" s="498"/>
      <c r="I99" s="498"/>
      <c r="J99" s="498"/>
      <c r="K99" s="498"/>
      <c r="L99" s="498"/>
      <c r="M99" s="499"/>
      <c r="N99" s="2980"/>
      <c r="O99" s="2980"/>
      <c r="P99" s="3004"/>
      <c r="Q99" s="2965"/>
      <c r="R99" s="2885"/>
      <c r="S99" s="2885"/>
      <c r="T99" s="2885"/>
      <c r="U99" s="2885"/>
      <c r="V99" s="2885"/>
      <c r="W99" s="2885"/>
      <c r="X99" s="2885"/>
      <c r="Y99" s="2885"/>
      <c r="Z99" s="2885"/>
      <c r="AA99" s="2885"/>
      <c r="AB99" s="2885"/>
      <c r="AC99" s="2885"/>
    </row>
    <row r="100" spans="1:29" s="427" customFormat="1" ht="15.75" thickTop="1">
      <c r="A100" s="507"/>
      <c r="B100" s="492" t="s">
        <v>2450</v>
      </c>
      <c r="C100" s="527" t="s">
        <v>2393</v>
      </c>
      <c r="D100" s="527" t="s">
        <v>2394</v>
      </c>
      <c r="E100" s="527" t="s">
        <v>2395</v>
      </c>
      <c r="F100" s="527" t="s">
        <v>2396</v>
      </c>
      <c r="G100" s="527" t="s">
        <v>2397</v>
      </c>
      <c r="H100" s="554"/>
      <c r="I100" s="554"/>
      <c r="J100" s="554"/>
      <c r="K100" s="554"/>
      <c r="L100" s="555"/>
      <c r="M100" s="556"/>
      <c r="N100" s="2981"/>
      <c r="O100" s="2981"/>
      <c r="P100" s="3005"/>
      <c r="Q100" s="2972"/>
      <c r="R100" s="2973"/>
      <c r="S100" s="2973"/>
      <c r="T100" s="2973"/>
      <c r="U100" s="2973"/>
      <c r="V100" s="2973"/>
      <c r="W100" s="2973"/>
      <c r="X100" s="2973"/>
      <c r="Y100" s="2973"/>
      <c r="Z100" s="2973"/>
      <c r="AA100" s="2973"/>
      <c r="AB100" s="2973"/>
      <c r="AC100" s="2973"/>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81"/>
      <c r="O101" s="2981"/>
      <c r="P101" s="3005"/>
      <c r="Q101" s="2972"/>
      <c r="R101" s="2973"/>
      <c r="S101" s="2973"/>
      <c r="T101" s="2973"/>
      <c r="U101" s="2973"/>
      <c r="V101" s="2973"/>
      <c r="W101" s="2973"/>
      <c r="X101" s="2973"/>
      <c r="Y101" s="2973"/>
      <c r="Z101" s="2973"/>
      <c r="AA101" s="2973"/>
      <c r="AB101" s="2973"/>
      <c r="AC101" s="2973"/>
    </row>
    <row r="102" spans="1:29" s="427" customFormat="1" ht="15.75" thickTop="1">
      <c r="A102" s="507"/>
      <c r="B102" s="500" t="s">
        <v>2451</v>
      </c>
      <c r="C102" s="613" t="s">
        <v>2471</v>
      </c>
      <c r="D102" s="613" t="s">
        <v>2472</v>
      </c>
      <c r="E102" s="613" t="s">
        <v>2473</v>
      </c>
      <c r="F102" s="613" t="s">
        <v>2474</v>
      </c>
      <c r="G102" s="613" t="s">
        <v>2475</v>
      </c>
      <c r="H102" s="554"/>
      <c r="I102" s="554"/>
      <c r="J102" s="554"/>
      <c r="K102" s="554"/>
      <c r="L102" s="554"/>
      <c r="M102" s="1291"/>
      <c r="N102" s="2981"/>
      <c r="O102" s="2981"/>
      <c r="P102" s="3005"/>
      <c r="Q102" s="2972"/>
      <c r="R102" s="2973"/>
      <c r="S102" s="2973"/>
      <c r="T102" s="2973"/>
      <c r="U102" s="2973"/>
      <c r="V102" s="2973"/>
      <c r="W102" s="2973"/>
      <c r="X102" s="2973"/>
      <c r="Y102" s="2973"/>
      <c r="Z102" s="2973"/>
      <c r="AA102" s="2973"/>
      <c r="AB102" s="2973"/>
      <c r="AC102" s="2973"/>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88"/>
      <c r="B104" s="492" t="str">
        <f>B31</f>
        <v>临街状况</v>
      </c>
      <c r="C104" s="493" t="s">
        <v>2583</v>
      </c>
      <c r="D104" s="493" t="s">
        <v>2584</v>
      </c>
      <c r="E104" s="493" t="s">
        <v>2585</v>
      </c>
      <c r="F104" s="493" t="s">
        <v>2586</v>
      </c>
      <c r="G104" s="493"/>
      <c r="H104" s="493"/>
      <c r="I104" s="493"/>
      <c r="J104" s="493"/>
      <c r="K104" s="494"/>
      <c r="L104" s="495"/>
      <c r="M104" s="496"/>
      <c r="N104" s="2979"/>
      <c r="O104" s="2979"/>
      <c r="P104" s="3004"/>
      <c r="Q104" s="2965"/>
      <c r="R104" s="2951"/>
      <c r="S104" s="2951"/>
      <c r="T104" s="2951"/>
      <c r="U104" s="2951"/>
      <c r="V104" s="2951"/>
      <c r="W104" s="2951"/>
      <c r="X104" s="2951"/>
      <c r="Y104" s="2951"/>
      <c r="Z104" s="2951"/>
      <c r="AA104" s="2951"/>
      <c r="AB104" s="2951"/>
      <c r="AC104" s="2951"/>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8"/>
      <c r="B106" s="492" t="s">
        <v>2487</v>
      </c>
      <c r="C106" s="508"/>
      <c r="D106" s="508"/>
      <c r="E106" s="508"/>
      <c r="F106" s="508"/>
      <c r="G106" s="508"/>
      <c r="H106" s="537"/>
      <c r="I106" s="537"/>
      <c r="J106" s="537"/>
      <c r="K106" s="538"/>
      <c r="L106" s="539"/>
      <c r="M106" s="540"/>
      <c r="N106" s="2979"/>
      <c r="O106" s="2979"/>
      <c r="P106" s="3004"/>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8"/>
      <c r="B108" s="492" t="s">
        <v>2546</v>
      </c>
      <c r="C108" s="537"/>
      <c r="D108" s="537"/>
      <c r="E108" s="537"/>
      <c r="F108" s="537"/>
      <c r="G108" s="537"/>
      <c r="H108" s="537"/>
      <c r="I108" s="537"/>
      <c r="J108" s="537"/>
      <c r="K108" s="538"/>
      <c r="L108" s="539"/>
      <c r="M108" s="540"/>
      <c r="N108" s="2979"/>
      <c r="O108" s="2979"/>
      <c r="P108" s="3004"/>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8"/>
      <c r="B110" s="500">
        <f>B35</f>
        <v>111</v>
      </c>
      <c r="C110" s="508"/>
      <c r="D110" s="508"/>
      <c r="E110" s="508"/>
      <c r="F110" s="508"/>
      <c r="G110" s="541"/>
      <c r="H110" s="541"/>
      <c r="I110" s="541"/>
      <c r="J110" s="541"/>
      <c r="K110" s="542"/>
      <c r="L110" s="543"/>
      <c r="M110" s="544"/>
      <c r="N110" s="2979"/>
      <c r="O110" s="2979"/>
      <c r="P110" s="3004"/>
      <c r="Q110" s="2965"/>
      <c r="R110" s="2951"/>
      <c r="S110" s="2951"/>
      <c r="T110" s="2951"/>
      <c r="U110" s="2951"/>
      <c r="V110" s="2951"/>
      <c r="W110" s="2951"/>
      <c r="X110" s="2951"/>
      <c r="Y110" s="2951"/>
      <c r="Z110" s="2951"/>
      <c r="AA110" s="2951"/>
      <c r="AB110" s="2951"/>
      <c r="AC110" s="2951"/>
    </row>
    <row r="111" spans="1:29" ht="15.75" thickBot="1">
      <c r="A111" s="488"/>
      <c r="B111" s="523"/>
      <c r="C111" s="514"/>
      <c r="D111" s="514"/>
      <c r="E111" s="514"/>
      <c r="F111" s="514"/>
      <c r="G111" s="545"/>
      <c r="H111" s="545"/>
      <c r="I111" s="545"/>
      <c r="J111" s="545"/>
      <c r="K111" s="545"/>
      <c r="L111" s="545"/>
      <c r="M111" s="546"/>
      <c r="N111" s="2980"/>
      <c r="O111" s="2980"/>
      <c r="P111" s="3004"/>
      <c r="Q111" s="2965"/>
      <c r="R111" s="2951"/>
      <c r="S111" s="2951"/>
      <c r="T111" s="2951"/>
      <c r="U111" s="2951"/>
      <c r="V111" s="2951"/>
      <c r="W111" s="2951"/>
      <c r="X111" s="2951"/>
      <c r="Y111" s="2951"/>
      <c r="Z111" s="2951"/>
      <c r="AA111" s="2951"/>
      <c r="AB111" s="2951"/>
      <c r="AC111" s="2951"/>
    </row>
    <row r="112" spans="1:29" ht="15" thickTop="1">
      <c r="A112" s="628"/>
      <c r="B112" s="492">
        <f>B36</f>
        <v>111</v>
      </c>
      <c r="C112" s="477"/>
      <c r="D112" s="477"/>
      <c r="E112" s="477"/>
      <c r="F112" s="477"/>
      <c r="G112" s="537"/>
      <c r="H112" s="537"/>
      <c r="I112" s="537"/>
      <c r="J112" s="537"/>
      <c r="K112" s="538"/>
      <c r="L112" s="539"/>
      <c r="M112" s="540"/>
      <c r="N112" s="2979"/>
      <c r="O112" s="2979"/>
      <c r="P112" s="3004"/>
      <c r="Q112" s="2965"/>
      <c r="R112" s="2951"/>
      <c r="S112" s="2951"/>
      <c r="T112" s="2951"/>
      <c r="U112" s="2951"/>
      <c r="V112" s="2951"/>
      <c r="W112" s="2951"/>
      <c r="X112" s="2951"/>
      <c r="Y112" s="2951"/>
      <c r="Z112" s="2951"/>
      <c r="AA112" s="2951"/>
      <c r="AB112" s="2951"/>
      <c r="AC112" s="2951"/>
    </row>
    <row r="113" spans="1:29" ht="15.75" thickBot="1">
      <c r="A113" s="488"/>
      <c r="B113" s="497"/>
      <c r="C113" s="524"/>
      <c r="D113" s="524"/>
      <c r="E113" s="524"/>
      <c r="F113" s="524"/>
      <c r="G113" s="490"/>
      <c r="H113" s="490"/>
      <c r="I113" s="490"/>
      <c r="J113" s="490"/>
      <c r="K113" s="490"/>
      <c r="L113" s="490"/>
      <c r="M113" s="491"/>
      <c r="N113" s="2980"/>
      <c r="O113" s="2980"/>
      <c r="P113" s="3004"/>
      <c r="Q113" s="2965"/>
      <c r="R113" s="2951"/>
      <c r="S113" s="2951"/>
      <c r="T113" s="2951"/>
      <c r="U113" s="2951"/>
      <c r="V113" s="2951"/>
      <c r="W113" s="2951"/>
      <c r="X113" s="2951"/>
      <c r="Y113" s="2951"/>
      <c r="Z113" s="2951"/>
      <c r="AA113" s="2951"/>
      <c r="AB113" s="2951"/>
      <c r="AC113" s="2951"/>
    </row>
    <row r="114" spans="1:29" s="427" customFormat="1" ht="15" thickTop="1">
      <c r="A114" s="547"/>
      <c r="B114" s="548">
        <f>B37</f>
        <v>111</v>
      </c>
      <c r="C114" s="549"/>
      <c r="D114" s="549"/>
      <c r="E114" s="549"/>
      <c r="F114" s="549"/>
      <c r="G114" s="549"/>
      <c r="H114" s="549"/>
      <c r="I114" s="549"/>
      <c r="J114" s="550"/>
      <c r="K114" s="550"/>
      <c r="L114" s="551"/>
      <c r="M114" s="552"/>
      <c r="N114" s="2981"/>
      <c r="O114" s="2981"/>
      <c r="P114" s="3005"/>
      <c r="Q114" s="2972"/>
      <c r="R114" s="2973"/>
      <c r="S114" s="2973"/>
      <c r="T114" s="2973"/>
      <c r="U114" s="2973"/>
      <c r="V114" s="2973"/>
      <c r="W114" s="2973"/>
      <c r="X114" s="2973"/>
      <c r="Y114" s="2973"/>
      <c r="Z114" s="2973"/>
      <c r="AA114" s="2973"/>
      <c r="AB114" s="2973"/>
      <c r="AC114" s="2973"/>
    </row>
    <row r="115" spans="1:29" s="427" customFormat="1" ht="15.75" thickBot="1">
      <c r="A115" s="507"/>
      <c r="B115" s="500"/>
      <c r="C115" s="466"/>
      <c r="D115" s="630"/>
      <c r="E115" s="630"/>
      <c r="F115" s="630"/>
      <c r="G115" s="630"/>
      <c r="H115" s="630"/>
      <c r="I115" s="630"/>
      <c r="J115" s="630"/>
      <c r="K115" s="630"/>
      <c r="L115" s="630"/>
      <c r="M115" s="652"/>
      <c r="N115" s="2980"/>
      <c r="O115" s="2980"/>
      <c r="P115" s="3005"/>
      <c r="Q115" s="2972"/>
      <c r="R115" s="2973"/>
      <c r="S115" s="2973"/>
      <c r="T115" s="2973"/>
      <c r="U115" s="2973"/>
      <c r="V115" s="2973"/>
      <c r="W115" s="2973"/>
      <c r="X115" s="2973"/>
      <c r="Y115" s="2973"/>
      <c r="Z115" s="2973"/>
      <c r="AA115" s="2973"/>
      <c r="AB115" s="2973"/>
      <c r="AC115" s="2973"/>
    </row>
    <row r="116" spans="1:29" ht="28.5">
      <c r="A116" s="481" t="s">
        <v>2359</v>
      </c>
      <c r="B116" s="482" t="s">
        <v>2587</v>
      </c>
      <c r="C116" s="483" t="str">
        <f>C117&amp;"(含)"&amp;"-"&amp;D117</f>
        <v>0(含)-50000</v>
      </c>
      <c r="D116" s="483" t="str">
        <f t="shared" ref="D116:M116" si="26">D117&amp;"(含)"&amp;"-"&amp;E117</f>
        <v>50000(含)-100000</v>
      </c>
      <c r="E116" s="483" t="str">
        <f t="shared" si="26"/>
        <v>100000(含)-150000</v>
      </c>
      <c r="F116" s="483" t="str">
        <f t="shared" si="26"/>
        <v>150000(含)-200000</v>
      </c>
      <c r="G116" s="483" t="str">
        <f t="shared" si="26"/>
        <v>200000(含)-</v>
      </c>
      <c r="H116" s="483" t="str">
        <f t="shared" si="26"/>
        <v>(含)-</v>
      </c>
      <c r="I116" s="483" t="str">
        <f t="shared" si="26"/>
        <v>(含)-</v>
      </c>
      <c r="J116" s="483" t="str">
        <f t="shared" si="26"/>
        <v>(含)-</v>
      </c>
      <c r="K116" s="483" t="str">
        <f t="shared" si="26"/>
        <v>(含)-</v>
      </c>
      <c r="L116" s="483" t="str">
        <f t="shared" si="26"/>
        <v>(含)-</v>
      </c>
      <c r="M116" s="483" t="str">
        <f t="shared" si="26"/>
        <v>(含)-</v>
      </c>
      <c r="N116" s="2979"/>
      <c r="O116" s="2979"/>
      <c r="P116" s="3004"/>
      <c r="Q116" s="2965"/>
      <c r="R116" s="2951"/>
      <c r="S116" s="2951"/>
      <c r="T116" s="2951"/>
      <c r="U116" s="2951"/>
      <c r="V116" s="2951"/>
      <c r="W116" s="2951"/>
      <c r="X116" s="2951"/>
      <c r="Y116" s="2951"/>
      <c r="Z116" s="2951"/>
      <c r="AA116" s="2951"/>
      <c r="AB116" s="2951"/>
      <c r="AC116" s="2951"/>
    </row>
    <row r="117" spans="1:29" ht="15">
      <c r="A117" s="488"/>
      <c r="B117" s="500"/>
      <c r="C117" s="549">
        <v>0</v>
      </c>
      <c r="D117" s="549">
        <v>50000</v>
      </c>
      <c r="E117" s="549">
        <v>100000</v>
      </c>
      <c r="F117" s="549">
        <v>150000</v>
      </c>
      <c r="G117" s="549">
        <v>200000</v>
      </c>
      <c r="H117" s="549"/>
      <c r="I117" s="549"/>
      <c r="J117" s="550"/>
      <c r="K117" s="550"/>
      <c r="L117" s="551"/>
      <c r="M117" s="552"/>
      <c r="N117" s="2979"/>
      <c r="O117" s="2979"/>
      <c r="P117" s="3004"/>
      <c r="Q117" s="2965"/>
      <c r="R117" s="2951"/>
      <c r="S117" s="2951"/>
      <c r="T117" s="2951"/>
      <c r="U117" s="2951"/>
      <c r="V117" s="2951"/>
      <c r="W117" s="2951"/>
      <c r="X117" s="2951"/>
      <c r="Y117" s="2951"/>
      <c r="Z117" s="2951"/>
      <c r="AA117" s="2951"/>
      <c r="AB117" s="2951"/>
      <c r="AC117" s="2951"/>
    </row>
    <row r="118" spans="1:29" ht="15.75" thickBot="1">
      <c r="A118" s="488"/>
      <c r="B118" s="497"/>
      <c r="C118" s="524">
        <v>96</v>
      </c>
      <c r="D118" s="545">
        <v>98</v>
      </c>
      <c r="E118" s="545">
        <v>100</v>
      </c>
      <c r="F118" s="545">
        <v>98</v>
      </c>
      <c r="G118" s="545">
        <v>96</v>
      </c>
      <c r="H118" s="545"/>
      <c r="I118" s="545"/>
      <c r="J118" s="545"/>
      <c r="K118" s="545"/>
      <c r="L118" s="545"/>
      <c r="M118" s="546"/>
      <c r="N118" s="2980"/>
      <c r="O118" s="2980"/>
      <c r="P118" s="3004"/>
      <c r="Q118" s="2965"/>
      <c r="R118" s="2951"/>
      <c r="S118" s="2951"/>
      <c r="T118" s="2951"/>
      <c r="U118" s="2951"/>
      <c r="V118" s="2951"/>
      <c r="W118" s="2951"/>
      <c r="X118" s="2951"/>
      <c r="Y118" s="2951"/>
      <c r="Z118" s="2951"/>
      <c r="AA118" s="2951"/>
      <c r="AB118" s="2951"/>
      <c r="AC118" s="2951"/>
    </row>
    <row r="119" spans="1:29" ht="15" thickTop="1">
      <c r="A119" s="553"/>
      <c r="B119" s="492" t="s">
        <v>2588</v>
      </c>
      <c r="C119" s="537"/>
      <c r="D119" s="537"/>
      <c r="E119" s="537"/>
      <c r="F119" s="537"/>
      <c r="G119" s="537"/>
      <c r="H119" s="537"/>
      <c r="I119" s="537"/>
      <c r="J119" s="537"/>
      <c r="K119" s="538"/>
      <c r="L119" s="539"/>
      <c r="M119" s="540"/>
      <c r="N119" s="2979"/>
      <c r="O119" s="2979"/>
      <c r="P119" s="3004"/>
      <c r="Q119" s="2965"/>
      <c r="R119" s="2951"/>
      <c r="S119" s="2951"/>
      <c r="T119" s="2951"/>
      <c r="U119" s="2951"/>
      <c r="V119" s="2951"/>
      <c r="W119" s="2951"/>
      <c r="X119" s="2951"/>
      <c r="Y119" s="2951"/>
      <c r="Z119" s="2951"/>
      <c r="AA119" s="2951"/>
      <c r="AB119" s="2951"/>
      <c r="AC119" s="2951"/>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3"/>
      <c r="B121" s="492" t="s">
        <v>2589</v>
      </c>
      <c r="C121" s="508"/>
      <c r="D121" s="508"/>
      <c r="E121" s="508"/>
      <c r="F121" s="537"/>
      <c r="G121" s="537"/>
      <c r="H121" s="537"/>
      <c r="I121" s="537"/>
      <c r="J121" s="537"/>
      <c r="K121" s="538"/>
      <c r="L121" s="539"/>
      <c r="M121" s="540"/>
      <c r="N121" s="2979"/>
      <c r="O121" s="2979"/>
      <c r="P121" s="3004"/>
      <c r="Q121" s="2965"/>
      <c r="R121" s="2951"/>
      <c r="S121" s="2951"/>
      <c r="T121" s="2951"/>
      <c r="U121" s="2951"/>
      <c r="V121" s="2951"/>
      <c r="W121" s="2951"/>
      <c r="X121" s="2951"/>
      <c r="Y121" s="2951"/>
      <c r="Z121" s="2951"/>
      <c r="AA121" s="2951"/>
      <c r="AB121" s="2951"/>
      <c r="AC121" s="2951"/>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0"/>
      <c r="O122" s="2980"/>
      <c r="P122" s="3004"/>
      <c r="Q122" s="2965"/>
      <c r="R122" s="2951"/>
      <c r="S122" s="2951"/>
      <c r="T122" s="2951"/>
      <c r="U122" s="2951"/>
      <c r="V122" s="2951"/>
      <c r="W122" s="2951"/>
      <c r="X122" s="2951"/>
      <c r="Y122" s="2951"/>
      <c r="Z122" s="2951"/>
      <c r="AA122" s="2951"/>
      <c r="AB122" s="2951"/>
      <c r="AC122" s="2951"/>
    </row>
    <row r="123" spans="1:29" s="427" customFormat="1" ht="15" thickTop="1">
      <c r="A123" s="547"/>
      <c r="B123" s="492" t="s">
        <v>2590</v>
      </c>
      <c r="C123" s="508"/>
      <c r="D123" s="508"/>
      <c r="E123" s="508"/>
      <c r="F123" s="508"/>
      <c r="G123" s="508"/>
      <c r="H123" s="537"/>
      <c r="I123" s="537"/>
      <c r="J123" s="537"/>
      <c r="K123" s="538"/>
      <c r="L123" s="539"/>
      <c r="M123" s="540"/>
      <c r="N123" s="2981"/>
      <c r="O123" s="2981"/>
      <c r="P123" s="3005"/>
      <c r="Q123" s="2972"/>
      <c r="R123" s="2973"/>
      <c r="S123" s="2973"/>
      <c r="T123" s="2973"/>
      <c r="U123" s="2973"/>
      <c r="V123" s="2973"/>
      <c r="W123" s="2973"/>
      <c r="X123" s="2973"/>
      <c r="Y123" s="2973"/>
      <c r="Z123" s="2973"/>
      <c r="AA123" s="2973"/>
      <c r="AB123" s="2973"/>
      <c r="AC123" s="2973"/>
    </row>
    <row r="124" spans="1:29" s="427" customFormat="1" ht="15.75" thickBot="1">
      <c r="A124" s="507"/>
      <c r="B124" s="497"/>
      <c r="C124" s="498">
        <v>100</v>
      </c>
      <c r="D124" s="498">
        <f>C124-$K41</f>
        <v>100</v>
      </c>
      <c r="E124" s="498">
        <f t="shared" ref="E124:M124" si="29">D124-$K41</f>
        <v>100</v>
      </c>
      <c r="F124" s="498">
        <f t="shared" si="29"/>
        <v>100</v>
      </c>
      <c r="G124" s="498">
        <f t="shared" si="29"/>
        <v>100</v>
      </c>
      <c r="H124" s="498">
        <f t="shared" si="29"/>
        <v>100</v>
      </c>
      <c r="I124" s="498">
        <f t="shared" si="29"/>
        <v>100</v>
      </c>
      <c r="J124" s="498">
        <f t="shared" si="29"/>
        <v>100</v>
      </c>
      <c r="K124" s="498">
        <f t="shared" si="29"/>
        <v>100</v>
      </c>
      <c r="L124" s="498">
        <f t="shared" si="29"/>
        <v>100</v>
      </c>
      <c r="M124" s="499">
        <f t="shared" si="29"/>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3"/>
      <c r="B125" s="492" t="s">
        <v>2591</v>
      </c>
      <c r="C125" s="508"/>
      <c r="D125" s="508"/>
      <c r="E125" s="537"/>
      <c r="F125" s="537"/>
      <c r="G125" s="537"/>
      <c r="H125" s="537"/>
      <c r="I125" s="537"/>
      <c r="J125" s="537"/>
      <c r="K125" s="538"/>
      <c r="L125" s="539"/>
      <c r="M125" s="540"/>
      <c r="N125" s="2979"/>
      <c r="O125" s="2979"/>
      <c r="P125" s="3004"/>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 t="shared" ref="D126:M126" si="30">C126-$K42</f>
        <v>100</v>
      </c>
      <c r="E126" s="498">
        <f t="shared" si="30"/>
        <v>100</v>
      </c>
      <c r="F126" s="498">
        <f t="shared" si="30"/>
        <v>100</v>
      </c>
      <c r="G126" s="498">
        <f t="shared" si="30"/>
        <v>100</v>
      </c>
      <c r="H126" s="498">
        <f t="shared" si="30"/>
        <v>100</v>
      </c>
      <c r="I126" s="498">
        <f t="shared" si="30"/>
        <v>100</v>
      </c>
      <c r="J126" s="498">
        <f t="shared" si="30"/>
        <v>100</v>
      </c>
      <c r="K126" s="498">
        <f t="shared" si="30"/>
        <v>100</v>
      </c>
      <c r="L126" s="498">
        <f t="shared" si="30"/>
        <v>100</v>
      </c>
      <c r="M126" s="499">
        <f t="shared" si="30"/>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3"/>
      <c r="B127" s="492">
        <f>B43</f>
        <v>111</v>
      </c>
      <c r="C127" s="508"/>
      <c r="D127" s="508"/>
      <c r="E127" s="508"/>
      <c r="F127" s="508"/>
      <c r="G127" s="508"/>
      <c r="H127" s="537"/>
      <c r="I127" s="537"/>
      <c r="J127" s="537"/>
      <c r="K127" s="538"/>
      <c r="L127" s="539"/>
      <c r="M127" s="540"/>
      <c r="N127" s="2979"/>
      <c r="O127" s="2979"/>
      <c r="P127" s="3004"/>
      <c r="Q127" s="2965"/>
      <c r="R127" s="2951"/>
      <c r="S127" s="2951"/>
      <c r="T127" s="2951"/>
      <c r="U127" s="2951"/>
      <c r="V127" s="2951"/>
      <c r="W127" s="2951"/>
      <c r="X127" s="2951"/>
      <c r="Y127" s="2951"/>
      <c r="Z127" s="2951"/>
      <c r="AA127" s="2951"/>
      <c r="AB127" s="2951"/>
      <c r="AC127" s="2951"/>
    </row>
    <row r="128" spans="1:29" ht="15.75" thickBot="1">
      <c r="A128" s="488"/>
      <c r="B128" s="497"/>
      <c r="C128" s="514"/>
      <c r="D128" s="514"/>
      <c r="E128" s="514"/>
      <c r="F128" s="514"/>
      <c r="G128" s="490"/>
      <c r="H128" s="490"/>
      <c r="I128" s="490"/>
      <c r="J128" s="490"/>
      <c r="K128" s="490"/>
      <c r="L128" s="490"/>
      <c r="M128" s="491"/>
      <c r="N128" s="2980"/>
      <c r="O128" s="2980"/>
      <c r="P128" s="3004"/>
      <c r="Q128" s="2965"/>
      <c r="R128" s="2951"/>
      <c r="S128" s="2951"/>
      <c r="T128" s="2951"/>
      <c r="U128" s="2951"/>
      <c r="V128" s="2951"/>
      <c r="W128" s="2951"/>
      <c r="X128" s="2951"/>
      <c r="Y128" s="2951"/>
      <c r="Z128" s="2951"/>
      <c r="AA128" s="2951"/>
      <c r="AB128" s="2951"/>
      <c r="AC128" s="2951"/>
    </row>
    <row r="129" spans="1:29" ht="15" thickTop="1">
      <c r="A129" s="553"/>
      <c r="B129" s="492">
        <f>B44</f>
        <v>111</v>
      </c>
      <c r="C129" s="477"/>
      <c r="D129" s="477"/>
      <c r="E129" s="477"/>
      <c r="F129" s="477"/>
      <c r="G129" s="537"/>
      <c r="H129" s="537"/>
      <c r="I129" s="537"/>
      <c r="J129" s="537"/>
      <c r="K129" s="538"/>
      <c r="L129" s="539"/>
      <c r="M129" s="540"/>
      <c r="N129" s="2979"/>
      <c r="O129" s="2979"/>
      <c r="P129" s="3004"/>
      <c r="Q129" s="2965"/>
      <c r="R129" s="2951"/>
      <c r="S129" s="2951"/>
      <c r="T129" s="2951"/>
      <c r="U129" s="2951"/>
      <c r="V129" s="2951"/>
      <c r="W129" s="2951"/>
      <c r="X129" s="2951"/>
      <c r="Y129" s="2951"/>
      <c r="Z129" s="2951"/>
      <c r="AA129" s="2951"/>
      <c r="AB129" s="2951"/>
      <c r="AC129" s="2951"/>
    </row>
    <row r="130" spans="1:29" ht="15.75" thickBot="1">
      <c r="A130" s="488"/>
      <c r="B130" s="497"/>
      <c r="C130" s="524"/>
      <c r="D130" s="524"/>
      <c r="E130" s="524"/>
      <c r="F130" s="524"/>
      <c r="G130" s="490"/>
      <c r="H130" s="490"/>
      <c r="I130" s="490"/>
      <c r="J130" s="490"/>
      <c r="K130" s="490"/>
      <c r="L130" s="490"/>
      <c r="M130" s="491"/>
      <c r="N130" s="2980"/>
      <c r="O130" s="2980"/>
      <c r="P130" s="3004"/>
      <c r="Q130" s="2965"/>
      <c r="R130" s="2951"/>
      <c r="S130" s="2951"/>
      <c r="T130" s="2951"/>
      <c r="U130" s="2951"/>
      <c r="V130" s="2951"/>
      <c r="W130" s="2951"/>
      <c r="X130" s="2951"/>
      <c r="Y130" s="2951"/>
      <c r="Z130" s="2951"/>
      <c r="AA130" s="2951"/>
      <c r="AB130" s="2951"/>
      <c r="AC130" s="2951"/>
    </row>
    <row r="131" spans="1:29" s="427" customFormat="1" ht="15" thickTop="1">
      <c r="A131" s="547"/>
      <c r="B131" s="492">
        <f>B45</f>
        <v>111</v>
      </c>
      <c r="C131" s="477"/>
      <c r="D131" s="477"/>
      <c r="E131" s="477"/>
      <c r="F131" s="477"/>
      <c r="G131" s="509"/>
      <c r="H131" s="509"/>
      <c r="I131" s="509"/>
      <c r="J131" s="509"/>
      <c r="K131" s="509"/>
      <c r="L131" s="510"/>
      <c r="M131" s="511"/>
      <c r="N131" s="2981"/>
      <c r="O131" s="2981"/>
      <c r="P131" s="3005"/>
      <c r="Q131" s="2972"/>
      <c r="R131" s="2973"/>
      <c r="S131" s="2973"/>
      <c r="T131" s="2973"/>
      <c r="U131" s="2973"/>
      <c r="V131" s="2973"/>
      <c r="W131" s="2973"/>
      <c r="X131" s="2973"/>
      <c r="Y131" s="2973"/>
      <c r="Z131" s="2973"/>
      <c r="AA131" s="2973"/>
      <c r="AB131" s="2973"/>
      <c r="AC131" s="2973"/>
    </row>
    <row r="132" spans="1:29" s="427" customFormat="1" ht="15.75" thickBot="1">
      <c r="A132" s="522"/>
      <c r="B132" s="653"/>
      <c r="C132" s="524"/>
      <c r="D132" s="524"/>
      <c r="E132" s="524"/>
      <c r="F132" s="524"/>
      <c r="G132" s="545"/>
      <c r="H132" s="545"/>
      <c r="I132" s="545"/>
      <c r="J132" s="545"/>
      <c r="K132" s="545"/>
      <c r="L132" s="545"/>
      <c r="M132" s="546"/>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1"/>
  <sheetViews>
    <sheetView topLeftCell="A19" zoomScale="85" zoomScaleNormal="85" workbookViewId="0">
      <selection activeCell="A11" sqref="A11:XFD11"/>
    </sheetView>
  </sheetViews>
  <sheetFormatPr defaultRowHeight="13.5"/>
  <cols>
    <col min="6" max="6" width="28.625" customWidth="1"/>
    <col min="10" max="10" width="14.5" customWidth="1"/>
  </cols>
  <sheetData>
    <row r="1" spans="1:16">
      <c r="A1" s="3078" t="s">
        <v>3069</v>
      </c>
      <c r="B1" s="3078" t="s">
        <v>3070</v>
      </c>
      <c r="C1" s="3078" t="s">
        <v>3071</v>
      </c>
      <c r="D1" s="3078" t="s">
        <v>3072</v>
      </c>
      <c r="E1" s="3078" t="s">
        <v>3073</v>
      </c>
      <c r="F1" s="3078" t="s">
        <v>3074</v>
      </c>
      <c r="G1" s="3078" t="s">
        <v>3075</v>
      </c>
      <c r="H1" s="3078" t="s">
        <v>3076</v>
      </c>
      <c r="I1" s="3078" t="s">
        <v>3077</v>
      </c>
      <c r="J1" s="3078" t="s">
        <v>3078</v>
      </c>
      <c r="K1" s="3078" t="s">
        <v>3079</v>
      </c>
      <c r="L1" s="3078" t="s">
        <v>3080</v>
      </c>
      <c r="M1" s="3078" t="s">
        <v>3081</v>
      </c>
      <c r="N1" s="3078" t="s">
        <v>3082</v>
      </c>
      <c r="O1" s="3078" t="s">
        <v>3083</v>
      </c>
      <c r="P1" s="3078" t="s">
        <v>3084</v>
      </c>
    </row>
    <row r="2" spans="1:16">
      <c r="A2" s="3078" t="s">
        <v>3085</v>
      </c>
      <c r="B2" s="3078" t="s">
        <v>3086</v>
      </c>
      <c r="C2" s="3078" t="s">
        <v>3087</v>
      </c>
      <c r="D2" s="3078">
        <v>11746.2</v>
      </c>
      <c r="E2" s="3078">
        <v>35238.6</v>
      </c>
      <c r="F2" s="3078" t="s">
        <v>3088</v>
      </c>
      <c r="G2" s="3078" t="s">
        <v>3089</v>
      </c>
      <c r="H2" s="3078" t="s">
        <v>3090</v>
      </c>
      <c r="I2" s="3078" t="s">
        <v>3091</v>
      </c>
      <c r="J2" s="3078" t="s">
        <v>3091</v>
      </c>
      <c r="K2" s="3078">
        <v>23600</v>
      </c>
      <c r="L2" s="3078">
        <v>28700</v>
      </c>
      <c r="M2" s="3078">
        <v>8144.47</v>
      </c>
      <c r="N2" s="3078">
        <v>21.61</v>
      </c>
      <c r="O2" s="3078" t="s">
        <v>3092</v>
      </c>
      <c r="P2" s="3078" t="s">
        <v>3093</v>
      </c>
    </row>
    <row r="3" spans="1:16">
      <c r="A3" s="3078" t="s">
        <v>3094</v>
      </c>
      <c r="B3" s="3078" t="s">
        <v>3086</v>
      </c>
      <c r="C3" s="3078" t="s">
        <v>3087</v>
      </c>
      <c r="D3" s="3078">
        <v>3867.59</v>
      </c>
      <c r="E3" s="3078">
        <v>7735.18</v>
      </c>
      <c r="F3" s="3078" t="s">
        <v>3095</v>
      </c>
      <c r="G3" s="3078" t="s">
        <v>3089</v>
      </c>
      <c r="H3" s="3078" t="s">
        <v>3090</v>
      </c>
      <c r="I3" s="3078" t="s">
        <v>3091</v>
      </c>
      <c r="J3" s="3078" t="s">
        <v>3091</v>
      </c>
      <c r="K3" s="3078">
        <v>4900</v>
      </c>
      <c r="L3" s="3078">
        <v>5200</v>
      </c>
      <c r="M3" s="3078">
        <v>6722.52</v>
      </c>
      <c r="N3" s="3078">
        <v>6.12</v>
      </c>
      <c r="O3" s="3078" t="s">
        <v>3092</v>
      </c>
      <c r="P3" s="3078" t="s">
        <v>3093</v>
      </c>
    </row>
    <row r="4" spans="1:16" s="3082" customFormat="1">
      <c r="A4" s="3081" t="s">
        <v>3096</v>
      </c>
      <c r="B4" s="3081" t="s">
        <v>3086</v>
      </c>
      <c r="C4" s="3081" t="s">
        <v>3087</v>
      </c>
      <c r="D4" s="3081">
        <v>27350.639999999999</v>
      </c>
      <c r="E4" s="3081">
        <v>76855.3</v>
      </c>
      <c r="F4" s="3081" t="s">
        <v>3097</v>
      </c>
      <c r="G4" s="3081" t="s">
        <v>3089</v>
      </c>
      <c r="H4" s="3081" t="s">
        <v>3098</v>
      </c>
      <c r="I4" s="3081" t="s">
        <v>3099</v>
      </c>
      <c r="J4" s="3081" t="s">
        <v>3099</v>
      </c>
      <c r="K4" s="3081">
        <v>94300</v>
      </c>
      <c r="L4" s="3081">
        <v>122500</v>
      </c>
      <c r="M4" s="3081">
        <v>15939.04</v>
      </c>
      <c r="N4" s="3081">
        <v>29.9</v>
      </c>
      <c r="O4" s="3081" t="s">
        <v>3100</v>
      </c>
      <c r="P4" s="3081" t="s">
        <v>3093</v>
      </c>
    </row>
    <row r="5" spans="1:16">
      <c r="A5" s="3078" t="s">
        <v>3101</v>
      </c>
      <c r="B5" s="3078" t="s">
        <v>3086</v>
      </c>
      <c r="C5" s="3078" t="s">
        <v>3087</v>
      </c>
      <c r="D5" s="3078">
        <v>24496.54</v>
      </c>
      <c r="E5" s="3078">
        <v>61241.35</v>
      </c>
      <c r="F5" s="3078" t="s">
        <v>3102</v>
      </c>
      <c r="G5" s="3078" t="s">
        <v>3089</v>
      </c>
      <c r="H5" s="3078" t="s">
        <v>3103</v>
      </c>
      <c r="I5" s="3078" t="s">
        <v>3104</v>
      </c>
      <c r="J5" s="3078" t="s">
        <v>3104</v>
      </c>
      <c r="K5" s="3078">
        <v>23900</v>
      </c>
      <c r="L5" s="3078">
        <v>32600</v>
      </c>
      <c r="M5" s="3078">
        <v>5323.19</v>
      </c>
      <c r="N5" s="3078">
        <v>36.4</v>
      </c>
      <c r="O5" s="3078" t="s">
        <v>3105</v>
      </c>
      <c r="P5" s="3078" t="s">
        <v>3106</v>
      </c>
    </row>
    <row r="6" spans="1:16">
      <c r="A6" s="3078" t="s">
        <v>3107</v>
      </c>
      <c r="B6" s="3078" t="s">
        <v>3086</v>
      </c>
      <c r="C6" s="3078" t="s">
        <v>3087</v>
      </c>
      <c r="D6" s="3078">
        <v>23166.57</v>
      </c>
      <c r="E6" s="3078">
        <v>67183.05</v>
      </c>
      <c r="F6" s="3078" t="s">
        <v>3108</v>
      </c>
      <c r="G6" s="3078" t="s">
        <v>3089</v>
      </c>
      <c r="H6" s="3078" t="s">
        <v>3109</v>
      </c>
      <c r="I6" s="3078" t="s">
        <v>3110</v>
      </c>
      <c r="J6" s="3078" t="s">
        <v>3110</v>
      </c>
      <c r="K6" s="3078">
        <v>26300</v>
      </c>
      <c r="L6" s="3078">
        <v>35900</v>
      </c>
      <c r="M6" s="3078">
        <v>5343.6</v>
      </c>
      <c r="N6" s="3078">
        <v>36.5</v>
      </c>
      <c r="O6" s="3078" t="s">
        <v>3092</v>
      </c>
      <c r="P6" s="3078" t="s">
        <v>3106</v>
      </c>
    </row>
    <row r="7" spans="1:16">
      <c r="A7" s="3078" t="s">
        <v>3111</v>
      </c>
      <c r="B7" s="3078" t="s">
        <v>3086</v>
      </c>
      <c r="C7" s="3078" t="s">
        <v>3087</v>
      </c>
      <c r="D7" s="3078">
        <v>78075.77</v>
      </c>
      <c r="E7" s="3078">
        <v>156151.54</v>
      </c>
      <c r="F7" s="3078" t="s">
        <v>3112</v>
      </c>
      <c r="G7" s="3078" t="s">
        <v>3089</v>
      </c>
      <c r="H7" s="3078" t="s">
        <v>3113</v>
      </c>
      <c r="I7" s="3078" t="s">
        <v>3114</v>
      </c>
      <c r="J7" s="3078" t="s">
        <v>3114</v>
      </c>
      <c r="K7" s="3078">
        <v>17200</v>
      </c>
      <c r="L7" s="3078">
        <v>17200</v>
      </c>
      <c r="M7" s="3078">
        <v>1101.49</v>
      </c>
      <c r="N7" s="3078">
        <v>0</v>
      </c>
      <c r="O7" s="3078" t="s">
        <v>3115</v>
      </c>
      <c r="P7" s="3078" t="s">
        <v>3116</v>
      </c>
    </row>
    <row r="8" spans="1:16">
      <c r="A8" s="3078" t="s">
        <v>3117</v>
      </c>
      <c r="B8" s="3078" t="s">
        <v>3086</v>
      </c>
      <c r="C8" s="3078" t="s">
        <v>3087</v>
      </c>
      <c r="D8" s="3078">
        <v>47989.71</v>
      </c>
      <c r="E8" s="3078">
        <v>170843.37</v>
      </c>
      <c r="F8" s="3078" t="s">
        <v>3118</v>
      </c>
      <c r="G8" s="3078" t="s">
        <v>3089</v>
      </c>
      <c r="H8" s="3078" t="s">
        <v>3119</v>
      </c>
      <c r="I8" s="3078" t="s">
        <v>3120</v>
      </c>
      <c r="J8" s="3078" t="s">
        <v>3120</v>
      </c>
      <c r="K8" s="3078">
        <v>127000</v>
      </c>
      <c r="L8" s="3078">
        <v>145600</v>
      </c>
      <c r="M8" s="3078">
        <v>8522.43</v>
      </c>
      <c r="N8" s="3078">
        <v>14.65</v>
      </c>
      <c r="O8" s="3078" t="s">
        <v>3121</v>
      </c>
      <c r="P8" s="3078" t="s">
        <v>3093</v>
      </c>
    </row>
    <row r="9" spans="1:16">
      <c r="A9" s="3078" t="s">
        <v>3122</v>
      </c>
      <c r="B9" s="3078" t="s">
        <v>3086</v>
      </c>
      <c r="C9" s="3078" t="s">
        <v>3087</v>
      </c>
      <c r="D9" s="3078">
        <v>10091.92</v>
      </c>
      <c r="E9" s="3078">
        <v>19174.650000000001</v>
      </c>
      <c r="F9" s="3078" t="s">
        <v>3123</v>
      </c>
      <c r="G9" s="3078" t="s">
        <v>3089</v>
      </c>
      <c r="H9" s="3078" t="s">
        <v>3119</v>
      </c>
      <c r="I9" s="3078" t="s">
        <v>3124</v>
      </c>
      <c r="J9" s="3078" t="s">
        <v>3124</v>
      </c>
      <c r="K9" s="3078">
        <v>6000</v>
      </c>
      <c r="L9" s="3078">
        <v>7200</v>
      </c>
      <c r="M9" s="3078">
        <v>3754.96</v>
      </c>
      <c r="N9" s="3078">
        <v>20</v>
      </c>
      <c r="O9" s="3078" t="s">
        <v>3125</v>
      </c>
      <c r="P9" s="3078" t="s">
        <v>3116</v>
      </c>
    </row>
    <row r="10" spans="1:16">
      <c r="A10" s="3078" t="s">
        <v>3117</v>
      </c>
      <c r="B10" s="3078" t="s">
        <v>3086</v>
      </c>
      <c r="C10" s="3078" t="s">
        <v>3087</v>
      </c>
      <c r="D10" s="3078">
        <v>12244</v>
      </c>
      <c r="E10" s="3078">
        <v>34405.64</v>
      </c>
      <c r="F10" s="3078" t="s">
        <v>3126</v>
      </c>
      <c r="G10" s="3078" t="s">
        <v>3089</v>
      </c>
      <c r="H10" s="3078" t="s">
        <v>3119</v>
      </c>
      <c r="I10" s="3078" t="s">
        <v>3127</v>
      </c>
      <c r="J10" s="3078" t="s">
        <v>3127</v>
      </c>
      <c r="K10" s="3078">
        <v>55050</v>
      </c>
      <c r="L10" s="3078">
        <v>71550</v>
      </c>
      <c r="M10" s="3078">
        <v>20796</v>
      </c>
      <c r="N10" s="3078">
        <v>29.97</v>
      </c>
      <c r="O10" s="3078" t="s">
        <v>3128</v>
      </c>
      <c r="P10" s="3078" t="s">
        <v>3093</v>
      </c>
    </row>
    <row r="11" spans="1:16" s="3082" customFormat="1">
      <c r="A11" s="3081" t="s">
        <v>3129</v>
      </c>
      <c r="B11" s="3081" t="s">
        <v>3086</v>
      </c>
      <c r="C11" s="3081" t="s">
        <v>3087</v>
      </c>
      <c r="D11" s="3081">
        <v>48728.55</v>
      </c>
      <c r="E11" s="3081">
        <v>136439.94</v>
      </c>
      <c r="F11" s="3081" t="s">
        <v>3130</v>
      </c>
      <c r="G11" s="3081" t="s">
        <v>3089</v>
      </c>
      <c r="H11" s="3081" t="s">
        <v>3131</v>
      </c>
      <c r="I11" s="3081" t="s">
        <v>3132</v>
      </c>
      <c r="J11" s="3081" t="s">
        <v>3132</v>
      </c>
      <c r="K11" s="3081">
        <v>240000</v>
      </c>
      <c r="L11" s="3081">
        <v>360000</v>
      </c>
      <c r="M11" s="3081">
        <v>26385.24</v>
      </c>
      <c r="N11" s="3081">
        <v>50</v>
      </c>
      <c r="O11" s="3081" t="s">
        <v>3133</v>
      </c>
      <c r="P11" s="3081" t="s">
        <v>3093</v>
      </c>
    </row>
    <row r="12" spans="1:16">
      <c r="A12" s="3078" t="s">
        <v>3134</v>
      </c>
      <c r="B12" s="3078" t="s">
        <v>3086</v>
      </c>
      <c r="C12" s="3078" t="s">
        <v>3087</v>
      </c>
      <c r="D12" s="3078">
        <v>135834</v>
      </c>
      <c r="E12" s="3078">
        <v>475419</v>
      </c>
      <c r="F12" s="3078" t="s">
        <v>3135</v>
      </c>
      <c r="G12" s="3078" t="s">
        <v>3089</v>
      </c>
      <c r="H12" s="3078" t="s">
        <v>3136</v>
      </c>
      <c r="I12" s="3078" t="s">
        <v>3137</v>
      </c>
      <c r="J12" s="3078" t="s">
        <v>3137</v>
      </c>
      <c r="K12" s="3078">
        <v>552800</v>
      </c>
      <c r="L12" s="3078">
        <v>552800</v>
      </c>
      <c r="M12" s="3078">
        <v>11627.63</v>
      </c>
      <c r="N12" s="3078">
        <v>0</v>
      </c>
      <c r="O12" s="3078" t="s">
        <v>3138</v>
      </c>
      <c r="P12" s="3078" t="s">
        <v>3116</v>
      </c>
    </row>
    <row r="13" spans="1:16">
      <c r="A13" s="3078" t="s">
        <v>3139</v>
      </c>
      <c r="B13" s="3078" t="s">
        <v>3086</v>
      </c>
      <c r="C13" s="3078" t="s">
        <v>3087</v>
      </c>
      <c r="D13" s="3078">
        <v>8617</v>
      </c>
      <c r="E13" s="3078">
        <v>27574.400000000001</v>
      </c>
      <c r="F13" s="3078" t="s">
        <v>3140</v>
      </c>
      <c r="G13" s="3078" t="s">
        <v>3089</v>
      </c>
      <c r="H13" s="3078" t="s">
        <v>3141</v>
      </c>
      <c r="I13" s="3078" t="s">
        <v>3142</v>
      </c>
      <c r="J13" s="3078" t="s">
        <v>3142</v>
      </c>
      <c r="K13" s="3078">
        <v>19400</v>
      </c>
      <c r="L13" s="3078">
        <v>19400</v>
      </c>
      <c r="M13" s="3078">
        <v>7035.51</v>
      </c>
      <c r="N13" s="3078">
        <v>0</v>
      </c>
      <c r="O13" s="3078" t="s">
        <v>3092</v>
      </c>
      <c r="P13" s="3078" t="s">
        <v>3093</v>
      </c>
    </row>
    <row r="14" spans="1:16">
      <c r="A14" s="3078" t="s">
        <v>3143</v>
      </c>
      <c r="B14" s="3078" t="s">
        <v>3086</v>
      </c>
      <c r="C14" s="3078" t="s">
        <v>3087</v>
      </c>
      <c r="D14" s="3078">
        <v>24058.32</v>
      </c>
      <c r="E14" s="3078">
        <v>79807</v>
      </c>
      <c r="F14" s="3078" t="s">
        <v>3144</v>
      </c>
      <c r="G14" s="3078" t="s">
        <v>3089</v>
      </c>
      <c r="H14" s="3078" t="s">
        <v>3145</v>
      </c>
      <c r="I14" s="3078" t="s">
        <v>3146</v>
      </c>
      <c r="J14" s="3078" t="s">
        <v>3146</v>
      </c>
      <c r="K14" s="3078">
        <v>58670</v>
      </c>
      <c r="L14" s="3078">
        <v>58970</v>
      </c>
      <c r="M14" s="3078">
        <v>7389.07</v>
      </c>
      <c r="N14" s="3078">
        <v>0.51</v>
      </c>
      <c r="O14" s="3078" t="s">
        <v>3147</v>
      </c>
      <c r="P14" s="3078" t="s">
        <v>3093</v>
      </c>
    </row>
    <row r="15" spans="1:16">
      <c r="A15" s="3078" t="s">
        <v>3148</v>
      </c>
      <c r="B15" s="3078" t="s">
        <v>3086</v>
      </c>
      <c r="C15" s="3078" t="s">
        <v>3087</v>
      </c>
      <c r="D15" s="3078">
        <v>88662.13</v>
      </c>
      <c r="E15" s="3078">
        <v>265986.39</v>
      </c>
      <c r="F15" s="3078" t="s">
        <v>3149</v>
      </c>
      <c r="G15" s="3078" t="s">
        <v>3089</v>
      </c>
      <c r="H15" s="3078" t="s">
        <v>3150</v>
      </c>
      <c r="I15" s="3078" t="s">
        <v>3151</v>
      </c>
      <c r="J15" s="3078" t="s">
        <v>3151</v>
      </c>
      <c r="K15" s="3078">
        <v>432200</v>
      </c>
      <c r="L15" s="3078">
        <v>486200</v>
      </c>
      <c r="M15" s="3078">
        <v>18279.13</v>
      </c>
      <c r="N15" s="3078">
        <v>12.49</v>
      </c>
      <c r="O15" s="3078" t="s">
        <v>3152</v>
      </c>
      <c r="P15" s="3078" t="s">
        <v>3116</v>
      </c>
    </row>
    <row r="16" spans="1:16">
      <c r="A16" s="3078" t="s">
        <v>3122</v>
      </c>
      <c r="B16" s="3078" t="s">
        <v>3086</v>
      </c>
      <c r="C16" s="3078" t="s">
        <v>3087</v>
      </c>
      <c r="D16" s="3078">
        <v>14905.25</v>
      </c>
      <c r="E16" s="3078">
        <v>46206.3</v>
      </c>
      <c r="F16" s="3078" t="s">
        <v>3153</v>
      </c>
      <c r="G16" s="3078" t="s">
        <v>3089</v>
      </c>
      <c r="H16" s="3078" t="s">
        <v>3154</v>
      </c>
      <c r="I16" s="3078" t="s">
        <v>3155</v>
      </c>
      <c r="J16" s="3078" t="s">
        <v>3155</v>
      </c>
      <c r="K16" s="3078">
        <v>19400</v>
      </c>
      <c r="L16" s="3078">
        <v>21800</v>
      </c>
      <c r="M16" s="3078">
        <v>4717.97</v>
      </c>
      <c r="N16" s="3078">
        <v>12.37</v>
      </c>
      <c r="O16" s="3078" t="s">
        <v>3156</v>
      </c>
      <c r="P16" s="3078" t="s">
        <v>3116</v>
      </c>
    </row>
    <row r="17" spans="1:16">
      <c r="A17" s="3078" t="s">
        <v>3157</v>
      </c>
      <c r="B17" s="3078" t="s">
        <v>3086</v>
      </c>
      <c r="C17" s="3078" t="s">
        <v>3087</v>
      </c>
      <c r="D17" s="3078">
        <v>15410.41</v>
      </c>
      <c r="E17" s="3078">
        <v>46231.23</v>
      </c>
      <c r="F17" s="3078" t="s">
        <v>3158</v>
      </c>
      <c r="G17" s="3078" t="s">
        <v>3089</v>
      </c>
      <c r="H17" s="3078" t="s">
        <v>3159</v>
      </c>
      <c r="I17" s="3078" t="s">
        <v>3155</v>
      </c>
      <c r="J17" s="3078" t="s">
        <v>3155</v>
      </c>
      <c r="K17" s="3078">
        <v>19400</v>
      </c>
      <c r="L17" s="3078">
        <v>19400</v>
      </c>
      <c r="M17" s="3078">
        <v>4196.3</v>
      </c>
      <c r="N17" s="3078">
        <v>0</v>
      </c>
      <c r="O17" s="3078" t="s">
        <v>3160</v>
      </c>
      <c r="P17" s="3078" t="s">
        <v>3116</v>
      </c>
    </row>
    <row r="18" spans="1:16">
      <c r="A18" s="3078" t="s">
        <v>3122</v>
      </c>
      <c r="B18" s="3078" t="s">
        <v>3086</v>
      </c>
      <c r="C18" s="3078" t="s">
        <v>3161</v>
      </c>
      <c r="D18" s="3078">
        <v>61496</v>
      </c>
      <c r="E18" s="3078">
        <v>147590</v>
      </c>
      <c r="F18" s="3078" t="s">
        <v>3162</v>
      </c>
      <c r="G18" s="3078" t="s">
        <v>3089</v>
      </c>
      <c r="H18" s="3078" t="s">
        <v>3163</v>
      </c>
      <c r="I18" s="3078" t="s">
        <v>3164</v>
      </c>
      <c r="J18" s="3078" t="s">
        <v>3164</v>
      </c>
      <c r="K18" s="3078">
        <v>117800</v>
      </c>
      <c r="L18" s="3078">
        <v>129800</v>
      </c>
      <c r="M18" s="3078">
        <v>8794.6200000000008</v>
      </c>
      <c r="N18" s="3078">
        <v>10.19</v>
      </c>
      <c r="O18" s="3078" t="s">
        <v>3165</v>
      </c>
      <c r="P18" s="3078" t="s">
        <v>3116</v>
      </c>
    </row>
    <row r="19" spans="1:16">
      <c r="A19" s="3078" t="s">
        <v>3166</v>
      </c>
      <c r="B19" s="3078" t="s">
        <v>3086</v>
      </c>
      <c r="C19" s="3078" t="s">
        <v>3087</v>
      </c>
      <c r="D19" s="3078">
        <v>11827.97</v>
      </c>
      <c r="E19" s="3078">
        <v>35483.730000000003</v>
      </c>
      <c r="F19" s="3078" t="s">
        <v>3149</v>
      </c>
      <c r="G19" s="3078" t="s">
        <v>3089</v>
      </c>
      <c r="H19" s="3078" t="s">
        <v>3141</v>
      </c>
      <c r="I19" s="3078" t="s">
        <v>3167</v>
      </c>
      <c r="J19" s="3078" t="s">
        <v>3167</v>
      </c>
      <c r="K19" s="3078">
        <v>55200</v>
      </c>
      <c r="L19" s="3078">
        <v>55200</v>
      </c>
      <c r="M19" s="3078">
        <v>15556.43</v>
      </c>
      <c r="N19" s="3078">
        <v>0</v>
      </c>
      <c r="O19" s="3078" t="s">
        <v>3168</v>
      </c>
      <c r="P19" s="3078" t="s">
        <v>3093</v>
      </c>
    </row>
    <row r="20" spans="1:16" s="3080" customFormat="1">
      <c r="A20" s="3079" t="s">
        <v>3169</v>
      </c>
      <c r="B20" s="3079" t="s">
        <v>3086</v>
      </c>
      <c r="C20" s="3079" t="s">
        <v>3087</v>
      </c>
      <c r="D20" s="3079">
        <v>52090</v>
      </c>
      <c r="E20" s="3079">
        <v>182805</v>
      </c>
      <c r="F20" s="3079" t="s">
        <v>3170</v>
      </c>
      <c r="G20" s="3079" t="s">
        <v>3089</v>
      </c>
      <c r="H20" s="3079" t="s">
        <v>3171</v>
      </c>
      <c r="I20" s="3079" t="s">
        <v>3167</v>
      </c>
      <c r="J20" s="3079" t="s">
        <v>3167</v>
      </c>
      <c r="K20" s="3079">
        <v>293200</v>
      </c>
      <c r="L20" s="3079">
        <v>371600</v>
      </c>
      <c r="M20" s="3079">
        <v>20327.66</v>
      </c>
      <c r="N20" s="3079">
        <v>26.74</v>
      </c>
      <c r="O20" s="3079" t="s">
        <v>3172</v>
      </c>
      <c r="P20" s="3079" t="s">
        <v>3093</v>
      </c>
    </row>
    <row r="21" spans="1:16">
      <c r="A21" s="3078" t="s">
        <v>3173</v>
      </c>
      <c r="B21" s="3078" t="s">
        <v>3086</v>
      </c>
      <c r="C21" s="3078" t="s">
        <v>3087</v>
      </c>
      <c r="D21" s="3078">
        <v>22723.66</v>
      </c>
      <c r="E21" s="3078">
        <v>54536.78</v>
      </c>
      <c r="F21" s="3078" t="s">
        <v>3174</v>
      </c>
      <c r="G21" s="3078" t="s">
        <v>3089</v>
      </c>
      <c r="H21" s="3078" t="s">
        <v>3175</v>
      </c>
      <c r="I21" s="3078" t="s">
        <v>3176</v>
      </c>
      <c r="J21" s="3078" t="s">
        <v>3176</v>
      </c>
      <c r="K21" s="3078">
        <v>18200</v>
      </c>
      <c r="L21" s="3078">
        <v>18200</v>
      </c>
      <c r="M21" s="3078">
        <v>3337.19</v>
      </c>
      <c r="N21" s="3078">
        <v>0</v>
      </c>
      <c r="O21" s="3078" t="s">
        <v>3092</v>
      </c>
      <c r="P21" s="3078" t="s">
        <v>3116</v>
      </c>
    </row>
    <row r="22" spans="1:16">
      <c r="A22" s="3078" t="s">
        <v>3177</v>
      </c>
      <c r="B22" s="3078" t="s">
        <v>3086</v>
      </c>
      <c r="C22" s="3078" t="s">
        <v>3161</v>
      </c>
      <c r="D22" s="3078">
        <v>19793.25</v>
      </c>
      <c r="E22" s="3078">
        <v>59379.75</v>
      </c>
      <c r="F22" s="3078" t="s">
        <v>3178</v>
      </c>
      <c r="G22" s="3078" t="s">
        <v>3089</v>
      </c>
      <c r="H22" s="3078" t="s">
        <v>3179</v>
      </c>
      <c r="I22" s="3078" t="s">
        <v>3180</v>
      </c>
      <c r="J22" s="3078" t="s">
        <v>3180</v>
      </c>
      <c r="K22" s="3078">
        <v>24800</v>
      </c>
      <c r="L22" s="3078">
        <v>24800</v>
      </c>
      <c r="M22" s="3078">
        <v>4176.51</v>
      </c>
      <c r="N22" s="3078">
        <v>0</v>
      </c>
      <c r="O22" s="3078" t="s">
        <v>3121</v>
      </c>
      <c r="P22" s="3078" t="s">
        <v>3116</v>
      </c>
    </row>
    <row r="23" spans="1:16">
      <c r="A23" s="3078" t="s">
        <v>3181</v>
      </c>
      <c r="B23" s="3078" t="s">
        <v>3086</v>
      </c>
      <c r="C23" s="3078" t="s">
        <v>3087</v>
      </c>
      <c r="D23" s="3078">
        <v>57780.13</v>
      </c>
      <c r="E23" s="3078">
        <v>167562.38</v>
      </c>
      <c r="F23" s="3078" t="s">
        <v>3182</v>
      </c>
      <c r="G23" s="3078" t="s">
        <v>3089</v>
      </c>
      <c r="H23" s="3078" t="s">
        <v>3131</v>
      </c>
      <c r="I23" s="3078" t="s">
        <v>3183</v>
      </c>
      <c r="J23" s="3078" t="s">
        <v>3183</v>
      </c>
      <c r="K23" s="3078">
        <v>207200</v>
      </c>
      <c r="L23" s="3078">
        <v>254200</v>
      </c>
      <c r="M23" s="3078">
        <v>15170.46</v>
      </c>
      <c r="N23" s="3078">
        <v>22.68</v>
      </c>
      <c r="O23" s="3078" t="s">
        <v>3184</v>
      </c>
      <c r="P23" s="3078" t="s">
        <v>3116</v>
      </c>
    </row>
    <row r="24" spans="1:16">
      <c r="A24" s="3078" t="s">
        <v>3185</v>
      </c>
      <c r="B24" s="3078" t="s">
        <v>3086</v>
      </c>
      <c r="C24" s="3078" t="s">
        <v>3087</v>
      </c>
      <c r="D24" s="3078">
        <v>12223.4</v>
      </c>
      <c r="E24" s="3078">
        <v>36670.199999999997</v>
      </c>
      <c r="F24" s="3078" t="s">
        <v>3178</v>
      </c>
      <c r="G24" s="3078" t="s">
        <v>3089</v>
      </c>
      <c r="H24" s="3078" t="s">
        <v>3141</v>
      </c>
      <c r="I24" s="3078" t="s">
        <v>3186</v>
      </c>
      <c r="J24" s="3078" t="s">
        <v>3186</v>
      </c>
      <c r="K24" s="3078">
        <v>25700</v>
      </c>
      <c r="L24" s="3078">
        <v>25700</v>
      </c>
      <c r="M24" s="3078">
        <v>7008.42</v>
      </c>
      <c r="N24" s="3078">
        <v>0</v>
      </c>
      <c r="O24" s="3078" t="s">
        <v>3092</v>
      </c>
      <c r="P24" s="3078" t="s">
        <v>3093</v>
      </c>
    </row>
    <row r="25" spans="1:16">
      <c r="A25" s="3078" t="s">
        <v>3187</v>
      </c>
      <c r="B25" s="3078" t="s">
        <v>3086</v>
      </c>
      <c r="C25" s="3078" t="s">
        <v>3087</v>
      </c>
      <c r="D25" s="3078">
        <v>30236.38</v>
      </c>
      <c r="E25" s="3078">
        <v>84964.23</v>
      </c>
      <c r="F25" s="3078" t="s">
        <v>3188</v>
      </c>
      <c r="G25" s="3078" t="s">
        <v>3089</v>
      </c>
      <c r="H25" s="3078" t="s">
        <v>3119</v>
      </c>
      <c r="I25" s="3078" t="s">
        <v>3189</v>
      </c>
      <c r="J25" s="3078" t="s">
        <v>3189</v>
      </c>
      <c r="K25" s="3078">
        <v>86300</v>
      </c>
      <c r="L25" s="3078">
        <v>112300</v>
      </c>
      <c r="M25" s="3078">
        <v>13217.32</v>
      </c>
      <c r="N25" s="3078">
        <v>30.13</v>
      </c>
      <c r="O25" s="3078" t="s">
        <v>3190</v>
      </c>
      <c r="P25" s="3078" t="s">
        <v>3093</v>
      </c>
    </row>
    <row r="26" spans="1:16">
      <c r="A26" s="3078" t="s">
        <v>3191</v>
      </c>
      <c r="B26" s="3078" t="s">
        <v>3086</v>
      </c>
      <c r="C26" s="3078" t="s">
        <v>3087</v>
      </c>
      <c r="D26" s="3078">
        <v>42894.48</v>
      </c>
      <c r="E26" s="3078">
        <v>94367.86</v>
      </c>
      <c r="F26" s="3078" t="s">
        <v>3192</v>
      </c>
      <c r="G26" s="3078" t="s">
        <v>3089</v>
      </c>
      <c r="H26" s="3078" t="s">
        <v>3193</v>
      </c>
      <c r="I26" s="3078" t="s">
        <v>3194</v>
      </c>
      <c r="J26" s="3078" t="s">
        <v>3194</v>
      </c>
      <c r="K26" s="3078">
        <v>40900</v>
      </c>
      <c r="L26" s="3078">
        <v>52900</v>
      </c>
      <c r="M26" s="3078">
        <v>5605.72</v>
      </c>
      <c r="N26" s="3078">
        <v>29.34</v>
      </c>
      <c r="O26" s="3078" t="s">
        <v>3121</v>
      </c>
      <c r="P26" s="3078" t="s">
        <v>3106</v>
      </c>
    </row>
    <row r="27" spans="1:16" s="3080" customFormat="1">
      <c r="A27" s="3079" t="s">
        <v>3195</v>
      </c>
      <c r="B27" s="3079" t="s">
        <v>3086</v>
      </c>
      <c r="C27" s="3079" t="s">
        <v>3087</v>
      </c>
      <c r="D27" s="3079">
        <v>21190.9</v>
      </c>
      <c r="E27" s="3079">
        <v>38143.800000000003</v>
      </c>
      <c r="F27" s="3079" t="s">
        <v>3196</v>
      </c>
      <c r="G27" s="3079" t="s">
        <v>3089</v>
      </c>
      <c r="H27" s="3079" t="s">
        <v>3119</v>
      </c>
      <c r="I27" s="3079" t="s">
        <v>3197</v>
      </c>
      <c r="J27" s="3079" t="s">
        <v>3197</v>
      </c>
      <c r="K27" s="3079">
        <v>51900</v>
      </c>
      <c r="L27" s="3079">
        <v>64800</v>
      </c>
      <c r="M27" s="3079">
        <v>16988.34</v>
      </c>
      <c r="N27" s="3079">
        <v>24.86</v>
      </c>
      <c r="O27" s="3079" t="s">
        <v>3198</v>
      </c>
      <c r="P27" s="3079" t="s">
        <v>3116</v>
      </c>
    </row>
    <row r="28" spans="1:16">
      <c r="A28" s="3078" t="s">
        <v>3199</v>
      </c>
      <c r="B28" s="3078" t="s">
        <v>3086</v>
      </c>
      <c r="C28" s="3078" t="s">
        <v>3087</v>
      </c>
      <c r="D28" s="3078">
        <v>69331.69</v>
      </c>
      <c r="E28" s="3078">
        <v>214929.2</v>
      </c>
      <c r="F28" s="3078" t="s">
        <v>3200</v>
      </c>
      <c r="G28" s="3078" t="s">
        <v>3089</v>
      </c>
      <c r="H28" s="3078" t="s">
        <v>3201</v>
      </c>
      <c r="I28" s="3078" t="s">
        <v>3202</v>
      </c>
      <c r="J28" s="3078" t="s">
        <v>3202</v>
      </c>
      <c r="K28" s="3078">
        <v>325700</v>
      </c>
      <c r="L28" s="3078">
        <v>367700</v>
      </c>
      <c r="M28" s="3078">
        <v>17107.95</v>
      </c>
      <c r="N28" s="3078">
        <v>12.9</v>
      </c>
      <c r="O28" s="3078" t="s">
        <v>3203</v>
      </c>
      <c r="P28" s="3078" t="s">
        <v>3093</v>
      </c>
    </row>
    <row r="29" spans="1:16">
      <c r="A29" s="3078" t="s">
        <v>3204</v>
      </c>
      <c r="B29" s="3078" t="s">
        <v>3086</v>
      </c>
      <c r="C29" s="3078" t="s">
        <v>3087</v>
      </c>
      <c r="D29" s="3078">
        <v>53295</v>
      </c>
      <c r="E29" s="3078">
        <v>168055</v>
      </c>
      <c r="F29" s="3078" t="s">
        <v>3205</v>
      </c>
      <c r="G29" s="3078" t="s">
        <v>3089</v>
      </c>
      <c r="H29" s="3078" t="s">
        <v>3119</v>
      </c>
      <c r="I29" s="3078" t="s">
        <v>3206</v>
      </c>
      <c r="J29" s="3078" t="s">
        <v>3206</v>
      </c>
      <c r="K29" s="3078">
        <v>167400</v>
      </c>
      <c r="L29" s="3078">
        <v>212400</v>
      </c>
      <c r="M29" s="3078">
        <v>12638.71</v>
      </c>
      <c r="N29" s="3078">
        <v>26.88</v>
      </c>
      <c r="O29" s="3078" t="s">
        <v>3207</v>
      </c>
      <c r="P29" s="3078" t="s">
        <v>3116</v>
      </c>
    </row>
    <row r="30" spans="1:16">
      <c r="A30" s="3078" t="s">
        <v>3208</v>
      </c>
      <c r="B30" s="3078" t="s">
        <v>3086</v>
      </c>
      <c r="C30" s="3078" t="s">
        <v>3087</v>
      </c>
      <c r="D30" s="3078">
        <v>38129.769999999997</v>
      </c>
      <c r="E30" s="3078">
        <v>133455</v>
      </c>
      <c r="F30" s="3078" t="s">
        <v>3209</v>
      </c>
      <c r="G30" s="3078" t="s">
        <v>3089</v>
      </c>
      <c r="H30" s="3078" t="s">
        <v>3210</v>
      </c>
      <c r="I30" s="3078" t="s">
        <v>3211</v>
      </c>
      <c r="J30" s="3078" t="s">
        <v>3211</v>
      </c>
      <c r="K30" s="3078">
        <v>89400</v>
      </c>
      <c r="L30" s="3078">
        <v>110700</v>
      </c>
      <c r="M30" s="3078">
        <v>8294.93</v>
      </c>
      <c r="N30" s="3078">
        <v>23.83</v>
      </c>
      <c r="O30" s="3078" t="s">
        <v>3092</v>
      </c>
      <c r="P30" s="3078" t="s">
        <v>3093</v>
      </c>
    </row>
    <row r="31" spans="1:16" s="3080" customFormat="1">
      <c r="A31" s="3079" t="s">
        <v>3212</v>
      </c>
      <c r="B31" s="3079" t="s">
        <v>3086</v>
      </c>
      <c r="C31" s="3079" t="s">
        <v>3087</v>
      </c>
      <c r="D31" s="3079">
        <v>10274</v>
      </c>
      <c r="E31" s="3079">
        <v>19520.599999999999</v>
      </c>
      <c r="F31" s="3079" t="s">
        <v>3213</v>
      </c>
      <c r="G31" s="3079" t="s">
        <v>3089</v>
      </c>
      <c r="H31" s="3079" t="s">
        <v>3214</v>
      </c>
      <c r="I31" s="3079" t="s">
        <v>3215</v>
      </c>
      <c r="J31" s="3079" t="s">
        <v>3215</v>
      </c>
      <c r="K31" s="3079">
        <v>31300</v>
      </c>
      <c r="L31" s="3079">
        <v>40600</v>
      </c>
      <c r="M31" s="3079">
        <v>20798.54</v>
      </c>
      <c r="N31" s="3079">
        <v>29.71</v>
      </c>
      <c r="O31" s="3079" t="s">
        <v>3216</v>
      </c>
      <c r="P31" s="3079" t="s">
        <v>3093</v>
      </c>
    </row>
    <row r="32" spans="1:16">
      <c r="A32" s="3078" t="s">
        <v>3217</v>
      </c>
      <c r="B32" s="3078" t="s">
        <v>3086</v>
      </c>
      <c r="C32" s="3078" t="s">
        <v>3087</v>
      </c>
      <c r="D32" s="3078">
        <v>23254.52</v>
      </c>
      <c r="E32" s="3078">
        <v>109584</v>
      </c>
      <c r="F32" s="3078" t="s">
        <v>3218</v>
      </c>
      <c r="G32" s="3078" t="s">
        <v>3219</v>
      </c>
      <c r="H32" s="3078" t="s">
        <v>1275</v>
      </c>
      <c r="I32" s="3078" t="s">
        <v>3220</v>
      </c>
      <c r="J32" s="3078" t="s">
        <v>3220</v>
      </c>
      <c r="K32" s="3078">
        <v>113900</v>
      </c>
      <c r="L32" s="3078">
        <v>140400</v>
      </c>
      <c r="M32" s="3078">
        <v>12812.09</v>
      </c>
      <c r="N32" s="3078">
        <v>23.27</v>
      </c>
      <c r="O32" s="3078" t="s">
        <v>3221</v>
      </c>
      <c r="P32" s="3078" t="s">
        <v>3093</v>
      </c>
    </row>
    <row r="33" spans="1:16">
      <c r="A33" s="3078" t="s">
        <v>3222</v>
      </c>
      <c r="B33" s="3078" t="s">
        <v>3086</v>
      </c>
      <c r="C33" s="3078" t="s">
        <v>3087</v>
      </c>
      <c r="D33" s="3078">
        <v>23543.11</v>
      </c>
      <c r="E33" s="3078">
        <v>56503.46</v>
      </c>
      <c r="F33" s="3078" t="s">
        <v>3223</v>
      </c>
      <c r="G33" s="3078" t="s">
        <v>3089</v>
      </c>
      <c r="H33" s="3078" t="s">
        <v>3131</v>
      </c>
      <c r="I33" s="3078" t="s">
        <v>3224</v>
      </c>
      <c r="J33" s="3078" t="s">
        <v>3224</v>
      </c>
      <c r="K33" s="3078">
        <v>85400</v>
      </c>
      <c r="L33" s="3078">
        <v>101900</v>
      </c>
      <c r="M33" s="3078">
        <v>18034.29</v>
      </c>
      <c r="N33" s="3078">
        <v>19.32</v>
      </c>
      <c r="O33" s="3078" t="s">
        <v>3225</v>
      </c>
      <c r="P33" s="3078" t="s">
        <v>3093</v>
      </c>
    </row>
    <row r="34" spans="1:16">
      <c r="A34" s="3078" t="s">
        <v>3226</v>
      </c>
      <c r="B34" s="3078" t="s">
        <v>3086</v>
      </c>
      <c r="C34" s="3078" t="s">
        <v>3087</v>
      </c>
      <c r="D34" s="3078">
        <v>57923.06</v>
      </c>
      <c r="E34" s="3078">
        <v>238646.1</v>
      </c>
      <c r="F34" s="3078" t="s">
        <v>3227</v>
      </c>
      <c r="G34" s="3078" t="s">
        <v>3089</v>
      </c>
      <c r="H34" s="3078" t="s">
        <v>3214</v>
      </c>
      <c r="I34" s="3078" t="s">
        <v>3228</v>
      </c>
      <c r="J34" s="3078" t="s">
        <v>3228</v>
      </c>
      <c r="K34" s="3078">
        <v>186300</v>
      </c>
      <c r="L34" s="3078">
        <v>242300</v>
      </c>
      <c r="M34" s="3078">
        <v>10153.11</v>
      </c>
      <c r="N34" s="3078">
        <v>30.06</v>
      </c>
      <c r="O34" s="3078" t="s">
        <v>3203</v>
      </c>
      <c r="P34" s="3078" t="s">
        <v>3093</v>
      </c>
    </row>
    <row r="35" spans="1:16">
      <c r="A35" s="3078" t="s">
        <v>3229</v>
      </c>
      <c r="B35" s="3078" t="s">
        <v>3086</v>
      </c>
      <c r="C35" s="3078" t="s">
        <v>3087</v>
      </c>
      <c r="D35" s="3078">
        <v>26063.53</v>
      </c>
      <c r="E35" s="3078">
        <v>93826</v>
      </c>
      <c r="F35" s="3078" t="s">
        <v>3230</v>
      </c>
      <c r="G35" s="3078" t="s">
        <v>3089</v>
      </c>
      <c r="H35" s="3078" t="s">
        <v>3119</v>
      </c>
      <c r="I35" s="3078" t="s">
        <v>3231</v>
      </c>
      <c r="J35" s="3078" t="s">
        <v>3231</v>
      </c>
      <c r="K35" s="3078">
        <v>168900</v>
      </c>
      <c r="L35" s="3078">
        <v>219400</v>
      </c>
      <c r="M35" s="3078">
        <v>23383.7</v>
      </c>
      <c r="N35" s="3078">
        <v>29.9</v>
      </c>
      <c r="O35" s="3078" t="s">
        <v>3232</v>
      </c>
      <c r="P35" s="3078" t="s">
        <v>3093</v>
      </c>
    </row>
    <row r="36" spans="1:16">
      <c r="A36" s="3078" t="s">
        <v>3233</v>
      </c>
      <c r="B36" s="3078" t="s">
        <v>3086</v>
      </c>
      <c r="C36" s="3078" t="s">
        <v>3087</v>
      </c>
      <c r="D36" s="3078">
        <v>53950</v>
      </c>
      <c r="E36" s="3078">
        <v>199615</v>
      </c>
      <c r="F36" s="3078" t="s">
        <v>3234</v>
      </c>
      <c r="G36" s="3078" t="s">
        <v>3089</v>
      </c>
      <c r="H36" s="3078" t="s">
        <v>3235</v>
      </c>
      <c r="I36" s="3078" t="s">
        <v>3236</v>
      </c>
      <c r="J36" s="3078" t="s">
        <v>3236</v>
      </c>
      <c r="K36" s="3078">
        <v>131800</v>
      </c>
      <c r="L36" s="3078">
        <v>160000</v>
      </c>
      <c r="M36" s="3078">
        <v>8015.43</v>
      </c>
      <c r="N36" s="3078">
        <v>21.4</v>
      </c>
      <c r="O36" s="3078" t="s">
        <v>3237</v>
      </c>
      <c r="P36" s="3078" t="s">
        <v>3093</v>
      </c>
    </row>
    <row r="37" spans="1:16">
      <c r="A37" s="3078" t="s">
        <v>3238</v>
      </c>
      <c r="B37" s="3078" t="s">
        <v>3086</v>
      </c>
      <c r="C37" s="3078" t="s">
        <v>3087</v>
      </c>
      <c r="D37" s="3078">
        <v>40426</v>
      </c>
      <c r="E37" s="3078">
        <v>136518</v>
      </c>
      <c r="F37" s="3078" t="s">
        <v>3218</v>
      </c>
      <c r="G37" s="3078" t="s">
        <v>3089</v>
      </c>
      <c r="H37" s="3078" t="s">
        <v>3131</v>
      </c>
      <c r="I37" s="3078" t="s">
        <v>3239</v>
      </c>
      <c r="J37" s="3078" t="s">
        <v>3239</v>
      </c>
      <c r="K37" s="3078">
        <v>51800</v>
      </c>
      <c r="L37" s="3078">
        <v>61100</v>
      </c>
      <c r="M37" s="3078">
        <v>4475.6000000000004</v>
      </c>
      <c r="N37" s="3078">
        <v>17.95</v>
      </c>
      <c r="O37" s="3078" t="s">
        <v>3240</v>
      </c>
      <c r="P37" s="3078" t="s">
        <v>3106</v>
      </c>
    </row>
    <row r="38" spans="1:16">
      <c r="A38" s="3078" t="s">
        <v>3241</v>
      </c>
      <c r="B38" s="3078" t="s">
        <v>3086</v>
      </c>
      <c r="C38" s="3078" t="s">
        <v>3087</v>
      </c>
      <c r="D38" s="3078">
        <v>47240</v>
      </c>
      <c r="E38" s="3078">
        <v>152332.5</v>
      </c>
      <c r="F38" s="3078" t="s">
        <v>3242</v>
      </c>
      <c r="G38" s="3078" t="s">
        <v>3089</v>
      </c>
      <c r="H38" s="3078" t="s">
        <v>3119</v>
      </c>
      <c r="I38" s="3078" t="s">
        <v>3239</v>
      </c>
      <c r="J38" s="3078" t="s">
        <v>3239</v>
      </c>
      <c r="K38" s="3078">
        <v>63500</v>
      </c>
      <c r="L38" s="3078">
        <v>75200</v>
      </c>
      <c r="M38" s="3078">
        <v>4936.5600000000004</v>
      </c>
      <c r="N38" s="3078">
        <v>18.43</v>
      </c>
      <c r="O38" s="3078" t="s">
        <v>3243</v>
      </c>
      <c r="P38" s="3078" t="s">
        <v>3106</v>
      </c>
    </row>
    <row r="39" spans="1:16">
      <c r="A39" s="3078" t="s">
        <v>3244</v>
      </c>
      <c r="B39" s="3078" t="s">
        <v>3086</v>
      </c>
      <c r="C39" s="3078" t="s">
        <v>3087</v>
      </c>
      <c r="D39" s="3078">
        <v>105167.8</v>
      </c>
      <c r="E39" s="3078">
        <v>513003</v>
      </c>
      <c r="F39" s="3078" t="s">
        <v>3245</v>
      </c>
      <c r="G39" s="3078" t="s">
        <v>3089</v>
      </c>
      <c r="H39" s="3078" t="s">
        <v>3246</v>
      </c>
      <c r="I39" s="3078" t="s">
        <v>3247</v>
      </c>
      <c r="J39" s="3078" t="s">
        <v>3247</v>
      </c>
      <c r="K39" s="3078">
        <v>344300</v>
      </c>
      <c r="L39" s="3078">
        <v>437300</v>
      </c>
      <c r="M39" s="3078">
        <v>8524.31</v>
      </c>
      <c r="N39" s="3078">
        <v>27.01</v>
      </c>
      <c r="O39" s="3078" t="s">
        <v>3248</v>
      </c>
      <c r="P39" s="3078" t="s">
        <v>3093</v>
      </c>
    </row>
    <row r="40" spans="1:16">
      <c r="A40" s="3078" t="s">
        <v>3249</v>
      </c>
      <c r="B40" s="3078" t="s">
        <v>3086</v>
      </c>
      <c r="C40" s="3078" t="s">
        <v>3087</v>
      </c>
      <c r="D40" s="3078">
        <v>41422</v>
      </c>
      <c r="E40" s="3078">
        <v>124266</v>
      </c>
      <c r="F40" s="3078" t="s">
        <v>3218</v>
      </c>
      <c r="G40" s="3078" t="s">
        <v>3089</v>
      </c>
      <c r="H40" s="3078" t="s">
        <v>3119</v>
      </c>
      <c r="I40" s="3078" t="s">
        <v>3250</v>
      </c>
      <c r="J40" s="3078" t="s">
        <v>3250</v>
      </c>
      <c r="K40" s="3078">
        <v>174700</v>
      </c>
      <c r="L40" s="3078">
        <v>223600</v>
      </c>
      <c r="M40" s="3078">
        <v>17993.650000000001</v>
      </c>
      <c r="N40" s="3078">
        <v>27.99</v>
      </c>
      <c r="O40" s="3078" t="s">
        <v>3251</v>
      </c>
      <c r="P40" s="3078" t="s">
        <v>3093</v>
      </c>
    </row>
    <row r="41" spans="1:16">
      <c r="A41" s="3078" t="s">
        <v>3252</v>
      </c>
      <c r="B41" s="3078" t="s">
        <v>3086</v>
      </c>
      <c r="C41" s="3078" t="s">
        <v>3087</v>
      </c>
      <c r="D41" s="3078">
        <v>47200.86</v>
      </c>
      <c r="E41" s="3078">
        <v>141602.6</v>
      </c>
      <c r="F41" s="3078" t="s">
        <v>3218</v>
      </c>
      <c r="G41" s="3078" t="s">
        <v>3089</v>
      </c>
      <c r="H41" s="3078" t="s">
        <v>3119</v>
      </c>
      <c r="I41" s="3078" t="s">
        <v>3253</v>
      </c>
      <c r="J41" s="3078" t="s">
        <v>3253</v>
      </c>
      <c r="K41" s="3078">
        <v>124700</v>
      </c>
      <c r="L41" s="3078">
        <v>161900</v>
      </c>
      <c r="M41" s="3078">
        <v>11433.4</v>
      </c>
      <c r="N41" s="3078">
        <v>29.83</v>
      </c>
      <c r="O41" s="3078" t="s">
        <v>3254</v>
      </c>
      <c r="P41" s="3078" t="s">
        <v>3093</v>
      </c>
    </row>
    <row r="42" spans="1:16">
      <c r="A42" s="3078" t="s">
        <v>3255</v>
      </c>
      <c r="B42" s="3078" t="s">
        <v>3086</v>
      </c>
      <c r="C42" s="3078" t="s">
        <v>3087</v>
      </c>
      <c r="D42" s="3078">
        <v>25461</v>
      </c>
      <c r="E42" s="3078">
        <v>78929.100000000006</v>
      </c>
      <c r="F42" s="3078" t="s">
        <v>3256</v>
      </c>
      <c r="G42" s="3078" t="s">
        <v>3089</v>
      </c>
      <c r="H42" s="3078" t="s">
        <v>3119</v>
      </c>
      <c r="I42" s="3078" t="s">
        <v>3257</v>
      </c>
      <c r="J42" s="3078" t="s">
        <v>3257</v>
      </c>
      <c r="K42" s="3078">
        <v>37300</v>
      </c>
      <c r="L42" s="3078">
        <v>45700</v>
      </c>
      <c r="M42" s="3078">
        <v>5790.01</v>
      </c>
      <c r="N42" s="3078">
        <v>22.52</v>
      </c>
      <c r="O42" s="3078" t="s">
        <v>3092</v>
      </c>
      <c r="P42" s="3078" t="s">
        <v>3093</v>
      </c>
    </row>
    <row r="43" spans="1:16">
      <c r="A43" s="3078" t="s">
        <v>3258</v>
      </c>
      <c r="B43" s="3078" t="s">
        <v>3086</v>
      </c>
      <c r="C43" s="3078" t="s">
        <v>3087</v>
      </c>
      <c r="D43" s="3078">
        <v>82663</v>
      </c>
      <c r="E43" s="3078">
        <v>269481.40000000002</v>
      </c>
      <c r="F43" s="3078" t="s">
        <v>3259</v>
      </c>
      <c r="G43" s="3078" t="s">
        <v>3089</v>
      </c>
      <c r="H43" s="3078" t="s">
        <v>3119</v>
      </c>
      <c r="I43" s="3078" t="s">
        <v>3260</v>
      </c>
      <c r="J43" s="3078" t="s">
        <v>3260</v>
      </c>
      <c r="K43" s="3078">
        <v>225100</v>
      </c>
      <c r="L43" s="3078">
        <v>292600</v>
      </c>
      <c r="M43" s="3078">
        <v>10857.88</v>
      </c>
      <c r="N43" s="3078">
        <v>29.99</v>
      </c>
      <c r="O43" s="3078" t="s">
        <v>3261</v>
      </c>
      <c r="P43" s="3078" t="s">
        <v>3116</v>
      </c>
    </row>
    <row r="44" spans="1:16" s="3080" customFormat="1">
      <c r="A44" s="3079" t="s">
        <v>3262</v>
      </c>
      <c r="B44" s="3079" t="s">
        <v>3086</v>
      </c>
      <c r="C44" s="3079" t="s">
        <v>3087</v>
      </c>
      <c r="D44" s="3079">
        <v>35308.300000000003</v>
      </c>
      <c r="E44" s="3079">
        <v>84739.92</v>
      </c>
      <c r="F44" s="3079" t="s">
        <v>3223</v>
      </c>
      <c r="G44" s="3079" t="s">
        <v>3089</v>
      </c>
      <c r="H44" s="3079" t="s">
        <v>3119</v>
      </c>
      <c r="I44" s="3079" t="s">
        <v>3263</v>
      </c>
      <c r="J44" s="3079" t="s">
        <v>3263</v>
      </c>
      <c r="K44" s="3079">
        <v>90100</v>
      </c>
      <c r="L44" s="3079">
        <v>115300</v>
      </c>
      <c r="M44" s="3079">
        <v>13606.34</v>
      </c>
      <c r="N44" s="3079">
        <v>27.97</v>
      </c>
      <c r="O44" s="3079" t="s">
        <v>3237</v>
      </c>
      <c r="P44" s="3079" t="s">
        <v>3106</v>
      </c>
    </row>
    <row r="45" spans="1:16">
      <c r="A45" s="3078" t="s">
        <v>3264</v>
      </c>
      <c r="B45" s="3078" t="s">
        <v>3086</v>
      </c>
      <c r="C45" s="3078" t="s">
        <v>3161</v>
      </c>
      <c r="D45" s="3078">
        <v>11989</v>
      </c>
      <c r="E45" s="3078">
        <v>33569.199999999997</v>
      </c>
      <c r="F45" s="3078" t="s">
        <v>3265</v>
      </c>
      <c r="G45" s="3078" t="s">
        <v>3089</v>
      </c>
      <c r="H45" s="3078" t="s">
        <v>3266</v>
      </c>
      <c r="I45" s="3078" t="s">
        <v>3267</v>
      </c>
      <c r="J45" s="3078" t="s">
        <v>3267</v>
      </c>
      <c r="K45" s="3078">
        <v>39600</v>
      </c>
      <c r="L45" s="3078">
        <v>51600</v>
      </c>
      <c r="M45" s="3078">
        <v>15371.22</v>
      </c>
      <c r="N45" s="3078">
        <v>30.3</v>
      </c>
      <c r="O45" s="3078" t="s">
        <v>3225</v>
      </c>
      <c r="P45" s="3078" t="s">
        <v>3093</v>
      </c>
    </row>
    <row r="46" spans="1:16">
      <c r="A46" s="3078" t="s">
        <v>3268</v>
      </c>
      <c r="B46" s="3078" t="s">
        <v>3086</v>
      </c>
      <c r="C46" s="3078" t="s">
        <v>3087</v>
      </c>
      <c r="D46" s="3078">
        <v>11296.75</v>
      </c>
      <c r="E46" s="3078">
        <v>39538.629999999997</v>
      </c>
      <c r="F46" s="3078" t="s">
        <v>3269</v>
      </c>
      <c r="G46" s="3078" t="s">
        <v>3089</v>
      </c>
      <c r="H46" s="3078" t="s">
        <v>3119</v>
      </c>
      <c r="I46" s="3078" t="s">
        <v>3270</v>
      </c>
      <c r="J46" s="3078" t="s">
        <v>3270</v>
      </c>
      <c r="K46" s="3078">
        <v>51400</v>
      </c>
      <c r="L46" s="3078">
        <v>69300</v>
      </c>
      <c r="M46" s="3078">
        <v>17527.150000000001</v>
      </c>
      <c r="N46" s="3078">
        <v>34.82</v>
      </c>
      <c r="O46" s="3078" t="s">
        <v>3271</v>
      </c>
      <c r="P46" s="3078" t="s">
        <v>3093</v>
      </c>
    </row>
    <row r="47" spans="1:16">
      <c r="A47" s="3078" t="s">
        <v>3272</v>
      </c>
      <c r="B47" s="3078" t="s">
        <v>3086</v>
      </c>
      <c r="C47" s="3078" t="s">
        <v>3087</v>
      </c>
      <c r="D47" s="3078">
        <v>57432</v>
      </c>
      <c r="E47" s="3078">
        <v>168401.4</v>
      </c>
      <c r="F47" s="3078" t="s">
        <v>3273</v>
      </c>
      <c r="G47" s="3078" t="s">
        <v>3089</v>
      </c>
      <c r="H47" s="3078" t="s">
        <v>3119</v>
      </c>
      <c r="I47" s="3078" t="s">
        <v>3274</v>
      </c>
      <c r="J47" s="3078" t="s">
        <v>3274</v>
      </c>
      <c r="K47" s="3078">
        <v>162700</v>
      </c>
      <c r="L47" s="3078">
        <v>162700</v>
      </c>
      <c r="M47" s="3078">
        <v>9661.44</v>
      </c>
      <c r="N47" s="3078">
        <v>0</v>
      </c>
      <c r="O47" s="3078" t="s">
        <v>3275</v>
      </c>
      <c r="P47" s="3078" t="s">
        <v>3093</v>
      </c>
    </row>
    <row r="48" spans="1:16">
      <c r="A48" s="3078" t="s">
        <v>3276</v>
      </c>
      <c r="B48" s="3078" t="s">
        <v>3086</v>
      </c>
      <c r="C48" s="3078" t="s">
        <v>3087</v>
      </c>
      <c r="D48" s="3078">
        <v>82926</v>
      </c>
      <c r="E48" s="3078">
        <v>290241</v>
      </c>
      <c r="F48" s="3078" t="s">
        <v>3277</v>
      </c>
      <c r="G48" s="3078" t="s">
        <v>3089</v>
      </c>
      <c r="H48" s="3078" t="s">
        <v>3119</v>
      </c>
      <c r="I48" s="3078" t="s">
        <v>3278</v>
      </c>
      <c r="J48" s="3078" t="s">
        <v>3278</v>
      </c>
      <c r="K48" s="3078">
        <v>130800</v>
      </c>
      <c r="L48" s="3078">
        <v>130800</v>
      </c>
      <c r="M48" s="3078">
        <v>4506.6000000000004</v>
      </c>
      <c r="N48" s="3078">
        <v>0</v>
      </c>
      <c r="O48" s="3078" t="s">
        <v>3279</v>
      </c>
      <c r="P48" s="3078" t="s">
        <v>3093</v>
      </c>
    </row>
    <row r="49" spans="1:16">
      <c r="A49" s="3078" t="s">
        <v>3280</v>
      </c>
      <c r="B49" s="3078" t="s">
        <v>3086</v>
      </c>
      <c r="C49" s="3078" t="s">
        <v>3087</v>
      </c>
      <c r="D49" s="3078">
        <v>44021</v>
      </c>
      <c r="E49" s="3078">
        <v>176084</v>
      </c>
      <c r="F49" s="3078" t="s">
        <v>3281</v>
      </c>
      <c r="G49" s="3078" t="s">
        <v>3089</v>
      </c>
      <c r="H49" s="3078" t="s">
        <v>3119</v>
      </c>
      <c r="I49" s="3078" t="s">
        <v>3278</v>
      </c>
      <c r="J49" s="3078" t="s">
        <v>3278</v>
      </c>
      <c r="K49" s="3078">
        <v>83400</v>
      </c>
      <c r="L49" s="3078">
        <v>91800</v>
      </c>
      <c r="M49" s="3078">
        <v>5213.42</v>
      </c>
      <c r="N49" s="3078">
        <v>10.07</v>
      </c>
      <c r="O49" s="3078" t="s">
        <v>3282</v>
      </c>
      <c r="P49" s="3078" t="s">
        <v>3116</v>
      </c>
    </row>
    <row r="50" spans="1:16">
      <c r="A50" s="3078" t="s">
        <v>3283</v>
      </c>
      <c r="B50" s="3078" t="s">
        <v>3086</v>
      </c>
      <c r="C50" s="3078" t="s">
        <v>3087</v>
      </c>
      <c r="D50" s="3078">
        <v>53743.69</v>
      </c>
      <c r="E50" s="3078">
        <v>214974.76</v>
      </c>
      <c r="F50" s="3078" t="s">
        <v>3284</v>
      </c>
      <c r="G50" s="3078" t="s">
        <v>3089</v>
      </c>
      <c r="H50" s="3078" t="s">
        <v>3285</v>
      </c>
      <c r="I50" s="3078" t="s">
        <v>3278</v>
      </c>
      <c r="J50" s="3078" t="s">
        <v>3278</v>
      </c>
      <c r="K50" s="3078">
        <v>314800</v>
      </c>
      <c r="L50" s="3078">
        <v>354800</v>
      </c>
      <c r="M50" s="3078">
        <v>16504.25</v>
      </c>
      <c r="N50" s="3078">
        <v>12.71</v>
      </c>
      <c r="O50" s="3078" t="s">
        <v>3286</v>
      </c>
      <c r="P50" s="3078" t="s">
        <v>3093</v>
      </c>
    </row>
    <row r="51" spans="1:16">
      <c r="A51" s="3078" t="s">
        <v>3287</v>
      </c>
      <c r="B51" s="3078" t="s">
        <v>3086</v>
      </c>
      <c r="C51" s="3078" t="s">
        <v>3087</v>
      </c>
      <c r="D51" s="3078">
        <v>66721.2</v>
      </c>
      <c r="E51" s="3078">
        <v>233524.2</v>
      </c>
      <c r="F51" s="3078" t="s">
        <v>3288</v>
      </c>
      <c r="G51" s="3078" t="s">
        <v>3089</v>
      </c>
      <c r="H51" s="3078" t="s">
        <v>3119</v>
      </c>
      <c r="I51" s="3078" t="s">
        <v>3289</v>
      </c>
      <c r="J51" s="3078" t="s">
        <v>3289</v>
      </c>
      <c r="K51" s="3078">
        <v>129200</v>
      </c>
      <c r="L51" s="3078">
        <v>129800</v>
      </c>
      <c r="M51" s="3078">
        <v>5558.31</v>
      </c>
      <c r="N51" s="3078">
        <v>0.46</v>
      </c>
      <c r="O51" s="3078" t="s">
        <v>3290</v>
      </c>
      <c r="P51" s="3078" t="s">
        <v>3093</v>
      </c>
    </row>
  </sheetData>
  <phoneticPr fontId="13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E6" sqref="E6"/>
    </sheetView>
  </sheetViews>
  <sheetFormatPr defaultColWidth="6.625" defaultRowHeight="12.75"/>
  <cols>
    <col min="1" max="1" width="9.875" style="734" customWidth="1"/>
    <col min="2" max="2" width="25.875" style="886" customWidth="1"/>
    <col min="3" max="3" width="10.375" style="929" customWidth="1"/>
    <col min="4" max="4" width="9.875" style="886" customWidth="1"/>
    <col min="5" max="5" width="9.5" style="734" customWidth="1"/>
    <col min="6" max="6" width="10.125" style="886" customWidth="1"/>
    <col min="7" max="7" width="10.8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2258</v>
      </c>
      <c r="B1" s="1350"/>
      <c r="C1" s="1351"/>
      <c r="D1" s="1349"/>
      <c r="E1" s="3034"/>
      <c r="F1" s="3034"/>
      <c r="G1" s="2897"/>
      <c r="H1" s="3034"/>
      <c r="I1" s="3034"/>
      <c r="J1" s="3034"/>
      <c r="K1" s="3035">
        <f>MATCH(C1,'数据-取费表'!A6:A16,0)+5</f>
        <v>10</v>
      </c>
    </row>
    <row r="2" spans="1:33" ht="18" customHeight="1">
      <c r="A2" s="204" t="s">
        <v>2126</v>
      </c>
      <c r="B2" s="207">
        <f ca="1">C32</f>
        <v>172674</v>
      </c>
      <c r="C2" s="279" t="s">
        <v>2259</v>
      </c>
      <c r="D2" s="279"/>
      <c r="E2" s="3034"/>
      <c r="F2" s="3034"/>
      <c r="G2" s="3034"/>
      <c r="H2" s="3034"/>
      <c r="I2" s="3034"/>
      <c r="J2" s="3034"/>
      <c r="K2" s="3034"/>
    </row>
    <row r="3" spans="1:33" ht="18" customHeight="1" thickBot="1">
      <c r="A3" s="206" t="s">
        <v>2128</v>
      </c>
      <c r="B3" s="207">
        <f ca="1">ROUND(B2*10000/IF(C1="",'数据-汇总表'!E3,INDIRECT("'数据-取费表'!K"&amp;$K$1)),0)</f>
        <v>13791</v>
      </c>
      <c r="C3" s="279" t="s">
        <v>2260</v>
      </c>
      <c r="D3" s="279"/>
      <c r="E3" s="3034"/>
      <c r="F3" s="3034"/>
      <c r="G3" s="3034"/>
      <c r="H3" s="3034"/>
      <c r="I3" s="3034"/>
      <c r="J3" s="3034"/>
      <c r="K3" s="3034"/>
    </row>
    <row r="4" spans="1:33" s="890" customFormat="1" ht="16.5" customHeight="1">
      <c r="A4" s="887" t="s">
        <v>2261</v>
      </c>
      <c r="B4" s="888"/>
      <c r="C4" s="930">
        <f>SUM(C8:K8)</f>
        <v>340980.88199999998</v>
      </c>
      <c r="D4" s="888"/>
      <c r="E4" s="888"/>
      <c r="F4" s="888"/>
      <c r="G4" s="888"/>
      <c r="H4" s="888"/>
      <c r="I4" s="888"/>
      <c r="J4" s="888"/>
      <c r="K4" s="889"/>
    </row>
    <row r="5" spans="1:33" s="894" customFormat="1" ht="15">
      <c r="A5" s="891" t="s">
        <v>2262</v>
      </c>
      <c r="B5" s="892" t="s">
        <v>2263</v>
      </c>
      <c r="C5" s="2043" t="s">
        <v>3314</v>
      </c>
      <c r="D5" s="2043" t="s">
        <v>3316</v>
      </c>
      <c r="E5" s="2043" t="s">
        <v>3318</v>
      </c>
      <c r="F5" s="2043" t="s">
        <v>3320</v>
      </c>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779</v>
      </c>
      <c r="B6" s="133" t="s">
        <v>2264</v>
      </c>
      <c r="C6" s="3092">
        <v>37000</v>
      </c>
      <c r="D6" s="3092">
        <v>31000</v>
      </c>
      <c r="E6" s="3092">
        <v>60000</v>
      </c>
      <c r="F6" s="3092">
        <v>60000</v>
      </c>
      <c r="G6" s="896"/>
      <c r="H6" s="896"/>
      <c r="I6" s="896"/>
      <c r="J6" s="896"/>
      <c r="K6" s="897"/>
      <c r="L6" s="898">
        <f>C4/SUM(C7:F7)</f>
        <v>5.0025480975754029</v>
      </c>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2265</v>
      </c>
      <c r="B7" s="133" t="s">
        <v>2266</v>
      </c>
      <c r="C7" s="280">
        <f>SUMIF('数据-汇总表'!$C19:$C33,假设开发法!C5,'数据-汇总表'!$E19:$E33)</f>
        <v>23816.76</v>
      </c>
      <c r="D7" s="280">
        <f>SUMIF('数据-汇总表'!$C19:$C33,假设开发法!D5,'数据-汇总表'!$E19:$E33)</f>
        <v>4554.8999999999996</v>
      </c>
      <c r="E7" s="280">
        <f>SUMIF('数据-汇总表'!$C19:$C33,假设开发法!E5,'数据-汇总表'!$E19:$E33)</f>
        <v>34143.660000000003</v>
      </c>
      <c r="F7" s="280">
        <f>SUMIF('数据-汇总表'!$C19:$C33,假设开发法!F5,'数据-汇总表'!$E19:$E33)</f>
        <v>5646.12</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2267</v>
      </c>
      <c r="B8" s="166" t="s">
        <v>2268</v>
      </c>
      <c r="C8" s="931">
        <f>C6*C7/10000</f>
        <v>88122.012000000002</v>
      </c>
      <c r="D8" s="931">
        <f>D6*D7/10000</f>
        <v>14120.19</v>
      </c>
      <c r="E8" s="931">
        <f>E6*E7/10000</f>
        <v>204861.96000000002</v>
      </c>
      <c r="F8" s="932">
        <f>F6*F7/10000</f>
        <v>33876.720000000001</v>
      </c>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2269</v>
      </c>
      <c r="B9" s="888"/>
      <c r="C9" s="888"/>
      <c r="D9" s="888"/>
      <c r="E9" s="888"/>
      <c r="F9" s="888"/>
      <c r="G9" s="888"/>
      <c r="H9" s="888"/>
      <c r="I9" s="888"/>
      <c r="J9" s="888"/>
      <c r="K9" s="889"/>
    </row>
    <row r="10" spans="1:33" s="904" customFormat="1" ht="13.5" customHeight="1">
      <c r="A10" s="891" t="s">
        <v>2270</v>
      </c>
      <c r="B10" s="5" t="s">
        <v>2271</v>
      </c>
      <c r="C10" s="900" t="s">
        <v>2272</v>
      </c>
      <c r="D10" s="901" t="s">
        <v>2273</v>
      </c>
      <c r="E10" s="901" t="s">
        <v>2274</v>
      </c>
      <c r="F10" s="901" t="s">
        <v>2275</v>
      </c>
      <c r="G10" s="5"/>
      <c r="H10" s="902"/>
      <c r="I10" s="902"/>
      <c r="J10" s="902"/>
      <c r="K10" s="903"/>
    </row>
    <row r="11" spans="1:33" s="909" customFormat="1" ht="13.5" customHeight="1">
      <c r="A11" s="905" t="s">
        <v>1277</v>
      </c>
      <c r="B11" s="906" t="s">
        <v>2276</v>
      </c>
      <c r="C11" s="282">
        <f ca="1">IF(C1="",'数据-取费表'!P16,INDIRECT("'数据-取费表'!p"&amp;$K$1)+INDIRECT("'数据-取费表'!ar"&amp;$K$1))</f>
        <v>44412</v>
      </c>
      <c r="D11" s="907"/>
      <c r="E11" s="332"/>
      <c r="F11" s="908">
        <f ca="1">1-IF('数据-取费表'!B24=0,1,IF(C1="",'数据-取费表'!N16,INDIRECT("'数据-取费表'!n"&amp;$K$1)))</f>
        <v>0.9</v>
      </c>
      <c r="G11" s="5"/>
      <c r="H11" s="902"/>
      <c r="I11" s="902"/>
      <c r="J11" s="902"/>
      <c r="K11" s="903"/>
    </row>
    <row r="12" spans="1:33" s="909" customFormat="1" ht="13.5" customHeight="1">
      <c r="A12" s="905" t="s">
        <v>1278</v>
      </c>
      <c r="B12" s="906" t="s">
        <v>2277</v>
      </c>
      <c r="C12" s="21">
        <f ca="1">ROUND(C11*F12,0)</f>
        <v>1332</v>
      </c>
      <c r="D12" s="907"/>
      <c r="E12" s="332"/>
      <c r="F12" s="910">
        <f>'数据-取费表'!B33</f>
        <v>0.03</v>
      </c>
      <c r="G12" s="5" t="s">
        <v>2278</v>
      </c>
      <c r="H12" s="902"/>
      <c r="I12" s="902"/>
      <c r="J12" s="902"/>
      <c r="K12" s="903"/>
    </row>
    <row r="13" spans="1:33" s="909" customFormat="1" ht="13.5" customHeight="1">
      <c r="A13" s="905" t="s">
        <v>1279</v>
      </c>
      <c r="B13" s="906" t="s">
        <v>2279</v>
      </c>
      <c r="C13" s="21">
        <f ca="1">ROUND(IF(C1="",SUMIF('数据-取费表'!C:C,"住宅",'数据-取费表'!P:P)*F13,IF(INDIRECT("'数据-取费表'!c"&amp;$K$1)="住宅",INDIRECT("'数据-取费表'!P"&amp;$K$1)*F13,0)),0)</f>
        <v>1227</v>
      </c>
      <c r="D13" s="952"/>
      <c r="E13" s="332"/>
      <c r="F13" s="910">
        <f>'数据-取费表'!B34</f>
        <v>0.05</v>
      </c>
      <c r="G13" s="5" t="s">
        <v>2280</v>
      </c>
      <c r="H13" s="902"/>
      <c r="I13" s="902"/>
      <c r="J13" s="902"/>
      <c r="K13" s="903"/>
    </row>
    <row r="14" spans="1:33" s="911" customFormat="1" ht="13.5" customHeight="1">
      <c r="A14" s="905" t="s">
        <v>1280</v>
      </c>
      <c r="B14" s="906" t="s">
        <v>2281</v>
      </c>
      <c r="C14" s="21">
        <f ca="1">ROUND(D14*E14*F11/10000,0)</f>
        <v>2254</v>
      </c>
      <c r="D14" s="952">
        <f ca="1">IF(C1="",'数据-汇总表'!E3,INDIRECT("'数据-取费表'!K"&amp;$K$1)+INDIRECT("'数据-取费表'!S"&amp;$K$1))</f>
        <v>125203.41</v>
      </c>
      <c r="E14" s="21">
        <f>'数据-取费表'!B35</f>
        <v>200</v>
      </c>
      <c r="F14" s="910"/>
      <c r="G14" s="5" t="s">
        <v>2282</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1281</v>
      </c>
      <c r="B15" s="906" t="s">
        <v>2283</v>
      </c>
      <c r="C15" s="917">
        <f ca="1">ROUND(C11*F15,0)</f>
        <v>666</v>
      </c>
      <c r="D15" s="912"/>
      <c r="E15" s="917"/>
      <c r="F15" s="918">
        <f>'数据-取费表'!B36</f>
        <v>1.4999999999999999E-2</v>
      </c>
      <c r="G15" s="133" t="s">
        <v>2284</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780</v>
      </c>
      <c r="B16" s="906" t="s">
        <v>2285</v>
      </c>
      <c r="C16" s="917">
        <f ca="1">SUM(C11:C15)</f>
        <v>49891</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781</v>
      </c>
      <c r="B17" s="906" t="s">
        <v>2286</v>
      </c>
      <c r="C17" s="21">
        <f ca="1">ROUND(D17*E17/10000,0)</f>
        <v>0</v>
      </c>
      <c r="D17" s="952">
        <f ca="1">D14</f>
        <v>125203.41</v>
      </c>
      <c r="E17" s="21">
        <f>'数据-取费表'!B32</f>
        <v>0</v>
      </c>
      <c r="F17" s="912"/>
      <c r="G17" s="133" t="s">
        <v>2287</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1282</v>
      </c>
      <c r="B18" s="906" t="s">
        <v>2288</v>
      </c>
      <c r="C18" s="21">
        <f ca="1">C19+C20-IF(C1="",'数据-取费表'!B29,IF(G18="已全部缴纳",C19+C20,H18))</f>
        <v>685</v>
      </c>
      <c r="D18" s="952"/>
      <c r="E18" s="21"/>
      <c r="F18" s="910"/>
      <c r="G18" s="2045"/>
      <c r="H18" s="1346"/>
      <c r="I18" s="2046" t="s">
        <v>2289</v>
      </c>
      <c r="J18" s="913"/>
      <c r="K18" s="914"/>
    </row>
    <row r="19" spans="1:33" s="909" customFormat="1" ht="13.5" customHeight="1">
      <c r="A19" s="905" t="s">
        <v>782</v>
      </c>
      <c r="B19" s="906" t="s">
        <v>2290</v>
      </c>
      <c r="C19" s="21">
        <f ca="1">ROUND(D19*E19/10000,0)</f>
        <v>341</v>
      </c>
      <c r="D19" s="952">
        <f ca="1">IF(C1="",'数据-汇总表'!E5,IF(INDIRECT("'数据-取费表'!c"&amp;$K$1)="住宅",INDIRECT("'数据-取费表'!k"&amp;$K$1),0))</f>
        <v>68161.440000000002</v>
      </c>
      <c r="E19" s="21">
        <f>'数据-取费表'!B27</f>
        <v>50</v>
      </c>
      <c r="F19" s="910"/>
      <c r="G19" s="12"/>
      <c r="H19" s="1348"/>
      <c r="I19" s="915"/>
      <c r="J19" s="915"/>
      <c r="K19" s="916"/>
    </row>
    <row r="20" spans="1:33" s="909" customFormat="1" ht="13.5" customHeight="1">
      <c r="A20" s="905" t="s">
        <v>783</v>
      </c>
      <c r="B20" s="906" t="s">
        <v>2291</v>
      </c>
      <c r="C20" s="21">
        <f ca="1">ROUND(D20*E20/10000,0)</f>
        <v>685</v>
      </c>
      <c r="D20" s="952">
        <f ca="1">IF(C1="",'数据-汇总表'!E6,IF(INDIRECT("'数据-取费表'!c"&amp;$K$1)="住宅",INDIRECT("'数据-取费表'!s"&amp;$K$1),INDIRECT("'数据-取费表'!k"&amp;$K$1)+INDIRECT("'数据-取费表'!s"&amp;$K$1)))</f>
        <v>57041.97</v>
      </c>
      <c r="E20" s="21">
        <f>'数据-取费表'!B28</f>
        <v>120</v>
      </c>
      <c r="F20" s="910"/>
      <c r="G20" s="12"/>
      <c r="H20" s="915"/>
      <c r="I20" s="915"/>
      <c r="J20" s="915"/>
      <c r="K20" s="916"/>
    </row>
    <row r="21" spans="1:33" s="909" customFormat="1" ht="13.5" customHeight="1">
      <c r="A21" s="895" t="s">
        <v>779</v>
      </c>
      <c r="B21" s="919" t="s">
        <v>2292</v>
      </c>
      <c r="C21" s="920">
        <f ca="1">C16+C17+C18</f>
        <v>50576</v>
      </c>
      <c r="D21" s="921"/>
      <c r="E21" s="284"/>
      <c r="F21" s="284"/>
      <c r="G21" s="133" t="s">
        <v>2293</v>
      </c>
      <c r="H21" s="913"/>
      <c r="I21" s="913"/>
      <c r="J21" s="913"/>
      <c r="K21" s="914"/>
    </row>
    <row r="22" spans="1:33" s="909" customFormat="1" ht="13.5" customHeight="1">
      <c r="A22" s="895" t="s">
        <v>2265</v>
      </c>
      <c r="B22" s="919" t="s">
        <v>2294</v>
      </c>
      <c r="C22" s="920">
        <f ca="1">ROUND(C21*F22,0)</f>
        <v>1012</v>
      </c>
      <c r="D22" s="284"/>
      <c r="E22" s="284"/>
      <c r="F22" s="922">
        <f>'数据-取费表'!B37</f>
        <v>0.02</v>
      </c>
      <c r="G22" s="5" t="s">
        <v>2295</v>
      </c>
      <c r="H22" s="902"/>
      <c r="I22" s="902"/>
      <c r="J22" s="902"/>
      <c r="K22" s="903"/>
    </row>
    <row r="23" spans="1:33" s="909" customFormat="1" ht="13.5" customHeight="1">
      <c r="A23" s="895" t="s">
        <v>2267</v>
      </c>
      <c r="B23" s="919" t="s">
        <v>2296</v>
      </c>
      <c r="C23" s="920">
        <f ca="1">ROUND(C4*F23*F11,0)</f>
        <v>6138</v>
      </c>
      <c r="D23" s="284"/>
      <c r="E23" s="284"/>
      <c r="F23" s="922">
        <f>'数据-取费表'!B38</f>
        <v>0.02</v>
      </c>
      <c r="G23" s="5" t="s">
        <v>2297</v>
      </c>
      <c r="H23" s="902"/>
      <c r="I23" s="902"/>
      <c r="J23" s="902"/>
      <c r="K23" s="903"/>
    </row>
    <row r="24" spans="1:33" s="909" customFormat="1" ht="13.5" customHeight="1">
      <c r="A24" s="895" t="s">
        <v>2298</v>
      </c>
      <c r="B24" s="919" t="s">
        <v>2299</v>
      </c>
      <c r="C24" s="283">
        <f>ROUND(F24/(1+'数据-取费表'!C42),4)</f>
        <v>2.9000000000000001E-2</v>
      </c>
      <c r="D24" s="284" t="s">
        <v>12</v>
      </c>
      <c r="E24" s="284"/>
      <c r="F24" s="922">
        <f>IF(项目基本情况!B8="出让",0,'数据-取费表'!B48+'数据-取费表'!B49)</f>
        <v>3.0499999999999999E-2</v>
      </c>
      <c r="G24" s="5" t="s">
        <v>2300</v>
      </c>
      <c r="H24" s="924"/>
      <c r="I24" s="924"/>
      <c r="J24" s="924"/>
      <c r="K24" s="925"/>
    </row>
    <row r="25" spans="1:33" s="909" customFormat="1" ht="13.5" customHeight="1">
      <c r="A25" s="895" t="s">
        <v>2301</v>
      </c>
      <c r="B25" s="921" t="s">
        <v>2302</v>
      </c>
      <c r="C25" s="1263">
        <f ca="1">C27</f>
        <v>3020</v>
      </c>
      <c r="D25" s="283">
        <f ca="1">C26</f>
        <v>0.1105</v>
      </c>
      <c r="E25" s="285" t="s">
        <v>12</v>
      </c>
      <c r="F25" s="286">
        <f ca="1">'数据-取费表'!B40</f>
        <v>3.85E-2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780</v>
      </c>
      <c r="B26" s="926" t="s">
        <v>2303</v>
      </c>
      <c r="C26" s="1264">
        <f ca="1">ROUND(IF('数据-取费表'!B22&lt;=1,(1+C24)*F25*'数据-取费表'!B24,(1+C24)*(POWER((1+F25),'数据-取费表'!B24)-1)),4)</f>
        <v>0.1105</v>
      </c>
      <c r="D26" s="287"/>
      <c r="E26" s="288"/>
      <c r="F26" s="289"/>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781</v>
      </c>
      <c r="B27" s="926" t="s">
        <v>2304</v>
      </c>
      <c r="C27" s="1265">
        <f ca="1">ROUND(IF('数据-取费表'!B22&lt;=1,(C21+C22+C23)*F25*'数据-取费表'!B24/2,(C21+C22+C23)*(POWER((1+F25),'数据-取费表'!B24/2)-1)),0)</f>
        <v>3020</v>
      </c>
      <c r="D27" s="287"/>
      <c r="E27" s="288"/>
      <c r="F27" s="289"/>
      <c r="G27" s="2047" t="str">
        <f>IF('数据-取费表'!B22&lt;=1,"（1）-（3）项×年利率×建设期÷2","（1）-（3）项×((1+年利率)^(建设期÷2)-1)")</f>
        <v>（1）-（3）项×((1+年利率)^(建设期÷2)-1)</v>
      </c>
      <c r="H27" s="913"/>
      <c r="I27" s="913"/>
      <c r="J27" s="913"/>
      <c r="K27" s="914"/>
    </row>
    <row r="28" spans="1:33" s="292" customFormat="1" ht="13.5" customHeight="1">
      <c r="A28" s="895" t="s">
        <v>2305</v>
      </c>
      <c r="B28" s="2048" t="s">
        <v>2306</v>
      </c>
      <c r="C28" s="290">
        <f ca="1">C30</f>
        <v>17318</v>
      </c>
      <c r="D28" s="283">
        <f ca="1">C29</f>
        <v>0.27779999999999999</v>
      </c>
      <c r="E28" s="285" t="s">
        <v>12</v>
      </c>
      <c r="F28" s="291">
        <f ca="1">IF(C1="",'数据-取费表'!Q16,INDIRECT("'数据-取费表'!q"&amp;$K$1))</f>
        <v>0.3</v>
      </c>
      <c r="G28" s="923"/>
      <c r="H28" s="924"/>
      <c r="I28" s="924"/>
      <c r="J28" s="924"/>
      <c r="K28" s="925"/>
    </row>
    <row r="29" spans="1:33" s="294" customFormat="1" ht="13.5" customHeight="1">
      <c r="A29" s="905" t="s">
        <v>780</v>
      </c>
      <c r="B29" s="928" t="s">
        <v>2307</v>
      </c>
      <c r="C29" s="287">
        <f ca="1">ROUND((1+C24)*F28*'数据-取费表'!B24/'数据-取费表'!B20,4)</f>
        <v>0.27779999999999999</v>
      </c>
      <c r="D29" s="287"/>
      <c r="E29" s="288"/>
      <c r="F29" s="293"/>
      <c r="G29" s="133" t="s">
        <v>2308</v>
      </c>
      <c r="H29" s="913"/>
      <c r="I29" s="913"/>
      <c r="J29" s="913"/>
      <c r="K29" s="914"/>
    </row>
    <row r="30" spans="1:33" s="294" customFormat="1" ht="13.5" customHeight="1">
      <c r="A30" s="905" t="s">
        <v>781</v>
      </c>
      <c r="B30" s="928" t="s">
        <v>2309</v>
      </c>
      <c r="C30" s="295">
        <f ca="1">ROUND((C21+C22+C23)*F28,0)</f>
        <v>17318</v>
      </c>
      <c r="D30" s="287"/>
      <c r="E30" s="288"/>
      <c r="F30" s="293"/>
      <c r="G30" s="133"/>
      <c r="H30" s="913"/>
      <c r="I30" s="913"/>
      <c r="J30" s="913"/>
      <c r="K30" s="914"/>
    </row>
    <row r="31" spans="1:33" s="909" customFormat="1" ht="13.5" customHeight="1" thickBot="1">
      <c r="A31" s="2049" t="s">
        <v>2310</v>
      </c>
      <c r="B31" s="939" t="s">
        <v>2311</v>
      </c>
      <c r="C31" s="940">
        <f>ROUND(C4*F31/(1+'数据-取费表'!C42),0)</f>
        <v>18186</v>
      </c>
      <c r="D31" s="941"/>
      <c r="E31" s="942"/>
      <c r="F31" s="943">
        <f>'数据-取费表'!B41</f>
        <v>5.6000000000000001E-2</v>
      </c>
      <c r="G31" s="944" t="s">
        <v>2312</v>
      </c>
      <c r="H31" s="945"/>
      <c r="I31" s="945"/>
      <c r="J31" s="945"/>
      <c r="K31" s="946"/>
    </row>
    <row r="32" spans="1:33" s="904" customFormat="1" ht="13.5" customHeight="1" thickBot="1">
      <c r="A32" s="934" t="s">
        <v>2313</v>
      </c>
      <c r="B32" s="935"/>
      <c r="C32" s="936">
        <f ca="1">ROUND((C4-C21-C22-C23-C25-C28-C31)/(1+C24+D25+D28),0)</f>
        <v>172674</v>
      </c>
      <c r="D32" s="935"/>
      <c r="E32" s="935"/>
      <c r="F32" s="935"/>
      <c r="G32" s="937" t="s">
        <v>2314</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B81" sqref="B81"/>
    </sheetView>
  </sheetViews>
  <sheetFormatPr defaultRowHeight="13.5"/>
  <sheetData/>
  <phoneticPr fontId="13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875" style="261" customWidth="1"/>
    <col min="6" max="6" width="10.625" style="261" customWidth="1"/>
    <col min="7" max="7" width="4.875" style="261" customWidth="1"/>
    <col min="8" max="8" width="8.5" style="261" customWidth="1"/>
    <col min="9" max="9" width="21.125" style="261" customWidth="1"/>
    <col min="10" max="10" width="12.125" style="261" customWidth="1"/>
    <col min="11" max="11" width="45.125" style="1650" customWidth="1"/>
    <col min="12" max="12" width="16.375" style="261" customWidth="1"/>
    <col min="13" max="13" width="13" style="261" customWidth="1"/>
    <col min="14" max="14" width="13.875" style="1566" customWidth="1"/>
    <col min="15" max="15" width="5.125" style="1566" customWidth="1"/>
    <col min="16" max="16" width="25.875" style="1566" customWidth="1"/>
    <col min="17" max="17" width="13.875" style="1566" customWidth="1"/>
    <col min="18" max="18" width="20.5" style="1566" customWidth="1"/>
    <col min="19" max="19" width="13.125" style="1566" customWidth="1"/>
    <col min="20" max="37" width="9" style="1566"/>
    <col min="38" max="16384" width="9" style="261"/>
  </cols>
  <sheetData>
    <row r="1" spans="1:37" s="296" customFormat="1" ht="21">
      <c r="A1" s="1557" t="s">
        <v>1531</v>
      </c>
      <c r="B1" s="719"/>
      <c r="C1" s="1561"/>
      <c r="D1" s="1544"/>
      <c r="E1" s="1545" t="s">
        <v>1329</v>
      </c>
      <c r="F1" s="1190">
        <f ca="1">J53</f>
        <v>-2.7</v>
      </c>
      <c r="G1" s="1560">
        <f>MATCH(C1,'数据-取费表'!A6:A16,0)+5</f>
        <v>10</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1457</v>
      </c>
      <c r="B2" s="1568" t="e">
        <f ca="1">C40+J29+L46</f>
        <v>#DIV/0!</v>
      </c>
      <c r="C2" s="1569" t="s">
        <v>1458</v>
      </c>
      <c r="D2" s="1569"/>
      <c r="E2" s="1570"/>
      <c r="F2" s="1571"/>
      <c r="G2" s="2932"/>
      <c r="H2" s="2921"/>
      <c r="I2" s="2921"/>
      <c r="J2" s="2921"/>
      <c r="K2" s="2922"/>
      <c r="L2" s="2921"/>
      <c r="M2" s="2921"/>
    </row>
    <row r="3" spans="1:37" ht="18" customHeight="1" thickBot="1">
      <c r="A3" s="1572" t="s">
        <v>1459</v>
      </c>
      <c r="B3" s="1573">
        <f ca="1">IF(ISERROR(B2*10000/F43),0,ROUND(B2*10000/F43,0))</f>
        <v>0</v>
      </c>
      <c r="C3" s="1569" t="s">
        <v>1460</v>
      </c>
      <c r="D3" s="1569"/>
      <c r="E3" s="1570"/>
      <c r="F3" s="1571"/>
      <c r="G3" s="2932"/>
      <c r="H3" s="689" t="s">
        <v>1530</v>
      </c>
      <c r="I3" s="1564"/>
      <c r="J3" s="1564"/>
      <c r="K3" s="1565"/>
      <c r="L3" s="1564"/>
      <c r="M3" s="1564"/>
    </row>
    <row r="4" spans="1:37" ht="18" customHeight="1">
      <c r="A4" s="298" t="s">
        <v>1338</v>
      </c>
      <c r="B4" s="299" t="s">
        <v>1339</v>
      </c>
      <c r="C4" s="299" t="s">
        <v>1340</v>
      </c>
      <c r="D4" s="299" t="s">
        <v>1341</v>
      </c>
      <c r="E4" s="300" t="s">
        <v>1342</v>
      </c>
      <c r="F4" s="301"/>
      <c r="G4" s="1566"/>
      <c r="H4" s="298" t="s">
        <v>1338</v>
      </c>
      <c r="I4" s="299" t="s">
        <v>1339</v>
      </c>
      <c r="J4" s="299" t="s">
        <v>1340</v>
      </c>
      <c r="K4" s="299" t="s">
        <v>1341</v>
      </c>
      <c r="L4" s="300" t="s">
        <v>1342</v>
      </c>
      <c r="M4" s="301"/>
    </row>
    <row r="5" spans="1:37" ht="18" customHeight="1">
      <c r="A5" s="302">
        <v>1</v>
      </c>
      <c r="B5" s="303" t="s">
        <v>1343</v>
      </c>
      <c r="C5" s="1199">
        <f ca="1">C6+C10+C12</f>
        <v>0</v>
      </c>
      <c r="D5" s="1546" t="s">
        <v>1344</v>
      </c>
      <c r="E5" s="1200"/>
      <c r="F5" s="1201"/>
      <c r="G5" s="1566"/>
      <c r="H5" s="302">
        <v>1</v>
      </c>
      <c r="I5" s="303" t="s">
        <v>1343</v>
      </c>
      <c r="J5" s="1199">
        <f ca="1">J6+J10+J12</f>
        <v>0</v>
      </c>
      <c r="K5" s="1546" t="s">
        <v>1344</v>
      </c>
      <c r="L5" s="1200"/>
      <c r="M5" s="1201"/>
    </row>
    <row r="6" spans="1:37" ht="18" customHeight="1">
      <c r="A6" s="1198" t="s">
        <v>980</v>
      </c>
      <c r="B6" s="3347" t="s">
        <v>1345</v>
      </c>
      <c r="C6" s="1203">
        <f ca="1">ROUND(F6*F8*F7*(1-F9)/10000,0)</f>
        <v>0</v>
      </c>
      <c r="D6" s="157" t="s">
        <v>2826</v>
      </c>
      <c r="E6" s="305" t="s">
        <v>1347</v>
      </c>
      <c r="F6" s="306">
        <f ca="1">INDIRECT("'数据-取费表'!u"&amp;$G$1)</f>
        <v>0</v>
      </c>
      <c r="G6" s="1566"/>
      <c r="H6" s="1198" t="s">
        <v>980</v>
      </c>
      <c r="I6" s="3347" t="s">
        <v>1345</v>
      </c>
      <c r="J6" s="304">
        <f ca="1">ROUND(M6*M8*M7*(1-M9)/10000,0)</f>
        <v>0</v>
      </c>
      <c r="K6" s="157" t="s">
        <v>2825</v>
      </c>
      <c r="L6" s="305" t="s">
        <v>1347</v>
      </c>
      <c r="M6" s="306">
        <f ca="1">INDIRECT("'数据-取费表'!z"&amp;$G$1)</f>
        <v>0</v>
      </c>
    </row>
    <row r="7" spans="1:37" ht="18" customHeight="1">
      <c r="A7" s="1202"/>
      <c r="B7" s="3348"/>
      <c r="C7" s="1204"/>
      <c r="D7" s="310"/>
      <c r="E7" s="1205" t="s">
        <v>1348</v>
      </c>
      <c r="F7" s="306">
        <f ca="1">IF(INDIRECT("'数据-取费表'!ah"&amp;$G$1)="",INDIRECT("'数据-取费表'!k"&amp;$G$1),INDIRECT("'数据-取费表'!ah"&amp;$G$1))</f>
        <v>0</v>
      </c>
      <c r="G7" s="1566"/>
      <c r="H7" s="307"/>
      <c r="I7" s="3348"/>
      <c r="J7" s="309"/>
      <c r="K7" s="310"/>
      <c r="L7" s="305" t="s">
        <v>1348</v>
      </c>
      <c r="M7" s="306">
        <f ca="1">F7</f>
        <v>0</v>
      </c>
    </row>
    <row r="8" spans="1:37" ht="18" customHeight="1">
      <c r="A8" s="307"/>
      <c r="B8" s="3348"/>
      <c r="C8" s="309"/>
      <c r="D8" s="310"/>
      <c r="E8" s="305" t="s">
        <v>1349</v>
      </c>
      <c r="F8" s="306">
        <f ca="1">INDIRECT("'数据-取费表'!ai"&amp;$G$1)</f>
        <v>0</v>
      </c>
      <c r="G8" s="1566"/>
      <c r="H8" s="307"/>
      <c r="I8" s="3348"/>
      <c r="J8" s="309"/>
      <c r="K8" s="310"/>
      <c r="L8" s="305" t="s">
        <v>1349</v>
      </c>
      <c r="M8" s="306">
        <f ca="1">INDIRECT("'数据-取费表'!ai"&amp;$G$1)</f>
        <v>0</v>
      </c>
    </row>
    <row r="9" spans="1:37" ht="18" customHeight="1">
      <c r="A9" s="307"/>
      <c r="B9" s="3349"/>
      <c r="C9" s="309"/>
      <c r="D9" s="310"/>
      <c r="E9" s="305" t="s">
        <v>1350</v>
      </c>
      <c r="F9" s="315">
        <f ca="1">INDIRECT("'数据-取费表'!w"&amp;$G$1)</f>
        <v>0</v>
      </c>
      <c r="G9" s="1566"/>
      <c r="H9" s="307"/>
      <c r="I9" s="3349"/>
      <c r="J9" s="309"/>
      <c r="K9" s="310"/>
      <c r="L9" s="316" t="s">
        <v>1350</v>
      </c>
      <c r="M9" s="317">
        <f ca="1">INDIRECT("'数据-取费表'!ab"&amp;$G$1)</f>
        <v>0</v>
      </c>
    </row>
    <row r="10" spans="1:37" ht="18" customHeight="1">
      <c r="A10" s="1198" t="s">
        <v>984</v>
      </c>
      <c r="B10" s="1547" t="s">
        <v>1351</v>
      </c>
      <c r="C10" s="319">
        <f ca="1">ROUND(IF(F10="押一",C6/12*F11,IF(F10="押二",C6/12*2*F11,IF(F10="押三",C6/12*3*F11,C11*F11))),0)</f>
        <v>0</v>
      </c>
      <c r="D10" s="1548" t="s">
        <v>2834</v>
      </c>
      <c r="E10" s="316" t="s">
        <v>1352</v>
      </c>
      <c r="F10" s="1273"/>
      <c r="G10" s="1566"/>
      <c r="H10" s="1198" t="s">
        <v>984</v>
      </c>
      <c r="I10" s="1547" t="s">
        <v>1351</v>
      </c>
      <c r="J10" s="304">
        <f ca="1">ROUND(IF(M10="押一",J6/12*M11,IF(M10="押二",J6/12*2*M11,IF(M10="押三",J6/12*3*M11,J11*M11))),0)</f>
        <v>0</v>
      </c>
      <c r="K10" s="1548" t="s">
        <v>2833</v>
      </c>
      <c r="L10" s="316" t="s">
        <v>1352</v>
      </c>
      <c r="M10" s="1273" t="s">
        <v>1353</v>
      </c>
    </row>
    <row r="11" spans="1:37" ht="18" customHeight="1">
      <c r="A11" s="311"/>
      <c r="B11" s="1549" t="s">
        <v>1330</v>
      </c>
      <c r="C11" s="1087"/>
      <c r="D11" s="1550"/>
      <c r="E11" s="316" t="s">
        <v>1354</v>
      </c>
      <c r="F11" s="317">
        <f ca="1">'数据-取费表'!B39</f>
        <v>1.4999999999999999E-2</v>
      </c>
      <c r="G11" s="1566"/>
      <c r="H11" s="1206"/>
      <c r="I11" s="1549" t="s">
        <v>1330</v>
      </c>
      <c r="J11" s="1087"/>
      <c r="K11" s="690"/>
      <c r="L11" s="316" t="s">
        <v>1354</v>
      </c>
      <c r="M11" s="968">
        <f ca="1">'数据-取费表'!B39</f>
        <v>1.4999999999999999E-2</v>
      </c>
    </row>
    <row r="12" spans="1:37" ht="18" customHeight="1" thickBot="1">
      <c r="A12" s="1240" t="s">
        <v>1020</v>
      </c>
      <c r="B12" s="1551" t="s">
        <v>1355</v>
      </c>
      <c r="C12" s="1241"/>
      <c r="D12" s="1242"/>
      <c r="E12" s="1247"/>
      <c r="F12" s="1243"/>
      <c r="G12" s="1566"/>
      <c r="H12" s="1240" t="s">
        <v>1020</v>
      </c>
      <c r="I12" s="1551" t="s">
        <v>1355</v>
      </c>
      <c r="J12" s="1241"/>
      <c r="K12" s="1255"/>
      <c r="L12" s="1247"/>
      <c r="M12" s="1256"/>
    </row>
    <row r="13" spans="1:37" ht="18" customHeight="1" thickTop="1">
      <c r="A13" s="1236">
        <v>2</v>
      </c>
      <c r="B13" s="1237" t="s">
        <v>1356</v>
      </c>
      <c r="C13" s="313">
        <f ca="1">ROUND(C29*F13,0)</f>
        <v>0</v>
      </c>
      <c r="D13" s="1238" t="s">
        <v>1357</v>
      </c>
      <c r="E13" s="1238" t="s">
        <v>1358</v>
      </c>
      <c r="F13" s="1239">
        <f ca="1">INDIRECT("'数据-取费表'!y"&amp;$G$1)</f>
        <v>0</v>
      </c>
      <c r="G13" s="1566"/>
      <c r="H13" s="1236">
        <v>2</v>
      </c>
      <c r="I13" s="1237" t="s">
        <v>1356</v>
      </c>
      <c r="J13" s="1197">
        <f ca="1">ROUND(J14*J15,0)</f>
        <v>0</v>
      </c>
      <c r="K13" s="1244" t="s">
        <v>1357</v>
      </c>
      <c r="L13" s="1574"/>
      <c r="M13" s="1575"/>
    </row>
    <row r="14" spans="1:37" ht="18" customHeight="1">
      <c r="A14" s="1110" t="s">
        <v>979</v>
      </c>
      <c r="B14" s="305" t="s">
        <v>1359</v>
      </c>
      <c r="C14" s="321">
        <f ca="1">INDIRECT("'数据-取费表'!m"&amp;$G$1)+INDIRECT("'数据-取费表'!t"&amp;$G$1)</f>
        <v>0</v>
      </c>
      <c r="D14" s="1527" t="s">
        <v>1360</v>
      </c>
      <c r="E14" s="1524"/>
      <c r="F14" s="322"/>
      <c r="G14" s="1566"/>
      <c r="H14" s="1110" t="s">
        <v>980</v>
      </c>
      <c r="I14" s="305" t="s">
        <v>1361</v>
      </c>
      <c r="J14" s="21">
        <f ca="1">C29</f>
        <v>0</v>
      </c>
      <c r="K14" s="12"/>
      <c r="L14" s="913"/>
      <c r="M14" s="914"/>
    </row>
    <row r="15" spans="1:37" s="1579" customFormat="1" ht="18" customHeight="1" thickBot="1">
      <c r="A15" s="1110" t="s">
        <v>981</v>
      </c>
      <c r="B15" s="305" t="s">
        <v>1362</v>
      </c>
      <c r="C15" s="21">
        <f ca="1">ROUND(C14*F15,0)</f>
        <v>0</v>
      </c>
      <c r="D15" s="323" t="s">
        <v>1363</v>
      </c>
      <c r="E15" s="323" t="s">
        <v>1364</v>
      </c>
      <c r="F15" s="324">
        <f>'数据-取费表'!B33</f>
        <v>0.03</v>
      </c>
      <c r="G15" s="1578"/>
      <c r="H15" s="1246" t="s">
        <v>984</v>
      </c>
      <c r="I15" s="1247" t="s">
        <v>1358</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1331</v>
      </c>
      <c r="B16" s="305" t="s">
        <v>1365</v>
      </c>
      <c r="C16" s="21">
        <f ca="1">ROUND(INDIRECT("'数据-取费表'!m"&amp;$G$1)*F16,0)</f>
        <v>0</v>
      </c>
      <c r="D16" s="305" t="s">
        <v>1363</v>
      </c>
      <c r="E16" s="305" t="s">
        <v>1364</v>
      </c>
      <c r="F16" s="325">
        <f ca="1">IF(INDIRECT("'数据-取费表'!c"&amp;$G$1)="住宅",'数据-取费表'!B34,0)</f>
        <v>0</v>
      </c>
      <c r="G16" s="1566"/>
      <c r="H16" s="1236" t="s">
        <v>975</v>
      </c>
      <c r="I16" s="1237" t="s">
        <v>1366</v>
      </c>
      <c r="J16" s="313">
        <f ca="1">ROUND(J17+J22+J23+J24,0)</f>
        <v>0</v>
      </c>
      <c r="K16" s="1244" t="s">
        <v>1367</v>
      </c>
      <c r="L16" s="1245"/>
      <c r="M16" s="1201"/>
    </row>
    <row r="17" spans="1:37" s="1579" customFormat="1" ht="18" customHeight="1">
      <c r="A17" s="1110" t="s">
        <v>1332</v>
      </c>
      <c r="B17" s="305" t="s">
        <v>1368</v>
      </c>
      <c r="C17" s="21">
        <f ca="1">ROUND(F17*(F43+INDIRECT("'数据-取费表'!S"&amp;$G$1))/10000,0)</f>
        <v>0</v>
      </c>
      <c r="D17" s="305" t="s">
        <v>1369</v>
      </c>
      <c r="E17" s="305" t="s">
        <v>1370</v>
      </c>
      <c r="F17" s="23">
        <f>'数据-取费表'!B35</f>
        <v>200</v>
      </c>
      <c r="G17" s="1578"/>
      <c r="H17" s="1110" t="s">
        <v>980</v>
      </c>
      <c r="I17" s="305" t="s">
        <v>1371</v>
      </c>
      <c r="J17" s="2531">
        <f ca="1">ROUND(IF(AND(项目基本情况!B11="自然人",项目基本情况!B10="北京市"),J6*M17/(1+'数据-取费表'!C42),J18+J19+J20),0)</f>
        <v>0</v>
      </c>
      <c r="K17" s="1527" t="s">
        <v>1372</v>
      </c>
      <c r="L17" s="1526" t="s">
        <v>1373</v>
      </c>
      <c r="M17" s="2530">
        <f ca="1">IF(项目基本情况!B11="企业","",IF('数据-取费表'!B10="住宅",IF(M6*M7*M8/12/(1+'数据-取费表'!F30)&gt;100000,4%,2.5%),IF(M6*M7*M8/12/(1+'数据-取费表'!F30)&gt;100000,12%,7%)))</f>
        <v>7.0000000000000007E-2</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1333</v>
      </c>
      <c r="B18" s="305" t="s">
        <v>1374</v>
      </c>
      <c r="C18" s="21">
        <f ca="1">ROUND(C14*F18,0)</f>
        <v>0</v>
      </c>
      <c r="D18" s="305" t="s">
        <v>1363</v>
      </c>
      <c r="E18" s="305" t="s">
        <v>1364</v>
      </c>
      <c r="F18" s="325">
        <f>'数据-取费表'!B36</f>
        <v>1.4999999999999999E-2</v>
      </c>
      <c r="G18" s="1578"/>
      <c r="H18" s="1110" t="s">
        <v>979</v>
      </c>
      <c r="I18" s="305" t="s">
        <v>1375</v>
      </c>
      <c r="J18" s="21">
        <f ca="1">ROUND(J6*M18/(1+'数据-取费表'!C42),2)</f>
        <v>0</v>
      </c>
      <c r="K18" s="1526" t="s">
        <v>1376</v>
      </c>
      <c r="L18" s="305" t="s">
        <v>1364</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980</v>
      </c>
      <c r="B19" s="305" t="s">
        <v>1377</v>
      </c>
      <c r="C19" s="21">
        <f ca="1">SUM(C14:C18)</f>
        <v>0</v>
      </c>
      <c r="D19" s="133" t="s">
        <v>1378</v>
      </c>
      <c r="E19" s="1542"/>
      <c r="F19" s="23"/>
      <c r="G19" s="1566"/>
      <c r="H19" s="1110" t="s">
        <v>981</v>
      </c>
      <c r="I19" s="305" t="s">
        <v>1379</v>
      </c>
      <c r="J19" s="21">
        <f ca="1">IF(K19="按租金收入计税",ROUND(J6*M19/(1+'数据-取费表'!C42),2),ROUND(C29*M19*0.7,2))</f>
        <v>0</v>
      </c>
      <c r="K19" s="1552" t="s">
        <v>1380</v>
      </c>
      <c r="L19" s="305" t="s">
        <v>1364</v>
      </c>
      <c r="M19" s="325">
        <f>IF(K19="按租金收入计税",'数据-取费表'!B51,'数据-取费表'!B50)</f>
        <v>1.2E-2</v>
      </c>
    </row>
    <row r="20" spans="1:37" s="1579" customFormat="1" ht="18" customHeight="1">
      <c r="A20" s="1110" t="s">
        <v>984</v>
      </c>
      <c r="B20" s="305" t="s">
        <v>1381</v>
      </c>
      <c r="C20" s="21">
        <f ca="1">ROUND(C19*F20,0)</f>
        <v>0</v>
      </c>
      <c r="D20" s="326" t="s">
        <v>1382</v>
      </c>
      <c r="E20" s="305" t="s">
        <v>1364</v>
      </c>
      <c r="F20" s="325">
        <f>'数据-取费表'!B37</f>
        <v>0.02</v>
      </c>
      <c r="G20" s="1578"/>
      <c r="H20" s="1110" t="s">
        <v>1331</v>
      </c>
      <c r="I20" s="157" t="s">
        <v>1383</v>
      </c>
      <c r="J20" s="22">
        <f ca="1">ROUND(M20*M21/10000,2)</f>
        <v>0</v>
      </c>
      <c r="K20" s="327" t="s">
        <v>1384</v>
      </c>
      <c r="L20" s="305" t="s">
        <v>1385</v>
      </c>
      <c r="M20" s="328">
        <f>'数据-取费表'!B52</f>
        <v>0</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1020</v>
      </c>
      <c r="B21" s="305" t="s">
        <v>1386</v>
      </c>
      <c r="C21" s="21" t="s">
        <v>15</v>
      </c>
      <c r="D21" s="326" t="s">
        <v>1387</v>
      </c>
      <c r="E21" s="305" t="s">
        <v>1388</v>
      </c>
      <c r="F21" s="325">
        <f>'数据-取费表'!B38</f>
        <v>0.02</v>
      </c>
      <c r="G21" s="1578"/>
      <c r="H21" s="329"/>
      <c r="I21" s="314"/>
      <c r="J21" s="26"/>
      <c r="K21" s="330"/>
      <c r="L21" s="305" t="s">
        <v>1389</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1334</v>
      </c>
      <c r="B22" s="305" t="s">
        <v>1390</v>
      </c>
      <c r="C22" s="21"/>
      <c r="D22" s="133" t="str">
        <f>IF(F23&lt;=1,"单利计息。","复利计息。")&amp;"建造成本、管理费用、销售费用产生的利息。"</f>
        <v>复利计息。建造成本、管理费用、销售费用产生的利息。</v>
      </c>
      <c r="E22" s="1542"/>
      <c r="F22" s="23"/>
      <c r="G22" s="1566"/>
      <c r="H22" s="1110" t="s">
        <v>984</v>
      </c>
      <c r="I22" s="305" t="s">
        <v>1391</v>
      </c>
      <c r="J22" s="21">
        <f ca="1">ROUND(J14*M22,1)</f>
        <v>0</v>
      </c>
      <c r="K22" s="1526" t="s">
        <v>1392</v>
      </c>
      <c r="L22" s="305" t="s">
        <v>1364</v>
      </c>
      <c r="M22" s="331">
        <f ca="1">INDIRECT("'数据-取费表'!Ak"&amp;$G$1)</f>
        <v>0</v>
      </c>
    </row>
    <row r="23" spans="1:37" s="1579" customFormat="1" ht="18" customHeight="1">
      <c r="A23" s="1110" t="s">
        <v>979</v>
      </c>
      <c r="B23" s="305" t="s">
        <v>1393</v>
      </c>
      <c r="C23" s="21">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1394</v>
      </c>
      <c r="F23" s="328">
        <f>'数据-取费表'!B20</f>
        <v>3</v>
      </c>
      <c r="G23" s="1578"/>
      <c r="H23" s="1110" t="s">
        <v>1020</v>
      </c>
      <c r="I23" s="305" t="s">
        <v>1395</v>
      </c>
      <c r="J23" s="21">
        <f ca="1">ROUND(J13*M23,1)</f>
        <v>0</v>
      </c>
      <c r="K23" s="1526" t="s">
        <v>1396</v>
      </c>
      <c r="L23" s="305" t="s">
        <v>1397</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1398</v>
      </c>
      <c r="B24" s="305" t="s">
        <v>1399</v>
      </c>
      <c r="C24" s="21">
        <f ca="1">ROUND(IF('数据-取费表'!B22&lt;=1,F21*F24*F23/2,F21*(POWER((1+F24),F23/2)-1)),4)</f>
        <v>1.1999999999999999E-3</v>
      </c>
      <c r="D24" s="332" t="str">
        <f>IF(F23&lt;=1,"销售费用×利率×(建设周期÷2)","销售费用×((1+利率)^(建设周期÷2)-1)")</f>
        <v>销售费用×((1+利率)^(建设周期÷2)-1)</v>
      </c>
      <c r="E24" s="305" t="s">
        <v>1400</v>
      </c>
      <c r="F24" s="334">
        <f ca="1">'数据-取费表'!B40</f>
        <v>3.85E-2</v>
      </c>
      <c r="G24" s="1578"/>
      <c r="H24" s="1246" t="s">
        <v>1335</v>
      </c>
      <c r="I24" s="1247" t="s">
        <v>1381</v>
      </c>
      <c r="J24" s="1248">
        <f ca="1">ROUND(J5*M24,1)</f>
        <v>0</v>
      </c>
      <c r="K24" s="1249" t="s">
        <v>1401</v>
      </c>
      <c r="L24" s="1247" t="s">
        <v>1397</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1402</v>
      </c>
      <c r="B25" s="305" t="s">
        <v>1403</v>
      </c>
      <c r="C25" s="21"/>
      <c r="D25" s="133" t="s">
        <v>1404</v>
      </c>
      <c r="E25" s="1542"/>
      <c r="F25" s="23"/>
      <c r="G25" s="1566"/>
      <c r="H25" s="1236" t="s">
        <v>976</v>
      </c>
      <c r="I25" s="1251" t="s">
        <v>1405</v>
      </c>
      <c r="J25" s="313">
        <f ca="1">J5-J16</f>
        <v>0</v>
      </c>
      <c r="K25" s="1252" t="s">
        <v>1406</v>
      </c>
      <c r="L25" s="1253"/>
      <c r="M25" s="1254"/>
    </row>
    <row r="26" spans="1:37">
      <c r="A26" s="1110" t="s">
        <v>979</v>
      </c>
      <c r="B26" s="305" t="s">
        <v>1407</v>
      </c>
      <c r="C26" s="21">
        <f ca="1">ROUND((C19+C20)*F26,0)</f>
        <v>0</v>
      </c>
      <c r="D26" s="326" t="s">
        <v>1408</v>
      </c>
      <c r="E26" s="316" t="s">
        <v>1409</v>
      </c>
      <c r="F26" s="315">
        <f ca="1">INDIRECT("'数据-取费表'!q"&amp;$G$1)</f>
        <v>0</v>
      </c>
      <c r="G26" s="1566"/>
      <c r="H26" s="302" t="s">
        <v>977</v>
      </c>
      <c r="I26" s="303" t="s">
        <v>1410</v>
      </c>
      <c r="J26" s="304">
        <f ca="1">IF(J5&lt;&gt;0,ROUND(J25*(1-((1+M28)/(1+M26))^M27)/(M26-M28),0),0)</f>
        <v>0</v>
      </c>
      <c r="K26" s="327" t="s">
        <v>1411</v>
      </c>
      <c r="L26" s="305" t="s">
        <v>1412</v>
      </c>
      <c r="M26" s="315">
        <f ca="1">INDIRECT("'数据-取费表'!I"&amp;$G$1)</f>
        <v>0</v>
      </c>
    </row>
    <row r="27" spans="1:37" ht="18" customHeight="1">
      <c r="A27" s="1110" t="s">
        <v>981</v>
      </c>
      <c r="B27" s="305" t="s">
        <v>1413</v>
      </c>
      <c r="C27" s="21">
        <f ca="1">ROUND(F21*F26,4)</f>
        <v>0</v>
      </c>
      <c r="D27" s="326" t="s">
        <v>1414</v>
      </c>
      <c r="E27" s="323"/>
      <c r="F27" s="324"/>
      <c r="G27" s="1566"/>
      <c r="H27" s="307"/>
      <c r="I27" s="308"/>
      <c r="J27" s="309"/>
      <c r="K27" s="335" t="s">
        <v>1415</v>
      </c>
      <c r="L27" s="305" t="s">
        <v>1416</v>
      </c>
      <c r="M27" s="336">
        <f ca="1">INDIRECT("'数据-取费表'!ag"&amp;$G$1)</f>
        <v>0</v>
      </c>
    </row>
    <row r="28" spans="1:37" s="1579" customFormat="1" ht="18" customHeight="1">
      <c r="A28" s="1110" t="s">
        <v>982</v>
      </c>
      <c r="B28" s="305" t="s">
        <v>1417</v>
      </c>
      <c r="C28" s="21">
        <f>ROUND(F28/(1+'数据-取费表'!C42),4)</f>
        <v>5.33E-2</v>
      </c>
      <c r="D28" s="326" t="s">
        <v>1418</v>
      </c>
      <c r="E28" s="305" t="s">
        <v>1364</v>
      </c>
      <c r="F28" s="325">
        <f>'数据-取费表'!B41</f>
        <v>5.6000000000000001E-2</v>
      </c>
      <c r="G28" s="1578"/>
      <c r="H28" s="311"/>
      <c r="I28" s="312"/>
      <c r="J28" s="313"/>
      <c r="K28" s="330"/>
      <c r="L28" s="305" t="s">
        <v>1419</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983</v>
      </c>
      <c r="B29" s="1247" t="s">
        <v>1420</v>
      </c>
      <c r="C29" s="1248">
        <f ca="1">ROUND((C19+C20+C23+C26)/(1-F21-C24-C27-C28),0)</f>
        <v>0</v>
      </c>
      <c r="D29" s="1249"/>
      <c r="E29" s="1247"/>
      <c r="F29" s="1250"/>
      <c r="G29" s="1578"/>
      <c r="H29" s="337" t="s">
        <v>978</v>
      </c>
      <c r="I29" s="338" t="s">
        <v>1421</v>
      </c>
      <c r="J29" s="339">
        <f ca="1">ROUND(J26/(1+F40)^F41,0)</f>
        <v>0</v>
      </c>
      <c r="K29" s="340" t="s">
        <v>1422</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975</v>
      </c>
      <c r="B30" s="1237" t="s">
        <v>1366</v>
      </c>
      <c r="C30" s="313">
        <f ca="1">ROUND(C31+C36+C37+C38,0)</f>
        <v>0</v>
      </c>
      <c r="D30" s="1244" t="s">
        <v>1367</v>
      </c>
      <c r="E30" s="1245"/>
      <c r="F30" s="1201"/>
      <c r="G30" s="1566"/>
      <c r="H30" s="2923"/>
      <c r="I30" s="1580"/>
      <c r="J30" s="1581"/>
      <c r="K30" s="2698"/>
      <c r="L30" s="2924"/>
      <c r="M30" s="2925"/>
    </row>
    <row r="31" spans="1:37" ht="18" customHeight="1">
      <c r="A31" s="1110" t="s">
        <v>980</v>
      </c>
      <c r="B31" s="305" t="s">
        <v>1371</v>
      </c>
      <c r="C31" s="2531">
        <f ca="1">ROUND(IF(AND(项目基本情况!B11="自然人",项目基本情况!B10="北京市"),C6*F31/(1+'数据-取费表'!C42),C32+C33+C34),0)</f>
        <v>0</v>
      </c>
      <c r="D31" s="1527" t="s">
        <v>1372</v>
      </c>
      <c r="E31" s="1526" t="s">
        <v>1423</v>
      </c>
      <c r="F31" s="2530">
        <f ca="1">IF(项目基本情况!B11="企业","——",IF('数据-取费表'!B10="住宅",IF(F6*F7*F8/12/(1+'数据-取费表'!F30)&gt;100000,4%,2.5%),IF(F6*F7*F8/12/(1+'数据-取费表'!F30)&gt;100000,12%,7%)))</f>
        <v>7.0000000000000007E-2</v>
      </c>
      <c r="G31" s="1566"/>
      <c r="H31" s="3036" t="s">
        <v>3033</v>
      </c>
      <c r="I31" s="1580"/>
      <c r="J31" s="1581"/>
      <c r="K31" s="2698"/>
      <c r="L31" s="2924"/>
      <c r="M31" s="2925"/>
    </row>
    <row r="32" spans="1:37" ht="18" customHeight="1">
      <c r="A32" s="1110" t="s">
        <v>979</v>
      </c>
      <c r="B32" s="305" t="s">
        <v>1375</v>
      </c>
      <c r="C32" s="21">
        <f ca="1">IF(项目基本情况!B11="自然人","——",ROUND(C6*F32/(1+'数据-取费表'!C42),2))</f>
        <v>0</v>
      </c>
      <c r="D32" s="1526" t="s">
        <v>1376</v>
      </c>
      <c r="E32" s="305" t="s">
        <v>1364</v>
      </c>
      <c r="F32" s="334">
        <f>'数据-取费表'!B41</f>
        <v>5.6000000000000001E-2</v>
      </c>
      <c r="G32" s="1566"/>
      <c r="H32" s="2923"/>
      <c r="I32" s="1580"/>
      <c r="J32" s="1581"/>
      <c r="K32" s="2698"/>
      <c r="L32" s="2924"/>
      <c r="M32" s="2925"/>
    </row>
    <row r="33" spans="1:18" ht="18" customHeight="1">
      <c r="A33" s="1110" t="s">
        <v>981</v>
      </c>
      <c r="B33" s="305" t="s">
        <v>1379</v>
      </c>
      <c r="C33" s="21">
        <f ca="1">IF(项目基本情况!B11="自然人","——",IF(D33="按租金收入计税",ROUND(C6*F33/(1+'数据-取费表'!C42),2),IF(D33="按房产原值计税",ROUND(C29*F33*0.7,2),INDIRECT("'数据-取费表'!Aj"&amp;$G$1))))</f>
        <v>0</v>
      </c>
      <c r="D33" s="1552" t="s">
        <v>1380</v>
      </c>
      <c r="E33" s="305" t="s">
        <v>1364</v>
      </c>
      <c r="F33" s="325">
        <f>IF(D33="按票据","——",IF(D33="按租金收入计税",'数据-取费表'!B51,'数据-取费表'!B50))</f>
        <v>1.2E-2</v>
      </c>
      <c r="G33" s="1566"/>
      <c r="H33" s="2926"/>
      <c r="I33" s="1580"/>
      <c r="J33" s="1581"/>
      <c r="K33" s="2927"/>
      <c r="L33" s="2926"/>
      <c r="M33" s="2926"/>
    </row>
    <row r="34" spans="1:18" ht="18" customHeight="1">
      <c r="A34" s="1198" t="s">
        <v>1331</v>
      </c>
      <c r="B34" s="157" t="s">
        <v>1383</v>
      </c>
      <c r="C34" s="22">
        <f ca="1">IF(项目基本情况!B11="自然人","——",ROUND(F34*F35/10000,2))</f>
        <v>0</v>
      </c>
      <c r="D34" s="327" t="s">
        <v>1384</v>
      </c>
      <c r="E34" s="305" t="s">
        <v>1385</v>
      </c>
      <c r="F34" s="328">
        <f>'数据-取费表'!B52</f>
        <v>0</v>
      </c>
      <c r="G34" s="1566"/>
      <c r="H34" s="2923"/>
      <c r="I34" s="1580"/>
      <c r="J34" s="1581"/>
      <c r="K34" s="2928"/>
      <c r="L34" s="2929"/>
      <c r="M34" s="2929"/>
    </row>
    <row r="35" spans="1:18" ht="18" customHeight="1">
      <c r="A35" s="1260"/>
      <c r="B35" s="1258"/>
      <c r="C35" s="26"/>
      <c r="D35" s="330"/>
      <c r="E35" s="305" t="s">
        <v>1389</v>
      </c>
      <c r="F35" s="306">
        <f ca="1">INDIRECT("'数据-取费表'!r"&amp;$G$1)</f>
        <v>0</v>
      </c>
      <c r="G35" s="1566"/>
      <c r="H35" s="2923"/>
      <c r="I35" s="1580"/>
      <c r="J35" s="1581"/>
      <c r="K35" s="2927"/>
      <c r="L35" s="2926"/>
      <c r="M35" s="2926"/>
    </row>
    <row r="36" spans="1:18" ht="18" customHeight="1">
      <c r="A36" s="1259" t="s">
        <v>984</v>
      </c>
      <c r="B36" s="305" t="s">
        <v>1391</v>
      </c>
      <c r="C36" s="21">
        <f ca="1">ROUND(C29*F36,1)</f>
        <v>0</v>
      </c>
      <c r="D36" s="1526" t="s">
        <v>1424</v>
      </c>
      <c r="E36" s="305" t="s">
        <v>1364</v>
      </c>
      <c r="F36" s="331">
        <f ca="1">INDIRECT("'数据-取费表'!Ak"&amp;$G$1)</f>
        <v>0</v>
      </c>
      <c r="G36" s="1566"/>
      <c r="H36" s="2926"/>
      <c r="I36" s="1580"/>
      <c r="J36" s="1581"/>
      <c r="K36" s="2767"/>
      <c r="L36" s="2926"/>
      <c r="M36" s="2926"/>
    </row>
    <row r="37" spans="1:18" ht="18" customHeight="1">
      <c r="A37" s="1110" t="s">
        <v>1020</v>
      </c>
      <c r="B37" s="305" t="s">
        <v>1395</v>
      </c>
      <c r="C37" s="21">
        <f ca="1">ROUND(C13*F37,1)</f>
        <v>0</v>
      </c>
      <c r="D37" s="1526" t="s">
        <v>1396</v>
      </c>
      <c r="E37" s="305" t="s">
        <v>1397</v>
      </c>
      <c r="F37" s="333">
        <f ca="1">INDIRECT("'数据-取费表'!Al"&amp;$G$1)</f>
        <v>0</v>
      </c>
      <c r="G37" s="1566"/>
      <c r="H37" s="2926"/>
      <c r="I37" s="1580"/>
      <c r="J37" s="1581"/>
      <c r="K37" s="2767"/>
      <c r="L37" s="2926"/>
      <c r="M37" s="2926"/>
    </row>
    <row r="38" spans="1:18" ht="18" customHeight="1" thickBot="1">
      <c r="A38" s="1246" t="s">
        <v>1335</v>
      </c>
      <c r="B38" s="1247" t="s">
        <v>1381</v>
      </c>
      <c r="C38" s="1248">
        <f ca="1">ROUND(C5*F38,1)</f>
        <v>0</v>
      </c>
      <c r="D38" s="1249" t="s">
        <v>1401</v>
      </c>
      <c r="E38" s="1247" t="s">
        <v>1397</v>
      </c>
      <c r="F38" s="1243">
        <f ca="1">INDIRECT("'数据-取费表'!Am"&amp;$G$1)</f>
        <v>0</v>
      </c>
      <c r="G38" s="1566"/>
      <c r="H38" s="2926"/>
      <c r="I38" s="1580"/>
      <c r="J38" s="1581"/>
      <c r="K38" s="2930"/>
      <c r="L38" s="2926"/>
      <c r="M38" s="2926"/>
    </row>
    <row r="39" spans="1:18" ht="24.6" customHeight="1" thickTop="1">
      <c r="A39" s="1236" t="s">
        <v>976</v>
      </c>
      <c r="B39" s="1251" t="s">
        <v>1425</v>
      </c>
      <c r="C39" s="313">
        <f ca="1">C5-C30</f>
        <v>0</v>
      </c>
      <c r="D39" s="1252" t="s">
        <v>1426</v>
      </c>
      <c r="E39" s="1253"/>
      <c r="F39" s="1254"/>
      <c r="G39" s="1566"/>
      <c r="H39" s="2926"/>
      <c r="I39" s="1580"/>
      <c r="J39" s="1581"/>
      <c r="K39" s="2930"/>
      <c r="L39" s="2926"/>
      <c r="M39" s="2926"/>
    </row>
    <row r="40" spans="1:18" ht="18" customHeight="1">
      <c r="A40" s="302" t="s">
        <v>977</v>
      </c>
      <c r="B40" s="303" t="s">
        <v>1427</v>
      </c>
      <c r="C40" s="304" t="e">
        <f ca="1">ROUND(C39*(1-((1+F42)/(1+F40))^F41)/(F40-F42),0)</f>
        <v>#DIV/0!</v>
      </c>
      <c r="D40" s="327" t="s">
        <v>1411</v>
      </c>
      <c r="E40" s="305" t="s">
        <v>1412</v>
      </c>
      <c r="F40" s="315">
        <f ca="1">INDIRECT("'数据-取费表'!I"&amp;$G$1)</f>
        <v>0</v>
      </c>
      <c r="G40" s="1566"/>
      <c r="H40" s="1643"/>
      <c r="I40" s="1580"/>
      <c r="J40" s="1581"/>
      <c r="K40" s="2930"/>
      <c r="L40" s="1643"/>
      <c r="M40" s="1643"/>
    </row>
    <row r="41" spans="1:18" ht="18" customHeight="1">
      <c r="A41" s="307"/>
      <c r="B41" s="308"/>
      <c r="C41" s="309"/>
      <c r="D41" s="335" t="s">
        <v>1428</v>
      </c>
      <c r="E41" s="305" t="s">
        <v>1416</v>
      </c>
      <c r="F41" s="336">
        <f ca="1">IF(INDIRECT("'数据-取费表'!af"&amp;$G$1)=0,INDIRECT("'数据-取费表'!ae"&amp;$G$1),INDIRECT("'数据-取费表'!af"&amp;$G$1))</f>
        <v>0</v>
      </c>
      <c r="G41" s="1566"/>
      <c r="H41" s="1350"/>
      <c r="I41" s="1580"/>
      <c r="J41" s="1581"/>
      <c r="K41" s="2767"/>
      <c r="L41" s="1350"/>
      <c r="M41" s="1350"/>
    </row>
    <row r="42" spans="1:18" ht="18" customHeight="1">
      <c r="A42" s="311"/>
      <c r="B42" s="312"/>
      <c r="C42" s="313"/>
      <c r="D42" s="330"/>
      <c r="E42" s="305" t="s">
        <v>1419</v>
      </c>
      <c r="F42" s="315">
        <f ca="1">INDIRECT("'数据-取费表'!v"&amp;$G$1)</f>
        <v>0</v>
      </c>
      <c r="G42" s="1566"/>
      <c r="H42" s="1350"/>
      <c r="I42" s="1580"/>
      <c r="J42" s="1581"/>
      <c r="K42" s="2767"/>
      <c r="L42" s="1350"/>
      <c r="M42" s="1350"/>
    </row>
    <row r="43" spans="1:18" ht="18" customHeight="1" thickBot="1">
      <c r="A43" s="337" t="s">
        <v>978</v>
      </c>
      <c r="B43" s="338" t="s">
        <v>1429</v>
      </c>
      <c r="C43" s="339" t="e">
        <f ca="1">ROUND(C40*10000/F43,0)</f>
        <v>#DIV/0!</v>
      </c>
      <c r="D43" s="340" t="s">
        <v>1430</v>
      </c>
      <c r="E43" s="341" t="s">
        <v>1431</v>
      </c>
      <c r="F43" s="342">
        <f ca="1">INDIRECT("'数据-取费表'!k"&amp;$G$1)</f>
        <v>0</v>
      </c>
      <c r="G43" s="1566"/>
      <c r="H43" s="1350"/>
      <c r="I43" s="1350"/>
      <c r="J43" s="1350"/>
      <c r="K43" s="2767"/>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1" t="s">
        <v>1461</v>
      </c>
      <c r="P45" s="1643"/>
      <c r="Q45" s="1643"/>
      <c r="R45" s="1643"/>
    </row>
    <row r="46" spans="1:18" s="1566" customFormat="1" ht="13.5" thickBot="1">
      <c r="A46" s="1586" t="s">
        <v>1462</v>
      </c>
      <c r="C46" s="1587" t="e">
        <f ca="1">C68-C40</f>
        <v>#DIV/0!</v>
      </c>
      <c r="D46" s="1588" t="str">
        <f>C2</f>
        <v>万元</v>
      </c>
      <c r="E46" s="1582"/>
      <c r="F46" s="1582"/>
      <c r="I46" s="1589" t="s">
        <v>1463</v>
      </c>
      <c r="J46" s="1590"/>
      <c r="K46" s="1591"/>
      <c r="L46" s="1592" t="e">
        <f ca="1">IF(M47="住宅",0,IF(L48&gt;J51,L60,J60))</f>
        <v>#DIV/0!</v>
      </c>
      <c r="O46" s="1593" t="s">
        <v>1464</v>
      </c>
      <c r="P46" s="1594" t="s">
        <v>1465</v>
      </c>
      <c r="Q46" s="1595" t="s">
        <v>1466</v>
      </c>
      <c r="R46" s="1595" t="s">
        <v>1467</v>
      </c>
    </row>
    <row r="47" spans="1:18" s="1566" customFormat="1" ht="13.5" thickBot="1">
      <c r="A47" s="1074" t="s">
        <v>1338</v>
      </c>
      <c r="B47" s="1106" t="s">
        <v>1339</v>
      </c>
      <c r="C47" s="1274" t="s">
        <v>1340</v>
      </c>
      <c r="D47" s="1106" t="s">
        <v>1341</v>
      </c>
      <c r="E47" s="1186" t="s">
        <v>1342</v>
      </c>
      <c r="F47" s="1187"/>
      <c r="G47" s="728"/>
      <c r="I47" s="1596" t="s">
        <v>1468</v>
      </c>
      <c r="J47" s="1597"/>
      <c r="K47" s="1598" t="s">
        <v>1469</v>
      </c>
      <c r="L47" s="1599">
        <f ca="1">INDIRECT("'数据-取费表'!d"&amp;$G$1)</f>
        <v>0</v>
      </c>
      <c r="M47" s="1562" t="str">
        <f>IF(ISNUMBER(FIND("住宅",C1)),"住宅","非住宅")</f>
        <v>非住宅</v>
      </c>
      <c r="O47" s="1600" t="s">
        <v>985</v>
      </c>
      <c r="P47" s="1601" t="s">
        <v>1470</v>
      </c>
      <c r="Q47" s="1602" t="e">
        <f ca="1">C40+J29</f>
        <v>#DIV/0!</v>
      </c>
      <c r="R47" s="1602" t="s">
        <v>1471</v>
      </c>
    </row>
    <row r="48" spans="1:18" s="1566" customFormat="1" ht="28.5" thickBot="1">
      <c r="A48" s="1267" t="s">
        <v>1080</v>
      </c>
      <c r="B48" s="303" t="s">
        <v>1343</v>
      </c>
      <c r="C48" s="1541">
        <f ca="1">C49+C53+C55</f>
        <v>0</v>
      </c>
      <c r="D48" s="1269"/>
      <c r="E48" s="1270"/>
      <c r="F48" s="1090"/>
      <c r="G48" s="728"/>
      <c r="H48" s="729"/>
      <c r="I48" s="1603" t="s">
        <v>1472</v>
      </c>
      <c r="J48" s="1604"/>
      <c r="K48" s="1605" t="s">
        <v>1473</v>
      </c>
      <c r="L48" s="1606">
        <f ca="1">INDIRECT("'数据-取费表'!f"&amp;$G$1)</f>
        <v>0</v>
      </c>
      <c r="O48" s="1600" t="s">
        <v>986</v>
      </c>
      <c r="P48" s="1601" t="s">
        <v>1474</v>
      </c>
      <c r="Q48" s="1602" t="e">
        <f ca="1">J60</f>
        <v>#DIV/0!</v>
      </c>
      <c r="R48" s="1602" t="s">
        <v>1475</v>
      </c>
    </row>
    <row r="49" spans="1:18" s="1566" customFormat="1" ht="13.5" thickBot="1">
      <c r="A49" s="1103" t="s">
        <v>1081</v>
      </c>
      <c r="B49" s="1553" t="s">
        <v>1432</v>
      </c>
      <c r="C49" s="1271">
        <f ca="1">ROUND(F49*F51*F50*(1-F52)/10000,0)</f>
        <v>0</v>
      </c>
      <c r="D49" s="1183" t="s">
        <v>2827</v>
      </c>
      <c r="E49" s="1554" t="s">
        <v>1433</v>
      </c>
      <c r="F49" s="1188"/>
      <c r="G49" s="1607"/>
      <c r="H49" s="729"/>
      <c r="I49" s="1603" t="s">
        <v>1476</v>
      </c>
      <c r="J49" s="1608"/>
      <c r="K49" s="1605" t="s">
        <v>1477</v>
      </c>
      <c r="L49" s="1609"/>
      <c r="O49" s="1610" t="s">
        <v>987</v>
      </c>
      <c r="P49" s="1601" t="s">
        <v>1478</v>
      </c>
      <c r="Q49" s="1602">
        <f ca="1">C29</f>
        <v>0</v>
      </c>
      <c r="R49" s="1602" t="s">
        <v>1471</v>
      </c>
    </row>
    <row r="50" spans="1:18" s="1566" customFormat="1" ht="13.5" thickBot="1">
      <c r="A50" s="1104"/>
      <c r="B50" s="1107"/>
      <c r="C50" s="1275"/>
      <c r="D50" s="1081"/>
      <c r="E50" s="1184" t="s">
        <v>1348</v>
      </c>
      <c r="F50" s="1185">
        <f ca="1">F7</f>
        <v>0</v>
      </c>
      <c r="H50" s="729"/>
      <c r="I50" s="1603" t="s">
        <v>1479</v>
      </c>
      <c r="J50" s="1611">
        <f>SUMPRODUCT((I63:I65=J47)*(J62:L62=J48)*(J63:L65))</f>
        <v>0</v>
      </c>
      <c r="K50" s="1605" t="s">
        <v>1480</v>
      </c>
      <c r="L50" s="1609"/>
      <c r="M50" s="1612"/>
      <c r="O50" s="1610" t="s">
        <v>988</v>
      </c>
      <c r="P50" s="1601" t="s">
        <v>1481</v>
      </c>
      <c r="Q50" s="1613" t="e">
        <f ca="1">J58</f>
        <v>#DIV/0!</v>
      </c>
      <c r="R50" s="1602"/>
    </row>
    <row r="51" spans="1:18" s="1566" customFormat="1" ht="13.5" thickBot="1">
      <c r="A51" s="1105"/>
      <c r="B51" s="1107"/>
      <c r="C51" s="1108"/>
      <c r="D51" s="1081"/>
      <c r="E51" s="1109" t="s">
        <v>1349</v>
      </c>
      <c r="F51" s="306">
        <f ca="1">F8</f>
        <v>0</v>
      </c>
      <c r="I51" s="1614" t="s">
        <v>1482</v>
      </c>
      <c r="J51" s="1615">
        <f>IF(J49="",J50,J49+J50-YEAR('数据-取费表'!B2))</f>
        <v>0</v>
      </c>
      <c r="K51" s="1616" t="s">
        <v>1483</v>
      </c>
      <c r="L51" s="1617">
        <f ca="1">ROUND(-PV(INDIRECT("'数据-取费表'!h"&amp;$G$1),J51,(C39-C13*C76),0),0)</f>
        <v>0</v>
      </c>
      <c r="M51" s="1618"/>
      <c r="O51" s="1610" t="s">
        <v>989</v>
      </c>
      <c r="P51" s="1601" t="s">
        <v>1484</v>
      </c>
      <c r="Q51" s="1613">
        <f>J52</f>
        <v>0</v>
      </c>
      <c r="R51" s="1602"/>
    </row>
    <row r="52" spans="1:18" s="1566" customFormat="1" ht="13.5" thickBot="1">
      <c r="A52" s="1105"/>
      <c r="B52" s="1107"/>
      <c r="C52" s="1108"/>
      <c r="D52" s="1081"/>
      <c r="E52" s="1109" t="s">
        <v>1350</v>
      </c>
      <c r="F52" s="1182"/>
      <c r="I52" s="1619" t="s">
        <v>1485</v>
      </c>
      <c r="J52" s="1620"/>
      <c r="K52" s="1619" t="s">
        <v>1486</v>
      </c>
      <c r="L52" s="1620"/>
      <c r="O52" s="1610" t="s">
        <v>990</v>
      </c>
      <c r="P52" s="1601" t="s">
        <v>1487</v>
      </c>
      <c r="Q52" s="1602">
        <f ca="1">J53</f>
        <v>-2.7</v>
      </c>
      <c r="R52" s="1602" t="s">
        <v>1488</v>
      </c>
    </row>
    <row r="53" spans="1:18" s="1566" customFormat="1" ht="24.75" thickBot="1">
      <c r="A53" s="1311" t="s">
        <v>1082</v>
      </c>
      <c r="B53" s="1555" t="s">
        <v>1351</v>
      </c>
      <c r="C53" s="319">
        <f ca="1">ROUND(IF(F53="押一",C49/12*F11,IF(F53="押二",C49/12*2*F11,IF(F53="押三",C49/12*3*F11,C54*F11))),0)</f>
        <v>0</v>
      </c>
      <c r="D53" s="1548" t="s">
        <v>2833</v>
      </c>
      <c r="E53" s="316" t="s">
        <v>1352</v>
      </c>
      <c r="F53" s="1273"/>
      <c r="I53" s="1621" t="s">
        <v>1489</v>
      </c>
      <c r="J53" s="2383">
        <f ca="1">IF(M47="住宅",IF(D1="——",MAX(J51,L48),MAX(J51,L48-'数据-取费表'!B24)),IF(D1="——",MIN(J51,L48),MIN(J51,L48-'数据-取费表'!B24)))</f>
        <v>-2.7</v>
      </c>
      <c r="K53" s="3345" t="s">
        <v>1490</v>
      </c>
      <c r="L53" s="3346"/>
      <c r="O53" s="1600" t="s">
        <v>991</v>
      </c>
      <c r="P53" s="1601" t="s">
        <v>1491</v>
      </c>
      <c r="Q53" s="1602" t="e">
        <f ca="1">Q47+Q48</f>
        <v>#DIV/0!</v>
      </c>
      <c r="R53" s="1602" t="s">
        <v>992</v>
      </c>
    </row>
    <row r="54" spans="1:18" s="1566" customFormat="1" ht="13.5" thickBot="1">
      <c r="A54" s="1312"/>
      <c r="B54" s="1549" t="s">
        <v>1330</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1492</v>
      </c>
      <c r="P54" s="1563"/>
      <c r="Q54" s="1563"/>
      <c r="R54" s="1563"/>
    </row>
    <row r="55" spans="1:18" s="1566" customFormat="1" ht="13.5" thickBot="1">
      <c r="A55" s="1240" t="s">
        <v>1020</v>
      </c>
      <c r="B55" s="1551" t="s">
        <v>1355</v>
      </c>
      <c r="C55" s="1241"/>
      <c r="D55" s="1548"/>
      <c r="E55" s="1556"/>
      <c r="F55" s="1622"/>
      <c r="I55" s="1625" t="s">
        <v>1493</v>
      </c>
      <c r="J55" s="1626" t="e">
        <f ca="1">ROUND(IF(J47="钢混",J57/J50,1-(1-2%)*(J50-J57)/J50),3)</f>
        <v>#DIV/0!</v>
      </c>
      <c r="K55" s="1627" t="s">
        <v>1494</v>
      </c>
      <c r="L55" s="1628" t="s">
        <v>1495</v>
      </c>
      <c r="O55" s="1593" t="s">
        <v>1464</v>
      </c>
      <c r="P55" s="1594" t="s">
        <v>1465</v>
      </c>
      <c r="Q55" s="1595" t="s">
        <v>1466</v>
      </c>
      <c r="R55" s="1595" t="s">
        <v>1467</v>
      </c>
    </row>
    <row r="56" spans="1:18" s="1566" customFormat="1" ht="25.5" thickTop="1" thickBot="1">
      <c r="A56" s="1085">
        <v>2</v>
      </c>
      <c r="B56" s="1086" t="s">
        <v>1356</v>
      </c>
      <c r="C56" s="235">
        <f ca="1">C13</f>
        <v>0</v>
      </c>
      <c r="D56" s="1629"/>
      <c r="E56" s="1630"/>
      <c r="F56" s="1622"/>
      <c r="I56" s="1631" t="s">
        <v>1496</v>
      </c>
      <c r="J56" s="1632"/>
      <c r="K56" s="1603" t="s">
        <v>1497</v>
      </c>
      <c r="L56" s="1606">
        <f ca="1">IF(L48&lt;J51,"——",L48-J53)</f>
        <v>2.7</v>
      </c>
      <c r="O56" s="1600" t="s">
        <v>985</v>
      </c>
      <c r="P56" s="1601" t="s">
        <v>1470</v>
      </c>
      <c r="Q56" s="1602" t="e">
        <f ca="1">C40+J29</f>
        <v>#DIV/0!</v>
      </c>
      <c r="R56" s="1602" t="s">
        <v>1471</v>
      </c>
    </row>
    <row r="57" spans="1:18" s="1566" customFormat="1" ht="24.75" thickBot="1">
      <c r="A57" s="1633"/>
      <c r="B57" s="1078" t="s">
        <v>1420</v>
      </c>
      <c r="C57" s="241">
        <f ca="1">C29</f>
        <v>0</v>
      </c>
      <c r="D57" s="1634"/>
      <c r="E57" s="1635"/>
      <c r="F57" s="1636"/>
      <c r="I57" s="1637" t="s">
        <v>1498</v>
      </c>
      <c r="J57" s="1638">
        <f ca="1">IF(OR(M47="住宅",J51&lt;L48,J56="是"),"——",J51-L48)</f>
        <v>0</v>
      </c>
      <c r="K57" s="1603" t="s">
        <v>1499</v>
      </c>
      <c r="L57" s="1606">
        <f ca="1">IF(L48&lt;J51,"——",IF(L55="比较法",L49,IF(L55="基准地价",L50,L51)))</f>
        <v>0</v>
      </c>
      <c r="O57" s="1600" t="s">
        <v>986</v>
      </c>
      <c r="P57" s="1601" t="s">
        <v>1500</v>
      </c>
      <c r="Q57" s="1602" t="e">
        <f ca="1">L60</f>
        <v>#DIV/0!</v>
      </c>
      <c r="R57" s="1602" t="s">
        <v>1501</v>
      </c>
    </row>
    <row r="58" spans="1:18" s="1566" customFormat="1" ht="24.75" thickBot="1">
      <c r="A58" s="318" t="s">
        <v>975</v>
      </c>
      <c r="B58" s="1086" t="s">
        <v>1366</v>
      </c>
      <c r="C58" s="319">
        <f ca="1">ROUND(C59+C64+C65+C66,0)</f>
        <v>0</v>
      </c>
      <c r="D58" s="1088" t="s">
        <v>1367</v>
      </c>
      <c r="E58" s="1089"/>
      <c r="F58" s="1090"/>
      <c r="I58" s="1637" t="s">
        <v>1502</v>
      </c>
      <c r="J58" s="1639" t="e">
        <f ca="1">IF(J55&lt;0.4,0.4,J55)</f>
        <v>#DIV/0!</v>
      </c>
      <c r="K58" s="1616" t="s">
        <v>1503</v>
      </c>
      <c r="L58" s="1606" t="e">
        <f ca="1">ROUND(POWER(1+L52,L47-L48)*(POWER(1+L52,L48)-1)/(POWER(1+L52,L47)-1),4)</f>
        <v>#DIV/0!</v>
      </c>
      <c r="O58" s="1610" t="s">
        <v>987</v>
      </c>
      <c r="P58" s="1601" t="s">
        <v>1504</v>
      </c>
      <c r="Q58" s="1602">
        <f>IF(L55="比较法",L49,IF(L55="基准地价",L50,0))</f>
        <v>0</v>
      </c>
      <c r="R58" s="1602" t="s">
        <v>1471</v>
      </c>
    </row>
    <row r="59" spans="1:18" s="1566" customFormat="1" ht="24.75" thickBot="1">
      <c r="A59" s="1110" t="s">
        <v>980</v>
      </c>
      <c r="B59" s="1078" t="s">
        <v>1371</v>
      </c>
      <c r="C59" s="2531">
        <f ca="1">ROUND(IF(AND(项目基本情况!B11="自然人",项目基本情况!B10="北京市"),C49*F59/(1+'数据-取费表'!C42),C60+C61+C62),0)</f>
        <v>0</v>
      </c>
      <c r="D59" s="1091" t="s">
        <v>1372</v>
      </c>
      <c r="E59" s="1092" t="s">
        <v>1373</v>
      </c>
      <c r="F59" s="2530">
        <f ca="1">IF(项目基本情况!B11="企业","——",IF('数据-取费表'!B10="住宅",IF(F49*F50*F51/12/(1+'数据-取费表'!F30)&gt;100000,4%,2.5%),IF(F49*F50*F51/12/(1+'数据-取费表'!F30)&gt;100000,12%,7%)))</f>
        <v>7.0000000000000007E-2</v>
      </c>
      <c r="I59" s="1637" t="s">
        <v>1505</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988</v>
      </c>
      <c r="P59" s="1601" t="s">
        <v>1506</v>
      </c>
      <c r="Q59" s="1613">
        <f>L52</f>
        <v>0</v>
      </c>
      <c r="R59" s="1602"/>
    </row>
    <row r="60" spans="1:18" s="1566" customFormat="1" ht="16.5" thickBot="1">
      <c r="A60" s="1110" t="s">
        <v>979</v>
      </c>
      <c r="B60" s="1078" t="s">
        <v>1375</v>
      </c>
      <c r="C60" s="21">
        <f ca="1">IF(项目基本情况!B11="自然人","——",ROUND(C48*F60/(1+'数据-取费表'!C42),2))</f>
        <v>0</v>
      </c>
      <c r="D60" s="1092" t="s">
        <v>1376</v>
      </c>
      <c r="E60" s="1078" t="s">
        <v>1364</v>
      </c>
      <c r="F60" s="334">
        <f t="shared" ref="F60:F66" si="0">F32</f>
        <v>5.6000000000000001E-2</v>
      </c>
      <c r="I60" s="1640" t="s">
        <v>1507</v>
      </c>
      <c r="J60" s="1641" t="e">
        <f ca="1">IF(OR(M47="住宅",J51&lt;L48,J56="是"),"0",ROUND(J59/(1+J52)^J53,0))</f>
        <v>#DIV/0!</v>
      </c>
      <c r="K60" s="1642" t="s">
        <v>1508</v>
      </c>
      <c r="L60" s="1641" t="e">
        <f ca="1">IF(OR(M47="住宅",L48&lt;J51),0,ROUND(L57*(L58/L59-1),0))</f>
        <v>#DIV/0!</v>
      </c>
      <c r="O60" s="1610" t="s">
        <v>989</v>
      </c>
      <c r="P60" s="1601" t="s">
        <v>1509</v>
      </c>
      <c r="Q60" s="1602" t="e">
        <f ca="1">L58</f>
        <v>#DIV/0!</v>
      </c>
      <c r="R60" s="1602" t="s">
        <v>1510</v>
      </c>
    </row>
    <row r="61" spans="1:18" s="1566" customFormat="1" ht="13.5" thickBot="1">
      <c r="A61" s="1110" t="s">
        <v>1434</v>
      </c>
      <c r="B61" s="1078" t="s">
        <v>1435</v>
      </c>
      <c r="C61" s="21">
        <f ca="1">IF(项目基本情况!B11="自然人","——",IF(D61="按租金收入计税",ROUND(C48*F61,2),IF(D61="按房产原值计税",ROUND(C57*F61*0.7,2),INDIRECT("'数据-取费表'!Aj"&amp;$G$1))))</f>
        <v>0</v>
      </c>
      <c r="D61" s="1552" t="s">
        <v>1380</v>
      </c>
      <c r="E61" s="1078" t="s">
        <v>1436</v>
      </c>
      <c r="F61" s="325">
        <f t="shared" si="0"/>
        <v>1.2E-2</v>
      </c>
      <c r="I61" s="1643"/>
      <c r="J61" s="1643"/>
      <c r="K61" s="1643"/>
      <c r="L61" s="1643"/>
      <c r="O61" s="1610" t="s">
        <v>990</v>
      </c>
      <c r="P61" s="1601" t="str">
        <f>K59</f>
        <v>建设期及建筑物耐用年限下的土地年期修正系数Kn</v>
      </c>
      <c r="Q61" s="1602" t="e">
        <f ca="1">L59</f>
        <v>#DIV/0!</v>
      </c>
      <c r="R61" s="1602" t="s">
        <v>1511</v>
      </c>
    </row>
    <row r="62" spans="1:18" s="1566" customFormat="1" ht="13.5" thickBot="1">
      <c r="A62" s="1110" t="s">
        <v>1437</v>
      </c>
      <c r="B62" s="1077" t="s">
        <v>1438</v>
      </c>
      <c r="C62" s="22">
        <f ca="1">IF(项目基本情况!B11="自然人","——",ROUND(F62*F63/10000,2))</f>
        <v>0</v>
      </c>
      <c r="D62" s="1093" t="s">
        <v>1439</v>
      </c>
      <c r="E62" s="1078" t="s">
        <v>1440</v>
      </c>
      <c r="F62" s="328">
        <f t="shared" si="0"/>
        <v>0</v>
      </c>
      <c r="I62" s="1644" t="s">
        <v>1512</v>
      </c>
      <c r="J62" s="1645" t="s">
        <v>1513</v>
      </c>
      <c r="K62" s="1645" t="s">
        <v>1514</v>
      </c>
      <c r="L62" s="1645" t="s">
        <v>1515</v>
      </c>
      <c r="M62" s="1646" t="s">
        <v>1516</v>
      </c>
      <c r="O62" s="1600" t="s">
        <v>991</v>
      </c>
      <c r="P62" s="1601" t="s">
        <v>1517</v>
      </c>
      <c r="Q62" s="1602" t="e">
        <f ca="1">Q56+Q57</f>
        <v>#DIV/0!</v>
      </c>
      <c r="R62" s="1602" t="s">
        <v>992</v>
      </c>
    </row>
    <row r="63" spans="1:18" s="1566" customFormat="1" ht="13.5" thickBot="1">
      <c r="A63" s="329"/>
      <c r="B63" s="1084"/>
      <c r="C63" s="26"/>
      <c r="D63" s="1094"/>
      <c r="E63" s="1078" t="s">
        <v>1441</v>
      </c>
      <c r="F63" s="306">
        <f t="shared" ca="1" si="0"/>
        <v>0</v>
      </c>
      <c r="I63" s="1644" t="s">
        <v>1518</v>
      </c>
      <c r="J63" s="1645">
        <v>70</v>
      </c>
      <c r="K63" s="1645">
        <v>50</v>
      </c>
      <c r="L63" s="1645">
        <v>80</v>
      </c>
      <c r="M63" s="1647">
        <v>0.02</v>
      </c>
      <c r="O63" s="1585" t="s">
        <v>1519</v>
      </c>
      <c r="P63" s="1563"/>
      <c r="Q63" s="1563"/>
      <c r="R63" s="1563"/>
    </row>
    <row r="64" spans="1:18" s="1566" customFormat="1" ht="13.5" thickBot="1">
      <c r="A64" s="1110" t="s">
        <v>1442</v>
      </c>
      <c r="B64" s="1078" t="s">
        <v>1443</v>
      </c>
      <c r="C64" s="21">
        <f ca="1">ROUND(C57*F64,1)</f>
        <v>0</v>
      </c>
      <c r="D64" s="1092" t="s">
        <v>1444</v>
      </c>
      <c r="E64" s="1078" t="s">
        <v>1436</v>
      </c>
      <c r="F64" s="331">
        <f t="shared" ca="1" si="0"/>
        <v>0</v>
      </c>
      <c r="I64" s="1644" t="s">
        <v>1520</v>
      </c>
      <c r="J64" s="1645">
        <v>50</v>
      </c>
      <c r="K64" s="1645">
        <v>35</v>
      </c>
      <c r="L64" s="1645">
        <v>60</v>
      </c>
      <c r="M64" s="1646">
        <v>0</v>
      </c>
      <c r="O64" s="1593" t="s">
        <v>1464</v>
      </c>
      <c r="P64" s="1594" t="s">
        <v>1465</v>
      </c>
      <c r="Q64" s="1595" t="s">
        <v>1466</v>
      </c>
      <c r="R64" s="1595" t="s">
        <v>1467</v>
      </c>
    </row>
    <row r="65" spans="1:18" s="1566" customFormat="1" ht="13.5" thickBot="1">
      <c r="A65" s="1110" t="s">
        <v>1445</v>
      </c>
      <c r="B65" s="1078" t="s">
        <v>1395</v>
      </c>
      <c r="C65" s="21">
        <f ca="1">ROUND(C56*F65,1)</f>
        <v>0</v>
      </c>
      <c r="D65" s="1092" t="s">
        <v>1396</v>
      </c>
      <c r="E65" s="1078" t="s">
        <v>1397</v>
      </c>
      <c r="F65" s="333">
        <f t="shared" ca="1" si="0"/>
        <v>0</v>
      </c>
      <c r="I65" s="1644" t="s">
        <v>1521</v>
      </c>
      <c r="J65" s="1645">
        <v>40</v>
      </c>
      <c r="K65" s="1645">
        <v>30</v>
      </c>
      <c r="L65" s="1645">
        <v>50</v>
      </c>
      <c r="M65" s="1647">
        <v>0.02</v>
      </c>
      <c r="O65" s="1600" t="s">
        <v>985</v>
      </c>
      <c r="P65" s="1601" t="s">
        <v>1522</v>
      </c>
      <c r="Q65" s="1602" t="e">
        <f ca="1">C40+J29</f>
        <v>#DIV/0!</v>
      </c>
      <c r="R65" s="1602" t="s">
        <v>1471</v>
      </c>
    </row>
    <row r="66" spans="1:18" s="1566" customFormat="1" ht="16.5" thickBot="1">
      <c r="A66" s="1110" t="s">
        <v>1446</v>
      </c>
      <c r="B66" s="1078" t="s">
        <v>1381</v>
      </c>
      <c r="C66" s="21">
        <f ca="1">ROUND(C48*F66,1)</f>
        <v>0</v>
      </c>
      <c r="D66" s="1092" t="s">
        <v>1447</v>
      </c>
      <c r="E66" s="1078" t="s">
        <v>1364</v>
      </c>
      <c r="F66" s="315">
        <f t="shared" ca="1" si="0"/>
        <v>0</v>
      </c>
      <c r="O66" s="1600" t="s">
        <v>986</v>
      </c>
      <c r="P66" s="1601" t="s">
        <v>1500</v>
      </c>
      <c r="Q66" s="1602" t="e">
        <f ca="1">L60</f>
        <v>#DIV/0!</v>
      </c>
      <c r="R66" s="1602" t="s">
        <v>1523</v>
      </c>
    </row>
    <row r="67" spans="1:18" s="1566" customFormat="1" ht="16.5" thickBot="1">
      <c r="A67" s="1085" t="s">
        <v>976</v>
      </c>
      <c r="B67" s="1095" t="s">
        <v>1405</v>
      </c>
      <c r="C67" s="319">
        <f ca="1">C48-C58</f>
        <v>0</v>
      </c>
      <c r="D67" s="1091" t="s">
        <v>1406</v>
      </c>
      <c r="E67" s="1096"/>
      <c r="F67" s="1097"/>
      <c r="O67" s="1610" t="s">
        <v>987</v>
      </c>
      <c r="P67" s="1601" t="s">
        <v>1504</v>
      </c>
      <c r="Q67" s="1648">
        <f ca="1">L51</f>
        <v>0</v>
      </c>
      <c r="R67" s="1602" t="s">
        <v>1524</v>
      </c>
    </row>
    <row r="68" spans="1:18" s="1566" customFormat="1" ht="16.5" thickBot="1">
      <c r="A68" s="1075" t="s">
        <v>977</v>
      </c>
      <c r="B68" s="1076" t="s">
        <v>1427</v>
      </c>
      <c r="C68" s="304" t="e">
        <f ca="1">ROUND(C67*(1-((1+F70)/(1+F68))^F69)/(F68-F70),0)</f>
        <v>#DIV/0!</v>
      </c>
      <c r="D68" s="1093" t="s">
        <v>1411</v>
      </c>
      <c r="E68" s="1078" t="s">
        <v>1412</v>
      </c>
      <c r="F68" s="315">
        <f ca="1">F40</f>
        <v>0</v>
      </c>
      <c r="O68" s="1610" t="s">
        <v>988</v>
      </c>
      <c r="P68" s="1649" t="s">
        <v>1525</v>
      </c>
      <c r="Q68" s="1602">
        <f ca="1">ROUND(Q69-Q70*Q71,0)</f>
        <v>0</v>
      </c>
      <c r="R68" s="1602" t="s">
        <v>996</v>
      </c>
    </row>
    <row r="69" spans="1:18" s="1566" customFormat="1" ht="13.5" thickBot="1">
      <c r="A69" s="1079"/>
      <c r="B69" s="1080"/>
      <c r="C69" s="309"/>
      <c r="D69" s="1098" t="s">
        <v>1415</v>
      </c>
      <c r="E69" s="1078" t="s">
        <v>1416</v>
      </c>
      <c r="F69" s="336">
        <f ca="1">F41</f>
        <v>0</v>
      </c>
      <c r="O69" s="1610" t="s">
        <v>993</v>
      </c>
      <c r="P69" s="1649" t="s">
        <v>1526</v>
      </c>
      <c r="Q69" s="1602">
        <f ca="1">C39</f>
        <v>0</v>
      </c>
      <c r="R69" s="1602" t="s">
        <v>1471</v>
      </c>
    </row>
    <row r="70" spans="1:18" s="1566" customFormat="1" ht="13.5" thickBot="1">
      <c r="A70" s="1082"/>
      <c r="B70" s="1083"/>
      <c r="C70" s="313"/>
      <c r="D70" s="1094"/>
      <c r="E70" s="1078" t="s">
        <v>1419</v>
      </c>
      <c r="F70" s="1182"/>
      <c r="O70" s="1610" t="s">
        <v>994</v>
      </c>
      <c r="P70" s="1649" t="s">
        <v>1527</v>
      </c>
      <c r="Q70" s="1602">
        <f ca="1">C13</f>
        <v>0</v>
      </c>
      <c r="R70" s="1602" t="s">
        <v>1471</v>
      </c>
    </row>
    <row r="71" spans="1:18" s="1566" customFormat="1" ht="13.5" thickBot="1">
      <c r="A71" s="1099" t="s">
        <v>978</v>
      </c>
      <c r="B71" s="1100" t="s">
        <v>1429</v>
      </c>
      <c r="C71" s="339" t="e">
        <f ca="1">ROUND(C68*10000/F71,0)</f>
        <v>#DIV/0!</v>
      </c>
      <c r="D71" s="1101" t="s">
        <v>1430</v>
      </c>
      <c r="E71" s="1102" t="s">
        <v>1431</v>
      </c>
      <c r="F71" s="342">
        <f ca="1">F43</f>
        <v>0</v>
      </c>
      <c r="O71" s="1610" t="s">
        <v>995</v>
      </c>
      <c r="P71" s="1649" t="s">
        <v>1528</v>
      </c>
      <c r="Q71" s="1613">
        <f ca="1">C76</f>
        <v>0</v>
      </c>
      <c r="R71" s="1602"/>
    </row>
    <row r="72" spans="1:18" s="1566" customFormat="1" ht="13.5" thickBot="1">
      <c r="B72" s="732"/>
      <c r="C72" s="732"/>
      <c r="O72" s="1610" t="s">
        <v>989</v>
      </c>
      <c r="P72" s="1601" t="s">
        <v>1506</v>
      </c>
      <c r="Q72" s="1613">
        <f>L52</f>
        <v>0</v>
      </c>
      <c r="R72" s="1602"/>
    </row>
    <row r="73" spans="1:18" ht="16.5" thickBot="1">
      <c r="A73" s="1566"/>
      <c r="B73" s="732"/>
      <c r="C73" s="732"/>
      <c r="D73" s="1566"/>
      <c r="E73" s="1566"/>
      <c r="F73" s="1566"/>
      <c r="O73" s="1610" t="s">
        <v>990</v>
      </c>
      <c r="P73" s="1601" t="s">
        <v>1509</v>
      </c>
      <c r="Q73" s="1602" t="e">
        <f ca="1">L58</f>
        <v>#DIV/0!</v>
      </c>
      <c r="R73" s="1602" t="s">
        <v>1510</v>
      </c>
    </row>
    <row r="74" spans="1:18" ht="13.5" thickBot="1">
      <c r="A74" s="1566"/>
      <c r="B74" s="276" t="s">
        <v>1529</v>
      </c>
      <c r="C74" s="1651"/>
      <c r="D74" s="1566"/>
      <c r="E74" s="1566"/>
      <c r="F74" s="1566"/>
      <c r="O74" s="1610" t="s">
        <v>997</v>
      </c>
      <c r="P74" s="1601" t="str">
        <f>K59</f>
        <v>建设期及建筑物耐用年限下的土地年期修正系数Kn</v>
      </c>
      <c r="Q74" s="1602" t="e">
        <f ca="1">L59</f>
        <v>#DIV/0!</v>
      </c>
      <c r="R74" s="1602" t="s">
        <v>1511</v>
      </c>
    </row>
    <row r="75" spans="1:18" ht="13.5" thickBot="1">
      <c r="A75" s="1566"/>
      <c r="B75" s="343" t="s">
        <v>1448</v>
      </c>
      <c r="C75" s="344">
        <f ca="1">ROUND(C13*C76,0)</f>
        <v>0</v>
      </c>
      <c r="D75" s="1566"/>
      <c r="E75" s="1566"/>
      <c r="F75" s="1566"/>
      <c r="K75" s="1584"/>
      <c r="L75" s="1566"/>
      <c r="O75" s="1600" t="s">
        <v>991</v>
      </c>
      <c r="P75" s="1601" t="s">
        <v>1491</v>
      </c>
      <c r="Q75" s="1602" t="e">
        <f ca="1">Q65+Q66</f>
        <v>#DIV/0!</v>
      </c>
      <c r="R75" s="1602" t="s">
        <v>992</v>
      </c>
    </row>
    <row r="76" spans="1:18">
      <c r="B76" s="345" t="s">
        <v>1449</v>
      </c>
      <c r="C76" s="346">
        <f ca="1">INDIRECT("'数据-取费表'!j"&amp;$G$1)</f>
        <v>0</v>
      </c>
      <c r="I76" s="1566"/>
      <c r="J76" s="1566"/>
      <c r="K76" s="1584"/>
      <c r="L76" s="1566"/>
    </row>
    <row r="77" spans="1:18">
      <c r="B77" s="347" t="s">
        <v>1450</v>
      </c>
      <c r="C77" s="348"/>
      <c r="I77" s="1566"/>
      <c r="J77" s="1566"/>
      <c r="K77" s="1584"/>
      <c r="L77" s="1566"/>
    </row>
    <row r="78" spans="1:18">
      <c r="B78" s="273" t="s">
        <v>1451</v>
      </c>
      <c r="C78" s="349"/>
    </row>
    <row r="79" spans="1:18">
      <c r="B79" s="343" t="s">
        <v>1452</v>
      </c>
      <c r="C79" s="277" t="e">
        <f ca="1">1-C80</f>
        <v>#DIV/0!</v>
      </c>
    </row>
    <row r="80" spans="1:18">
      <c r="B80" s="343" t="s">
        <v>1453</v>
      </c>
      <c r="C80" s="277" t="e">
        <f ca="1">ROUND(C75/C39,3)</f>
        <v>#DIV/0!</v>
      </c>
    </row>
    <row r="81" spans="2:3">
      <c r="B81" s="273" t="s">
        <v>1454</v>
      </c>
      <c r="C81" s="241"/>
    </row>
    <row r="82" spans="2:3">
      <c r="B82" s="276" t="s">
        <v>1455</v>
      </c>
      <c r="C82" s="278" t="e">
        <f ca="1">1-C83</f>
        <v>#DIV/0!</v>
      </c>
    </row>
    <row r="83" spans="2:3">
      <c r="B83" s="276" t="s">
        <v>1456</v>
      </c>
      <c r="C83" s="27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875" style="261" customWidth="1"/>
    <col min="6" max="6" width="10.625" style="261" customWidth="1"/>
    <col min="7" max="7" width="4.875" style="261" customWidth="1"/>
    <col min="8" max="8" width="8.5" style="261" customWidth="1"/>
    <col min="9" max="9" width="21.125" style="261" customWidth="1"/>
    <col min="10" max="10" width="12.125" style="261" customWidth="1"/>
    <col min="11" max="11" width="40.125" style="1650" customWidth="1"/>
    <col min="12" max="12" width="16.375" style="261" customWidth="1"/>
    <col min="13" max="13" width="13" style="261" customWidth="1"/>
    <col min="14" max="14" width="13.875" style="1566" customWidth="1"/>
    <col min="15" max="15" width="5.125" style="1566" customWidth="1"/>
    <col min="16" max="16" width="25.875" style="1566" customWidth="1"/>
    <col min="17" max="17" width="13.875" style="1566" customWidth="1"/>
    <col min="18" max="18" width="20.5" style="1566" customWidth="1"/>
    <col min="19" max="19" width="13.125" style="1566" customWidth="1"/>
    <col min="20" max="37" width="9" style="1566"/>
    <col min="38" max="16384" width="9" style="261"/>
  </cols>
  <sheetData>
    <row r="1" spans="1:37" s="296" customFormat="1" ht="21">
      <c r="A1" s="1557" t="s">
        <v>1531</v>
      </c>
      <c r="B1" s="719"/>
      <c r="C1" s="1561"/>
      <c r="D1" s="1544"/>
      <c r="E1" s="1545" t="s">
        <v>1329</v>
      </c>
      <c r="F1" s="1190">
        <f ca="1">J53</f>
        <v>-2.7</v>
      </c>
      <c r="G1" s="1560">
        <f>MATCH(C1,'数据-取费表'!A6:A16,0)+5</f>
        <v>10</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1532</v>
      </c>
      <c r="B2" s="1568" t="e">
        <f ca="1">ROUND(D2/10000,0)</f>
        <v>#DIV/0!</v>
      </c>
      <c r="C2" s="1569" t="s">
        <v>1533</v>
      </c>
      <c r="D2" s="1653" t="e">
        <f ca="1">C40+J29+L46</f>
        <v>#DIV/0!</v>
      </c>
      <c r="E2" s="1570" t="s">
        <v>1534</v>
      </c>
      <c r="F2" s="1571"/>
      <c r="G2" s="2932"/>
      <c r="H2" s="2921"/>
      <c r="I2" s="2921"/>
      <c r="J2" s="2921"/>
      <c r="K2" s="2922"/>
      <c r="L2" s="2921"/>
      <c r="M2" s="2921"/>
    </row>
    <row r="3" spans="1:37" ht="18" customHeight="1" thickBot="1">
      <c r="A3" s="1572" t="s">
        <v>1535</v>
      </c>
      <c r="B3" s="1573">
        <f ca="1">IF(ISERROR(D2/F43),0,ROUND(D2/F43,0))</f>
        <v>0</v>
      </c>
      <c r="C3" s="1569" t="s">
        <v>1536</v>
      </c>
      <c r="D3" s="1569"/>
      <c r="E3" s="1570"/>
      <c r="F3" s="1571"/>
      <c r="G3" s="2932"/>
      <c r="H3" s="689" t="s">
        <v>1530</v>
      </c>
      <c r="I3" s="1564"/>
      <c r="J3" s="1564"/>
      <c r="K3" s="1565"/>
      <c r="L3" s="1564"/>
      <c r="M3" s="1564"/>
    </row>
    <row r="4" spans="1:37" ht="18" customHeight="1">
      <c r="A4" s="298" t="s">
        <v>1537</v>
      </c>
      <c r="B4" s="299" t="s">
        <v>1538</v>
      </c>
      <c r="C4" s="299" t="s">
        <v>1539</v>
      </c>
      <c r="D4" s="299" t="s">
        <v>1540</v>
      </c>
      <c r="E4" s="300" t="s">
        <v>1541</v>
      </c>
      <c r="F4" s="301"/>
      <c r="G4" s="1566"/>
      <c r="H4" s="298" t="s">
        <v>1537</v>
      </c>
      <c r="I4" s="299" t="s">
        <v>1538</v>
      </c>
      <c r="J4" s="299" t="s">
        <v>1539</v>
      </c>
      <c r="K4" s="299" t="s">
        <v>1540</v>
      </c>
      <c r="L4" s="300" t="s">
        <v>1541</v>
      </c>
      <c r="M4" s="301"/>
    </row>
    <row r="5" spans="1:37" ht="18" customHeight="1">
      <c r="A5" s="302">
        <v>1</v>
      </c>
      <c r="B5" s="303" t="s">
        <v>1542</v>
      </c>
      <c r="C5" s="1199">
        <f ca="1">C6+C10+C12</f>
        <v>0</v>
      </c>
      <c r="D5" s="1546" t="s">
        <v>1543</v>
      </c>
      <c r="E5" s="1200"/>
      <c r="F5" s="1201"/>
      <c r="G5" s="1566"/>
      <c r="H5" s="302">
        <v>1</v>
      </c>
      <c r="I5" s="303" t="s">
        <v>1542</v>
      </c>
      <c r="J5" s="1199">
        <f ca="1">J6+J10+J12</f>
        <v>0</v>
      </c>
      <c r="K5" s="1546" t="s">
        <v>1543</v>
      </c>
      <c r="L5" s="1200"/>
      <c r="M5" s="1201"/>
    </row>
    <row r="6" spans="1:37" ht="18" customHeight="1">
      <c r="A6" s="1198" t="s">
        <v>980</v>
      </c>
      <c r="B6" s="3347" t="s">
        <v>1345</v>
      </c>
      <c r="C6" s="1203">
        <f ca="1">ROUND(F6*F8*F7*(1-F9),0)</f>
        <v>0</v>
      </c>
      <c r="D6" s="157" t="s">
        <v>2823</v>
      </c>
      <c r="E6" s="305" t="s">
        <v>1347</v>
      </c>
      <c r="F6" s="306">
        <f ca="1">INDIRECT("'数据-取费表'!u"&amp;$G$1)</f>
        <v>0</v>
      </c>
      <c r="G6" s="1566"/>
      <c r="H6" s="1198" t="s">
        <v>980</v>
      </c>
      <c r="I6" s="3347" t="s">
        <v>1345</v>
      </c>
      <c r="J6" s="304">
        <f ca="1">ROUND(M6*M8*M7*(1-M9),0)</f>
        <v>0</v>
      </c>
      <c r="K6" s="1558" t="s">
        <v>2824</v>
      </c>
      <c r="L6" s="305" t="s">
        <v>1347</v>
      </c>
      <c r="M6" s="306">
        <f ca="1">INDIRECT("'数据-取费表'!z"&amp;$G$1)</f>
        <v>0</v>
      </c>
    </row>
    <row r="7" spans="1:37" ht="18" customHeight="1">
      <c r="A7" s="1202"/>
      <c r="B7" s="3348"/>
      <c r="C7" s="1204"/>
      <c r="D7" s="310"/>
      <c r="E7" s="1205" t="s">
        <v>1348</v>
      </c>
      <c r="F7" s="306">
        <f ca="1">IF(INDIRECT("'数据-取费表'!ah"&amp;$G$1)="",INDIRECT("'数据-取费表'!k"&amp;$G$1),INDIRECT("'数据-取费表'!ah"&amp;$G$1))</f>
        <v>0</v>
      </c>
      <c r="G7" s="1566"/>
      <c r="H7" s="307"/>
      <c r="I7" s="3348"/>
      <c r="J7" s="309"/>
      <c r="K7" s="310"/>
      <c r="L7" s="305" t="s">
        <v>1348</v>
      </c>
      <c r="M7" s="306">
        <f ca="1">F7</f>
        <v>0</v>
      </c>
    </row>
    <row r="8" spans="1:37" ht="18" customHeight="1">
      <c r="A8" s="307"/>
      <c r="B8" s="3348"/>
      <c r="C8" s="309"/>
      <c r="D8" s="310"/>
      <c r="E8" s="305" t="s">
        <v>1349</v>
      </c>
      <c r="F8" s="306">
        <f ca="1">INDIRECT("'数据-取费表'!ai"&amp;$G$1)</f>
        <v>0</v>
      </c>
      <c r="G8" s="1566"/>
      <c r="H8" s="307"/>
      <c r="I8" s="3348"/>
      <c r="J8" s="309"/>
      <c r="K8" s="310"/>
      <c r="L8" s="305" t="s">
        <v>1349</v>
      </c>
      <c r="M8" s="306">
        <f ca="1">INDIRECT("'数据-取费表'!ai"&amp;$G$1)</f>
        <v>0</v>
      </c>
    </row>
    <row r="9" spans="1:37" ht="18" customHeight="1">
      <c r="A9" s="307"/>
      <c r="B9" s="3349"/>
      <c r="C9" s="309"/>
      <c r="D9" s="310"/>
      <c r="E9" s="305" t="s">
        <v>1350</v>
      </c>
      <c r="F9" s="315">
        <f ca="1">INDIRECT("'数据-取费表'!w"&amp;$G$1)</f>
        <v>0</v>
      </c>
      <c r="G9" s="1566"/>
      <c r="H9" s="307"/>
      <c r="I9" s="3349"/>
      <c r="J9" s="309"/>
      <c r="K9" s="310"/>
      <c r="L9" s="316" t="s">
        <v>1350</v>
      </c>
      <c r="M9" s="317">
        <f ca="1">INDIRECT("'数据-取费表'!ab"&amp;$G$1)</f>
        <v>0</v>
      </c>
    </row>
    <row r="10" spans="1:37" ht="18" customHeight="1">
      <c r="A10" s="1198" t="s">
        <v>984</v>
      </c>
      <c r="B10" s="1547" t="s">
        <v>1351</v>
      </c>
      <c r="C10" s="319">
        <f ca="1">ROUND(IF(F10="押一",C6/12*F11,IF(F10="押二",C6/12*2*F11,IF(F10="押三",C6/12*3*F11,C11*F11))),0)</f>
        <v>0</v>
      </c>
      <c r="D10" s="1548" t="s">
        <v>2833</v>
      </c>
      <c r="E10" s="316" t="s">
        <v>1352</v>
      </c>
      <c r="F10" s="1273"/>
      <c r="G10" s="1566"/>
      <c r="H10" s="1198" t="s">
        <v>984</v>
      </c>
      <c r="I10" s="1547" t="s">
        <v>1351</v>
      </c>
      <c r="J10" s="304">
        <f ca="1">ROUND(IF(M10="押一",J6/12*M11,IF(M10="押二",J6/12*2*M11,IF(M10="押三",J6/12*3*M11,J11*M11))),0)</f>
        <v>0</v>
      </c>
      <c r="K10" s="1559" t="s">
        <v>2835</v>
      </c>
      <c r="L10" s="316" t="s">
        <v>1352</v>
      </c>
      <c r="M10" s="1273"/>
    </row>
    <row r="11" spans="1:37" ht="18" customHeight="1">
      <c r="A11" s="311"/>
      <c r="B11" s="1549" t="s">
        <v>1544</v>
      </c>
      <c r="C11" s="1087"/>
      <c r="D11" s="310"/>
      <c r="E11" s="316" t="s">
        <v>1354</v>
      </c>
      <c r="F11" s="317">
        <f ca="1">'数据-取费表'!B39</f>
        <v>1.4999999999999999E-2</v>
      </c>
      <c r="G11" s="1566"/>
      <c r="H11" s="1206"/>
      <c r="I11" s="1549" t="s">
        <v>1545</v>
      </c>
      <c r="J11" s="1087"/>
      <c r="K11" s="690"/>
      <c r="L11" s="316" t="s">
        <v>1354</v>
      </c>
      <c r="M11" s="968">
        <f ca="1">'数据-取费表'!B39</f>
        <v>1.4999999999999999E-2</v>
      </c>
    </row>
    <row r="12" spans="1:37" ht="18" customHeight="1" thickBot="1">
      <c r="A12" s="1240" t="s">
        <v>1020</v>
      </c>
      <c r="B12" s="1551" t="s">
        <v>1355</v>
      </c>
      <c r="C12" s="1241"/>
      <c r="D12" s="1242"/>
      <c r="E12" s="1247"/>
      <c r="F12" s="1243"/>
      <c r="G12" s="1566"/>
      <c r="H12" s="1240" t="s">
        <v>1020</v>
      </c>
      <c r="I12" s="1551" t="s">
        <v>1355</v>
      </c>
      <c r="J12" s="1241"/>
      <c r="K12" s="1255"/>
      <c r="L12" s="1247"/>
      <c r="M12" s="1256"/>
    </row>
    <row r="13" spans="1:37" ht="18" customHeight="1" thickTop="1">
      <c r="A13" s="1236">
        <v>2</v>
      </c>
      <c r="B13" s="1237" t="s">
        <v>1356</v>
      </c>
      <c r="C13" s="313">
        <f ca="1">ROUND(C29*F13,0)</f>
        <v>0</v>
      </c>
      <c r="D13" s="1238" t="s">
        <v>1357</v>
      </c>
      <c r="E13" s="1238" t="s">
        <v>1358</v>
      </c>
      <c r="F13" s="1239">
        <f ca="1">INDIRECT("'数据-取费表'!y"&amp;$G$1)</f>
        <v>0</v>
      </c>
      <c r="G13" s="1566"/>
      <c r="H13" s="1236">
        <v>2</v>
      </c>
      <c r="I13" s="1237" t="s">
        <v>1356</v>
      </c>
      <c r="J13" s="1197">
        <f ca="1">ROUND(J14*J15,0)</f>
        <v>0</v>
      </c>
      <c r="K13" s="1244" t="s">
        <v>1357</v>
      </c>
      <c r="L13" s="1574"/>
      <c r="M13" s="1575"/>
    </row>
    <row r="14" spans="1:37" ht="18" customHeight="1">
      <c r="A14" s="1110" t="s">
        <v>979</v>
      </c>
      <c r="B14" s="305" t="s">
        <v>1359</v>
      </c>
      <c r="C14" s="321">
        <f ca="1">ROUND(INDIRECT("'数据-取费表'!l"&amp;$G$1)*F43+'数据-取费表'!L14*INDIRECT("'数据-取费表'!S"&amp;$G$1),0)</f>
        <v>0</v>
      </c>
      <c r="D14" s="1527" t="s">
        <v>1360</v>
      </c>
      <c r="E14" s="1524"/>
      <c r="F14" s="322"/>
      <c r="G14" s="1566"/>
      <c r="H14" s="1110" t="s">
        <v>980</v>
      </c>
      <c r="I14" s="305" t="s">
        <v>1361</v>
      </c>
      <c r="J14" s="21">
        <f ca="1">C29</f>
        <v>0</v>
      </c>
      <c r="K14" s="12"/>
      <c r="L14" s="913"/>
      <c r="M14" s="914"/>
    </row>
    <row r="15" spans="1:37" s="1579" customFormat="1" ht="18" customHeight="1" thickBot="1">
      <c r="A15" s="1110" t="s">
        <v>981</v>
      </c>
      <c r="B15" s="305" t="s">
        <v>1362</v>
      </c>
      <c r="C15" s="21">
        <f ca="1">ROUND(C14*F15,0)</f>
        <v>0</v>
      </c>
      <c r="D15" s="323" t="s">
        <v>1363</v>
      </c>
      <c r="E15" s="323" t="s">
        <v>1364</v>
      </c>
      <c r="F15" s="324">
        <f>'数据-取费表'!B33</f>
        <v>0.03</v>
      </c>
      <c r="G15" s="1578"/>
      <c r="H15" s="1246" t="s">
        <v>984</v>
      </c>
      <c r="I15" s="1247" t="s">
        <v>1358</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1331</v>
      </c>
      <c r="B16" s="305" t="s">
        <v>1365</v>
      </c>
      <c r="C16" s="21">
        <f ca="1">ROUND(INDIRECT("'数据-取费表'!l"&amp;$G$1)*F43*F16,0)</f>
        <v>0</v>
      </c>
      <c r="D16" s="305" t="s">
        <v>1363</v>
      </c>
      <c r="E16" s="305" t="s">
        <v>1364</v>
      </c>
      <c r="F16" s="325">
        <f ca="1">IF(INDIRECT("'数据-取费表'!c"&amp;$G$1)="住宅",'数据-取费表'!B34,0)</f>
        <v>0</v>
      </c>
      <c r="G16" s="1566"/>
      <c r="H16" s="1236" t="s">
        <v>975</v>
      </c>
      <c r="I16" s="1237" t="s">
        <v>1366</v>
      </c>
      <c r="J16" s="313">
        <f ca="1">ROUND(J17+J22+J23+J24,0)</f>
        <v>0</v>
      </c>
      <c r="K16" s="1244" t="s">
        <v>1367</v>
      </c>
      <c r="L16" s="1245"/>
      <c r="M16" s="1201"/>
    </row>
    <row r="17" spans="1:37" s="1579" customFormat="1" ht="18" customHeight="1">
      <c r="A17" s="1110" t="s">
        <v>1332</v>
      </c>
      <c r="B17" s="305" t="s">
        <v>1368</v>
      </c>
      <c r="C17" s="21">
        <f ca="1">ROUND(F17*(F43+INDIRECT("'数据-取费表'!S"&amp;$G$1)),0)</f>
        <v>0</v>
      </c>
      <c r="D17" s="305" t="s">
        <v>1369</v>
      </c>
      <c r="E17" s="305" t="s">
        <v>1370</v>
      </c>
      <c r="F17" s="23">
        <f>'数据-取费表'!B35</f>
        <v>200</v>
      </c>
      <c r="G17" s="1578"/>
      <c r="H17" s="1110" t="s">
        <v>980</v>
      </c>
      <c r="I17" s="305" t="s">
        <v>1371</v>
      </c>
      <c r="J17" s="2531">
        <f ca="1">ROUND(IF(AND(项目基本情况!B11="自然人",项目基本情况!B10="北京市"),J6*M17/(1+'数据-取费表'!C42),J18+J19+J20),0)</f>
        <v>0</v>
      </c>
      <c r="K17" s="1527" t="s">
        <v>1372</v>
      </c>
      <c r="L17" s="1526" t="s">
        <v>1373</v>
      </c>
      <c r="M17" s="2530">
        <f ca="1">IF(项目基本情况!B11="企业","",IF('数据-取费表'!B10="住宅",IF(M6*M7*M8/12/(1+'数据-取费表'!F30)&gt;100000,4%,2.5%),IF(M6*M7*M8/12/(1+'数据-取费表'!F30)&gt;100000,12%,7%)))</f>
        <v>7.0000000000000007E-2</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1333</v>
      </c>
      <c r="B18" s="305" t="s">
        <v>1374</v>
      </c>
      <c r="C18" s="21">
        <f ca="1">ROUND(C14*F18,0)</f>
        <v>0</v>
      </c>
      <c r="D18" s="305" t="s">
        <v>1363</v>
      </c>
      <c r="E18" s="305" t="s">
        <v>1364</v>
      </c>
      <c r="F18" s="325">
        <f>'数据-取费表'!B36</f>
        <v>1.4999999999999999E-2</v>
      </c>
      <c r="G18" s="1578"/>
      <c r="H18" s="1110" t="s">
        <v>979</v>
      </c>
      <c r="I18" s="305" t="s">
        <v>1375</v>
      </c>
      <c r="J18" s="21">
        <f ca="1">ROUND(J6*M18/(1+'数据-取费表'!C42),0)</f>
        <v>0</v>
      </c>
      <c r="K18" s="1526" t="s">
        <v>1376</v>
      </c>
      <c r="L18" s="305" t="s">
        <v>1364</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980</v>
      </c>
      <c r="B19" s="305" t="s">
        <v>1377</v>
      </c>
      <c r="C19" s="21">
        <f ca="1">SUM(C14:C18)</f>
        <v>0</v>
      </c>
      <c r="D19" s="133" t="s">
        <v>1378</v>
      </c>
      <c r="E19" s="1542"/>
      <c r="F19" s="23"/>
      <c r="G19" s="1566"/>
      <c r="H19" s="1110" t="s">
        <v>981</v>
      </c>
      <c r="I19" s="305" t="s">
        <v>1379</v>
      </c>
      <c r="J19" s="21">
        <f ca="1">IF(K19="按租金收入计税",ROUND(J6*M19/(1+'数据-取费表'!C42),0),ROUND(C29*M19*0.7,0))</f>
        <v>0</v>
      </c>
      <c r="K19" s="1552" t="s">
        <v>1380</v>
      </c>
      <c r="L19" s="305" t="s">
        <v>1364</v>
      </c>
      <c r="M19" s="325">
        <f>IF(K19="按租金收入计税",'数据-取费表'!B51,'数据-取费表'!B50)</f>
        <v>1.2E-2</v>
      </c>
    </row>
    <row r="20" spans="1:37" s="1579" customFormat="1" ht="18" customHeight="1">
      <c r="A20" s="1110" t="s">
        <v>984</v>
      </c>
      <c r="B20" s="305" t="s">
        <v>1381</v>
      </c>
      <c r="C20" s="21">
        <f ca="1">ROUND(C19*F20,0)</f>
        <v>0</v>
      </c>
      <c r="D20" s="326" t="s">
        <v>1382</v>
      </c>
      <c r="E20" s="305" t="s">
        <v>1364</v>
      </c>
      <c r="F20" s="325">
        <f>'数据-取费表'!B37</f>
        <v>0.02</v>
      </c>
      <c r="G20" s="1578"/>
      <c r="H20" s="1110" t="s">
        <v>1331</v>
      </c>
      <c r="I20" s="157" t="s">
        <v>1383</v>
      </c>
      <c r="J20" s="22">
        <f ca="1">ROUND(M20*M21,0)</f>
        <v>0</v>
      </c>
      <c r="K20" s="327" t="s">
        <v>1384</v>
      </c>
      <c r="L20" s="305" t="s">
        <v>1385</v>
      </c>
      <c r="M20" s="328">
        <f>'数据-取费表'!B52</f>
        <v>0</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1020</v>
      </c>
      <c r="B21" s="305" t="s">
        <v>1386</v>
      </c>
      <c r="C21" s="21" t="s">
        <v>0</v>
      </c>
      <c r="D21" s="326" t="s">
        <v>1387</v>
      </c>
      <c r="E21" s="305" t="s">
        <v>1388</v>
      </c>
      <c r="F21" s="325">
        <f>'数据-取费表'!B38</f>
        <v>0.02</v>
      </c>
      <c r="G21" s="1578"/>
      <c r="H21" s="329"/>
      <c r="I21" s="314"/>
      <c r="J21" s="26"/>
      <c r="K21" s="330"/>
      <c r="L21" s="305" t="s">
        <v>1389</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1334</v>
      </c>
      <c r="B22" s="305" t="s">
        <v>1390</v>
      </c>
      <c r="C22" s="21"/>
      <c r="D22" s="133" t="str">
        <f>IF(F23&lt;=1,"单利计息。","复利计息。")&amp;"建造成本、管理费用、销售费用产生的利息。"</f>
        <v>复利计息。建造成本、管理费用、销售费用产生的利息。</v>
      </c>
      <c r="E22" s="1542"/>
      <c r="F22" s="23"/>
      <c r="G22" s="1566"/>
      <c r="H22" s="1110" t="s">
        <v>984</v>
      </c>
      <c r="I22" s="305" t="s">
        <v>1391</v>
      </c>
      <c r="J22" s="21">
        <f ca="1">ROUND(J14*M22,0)</f>
        <v>0</v>
      </c>
      <c r="K22" s="1526" t="s">
        <v>1392</v>
      </c>
      <c r="L22" s="305" t="s">
        <v>1364</v>
      </c>
      <c r="M22" s="331">
        <f ca="1">INDIRECT("'数据-取费表'!Ak"&amp;$G$1)</f>
        <v>0</v>
      </c>
    </row>
    <row r="23" spans="1:37" s="1579" customFormat="1" ht="18" customHeight="1">
      <c r="A23" s="1110" t="s">
        <v>979</v>
      </c>
      <c r="B23" s="305" t="s">
        <v>1393</v>
      </c>
      <c r="C23" s="21">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1394</v>
      </c>
      <c r="F23" s="328">
        <f>'数据-取费表'!B20</f>
        <v>3</v>
      </c>
      <c r="G23" s="1578"/>
      <c r="H23" s="1110" t="s">
        <v>1020</v>
      </c>
      <c r="I23" s="305" t="s">
        <v>1395</v>
      </c>
      <c r="J23" s="21">
        <f ca="1">ROUND(J13*M23,0)</f>
        <v>0</v>
      </c>
      <c r="K23" s="1526" t="s">
        <v>1396</v>
      </c>
      <c r="L23" s="305" t="s">
        <v>1397</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1398</v>
      </c>
      <c r="B24" s="305" t="s">
        <v>1399</v>
      </c>
      <c r="C24" s="21">
        <f ca="1">ROUND(IF('数据-取费表'!B22&lt;=1,F21*F24*F23/2,F21*(POWER((1+F24),F23/2)-1)),4)</f>
        <v>1.1999999999999999E-3</v>
      </c>
      <c r="D24" s="332" t="str">
        <f>IF(F23&lt;=1,"销售费用×利率×(建设周期÷2)","销售费用×((1+利率)^(建设周期÷2)-1)")</f>
        <v>销售费用×((1+利率)^(建设周期÷2)-1)</v>
      </c>
      <c r="E24" s="305" t="s">
        <v>1400</v>
      </c>
      <c r="F24" s="334">
        <f ca="1">'数据-取费表'!B40</f>
        <v>3.85E-2</v>
      </c>
      <c r="G24" s="1578"/>
      <c r="H24" s="1246" t="s">
        <v>1335</v>
      </c>
      <c r="I24" s="1247" t="s">
        <v>1381</v>
      </c>
      <c r="J24" s="1248">
        <f ca="1">ROUND(J5*M24,0)</f>
        <v>0</v>
      </c>
      <c r="K24" s="1249" t="s">
        <v>1401</v>
      </c>
      <c r="L24" s="1247" t="s">
        <v>1397</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1402</v>
      </c>
      <c r="B25" s="305" t="s">
        <v>1403</v>
      </c>
      <c r="C25" s="21"/>
      <c r="D25" s="133" t="s">
        <v>1404</v>
      </c>
      <c r="E25" s="1542"/>
      <c r="F25" s="23"/>
      <c r="G25" s="1566"/>
      <c r="H25" s="1236" t="s">
        <v>976</v>
      </c>
      <c r="I25" s="1251" t="s">
        <v>1405</v>
      </c>
      <c r="J25" s="313">
        <f ca="1">J5-J16</f>
        <v>0</v>
      </c>
      <c r="K25" s="1252" t="s">
        <v>1406</v>
      </c>
      <c r="L25" s="1253"/>
      <c r="M25" s="1254"/>
    </row>
    <row r="26" spans="1:37" ht="18" customHeight="1">
      <c r="A26" s="1110" t="s">
        <v>979</v>
      </c>
      <c r="B26" s="305" t="s">
        <v>1407</v>
      </c>
      <c r="C26" s="21">
        <f ca="1">ROUND((C19+C20)*F26,0)</f>
        <v>0</v>
      </c>
      <c r="D26" s="326" t="s">
        <v>1408</v>
      </c>
      <c r="E26" s="316" t="s">
        <v>1409</v>
      </c>
      <c r="F26" s="315">
        <f ca="1">INDIRECT("'数据-取费表'!q"&amp;$G$1)</f>
        <v>0</v>
      </c>
      <c r="G26" s="1566"/>
      <c r="H26" s="302" t="s">
        <v>977</v>
      </c>
      <c r="I26" s="303" t="s">
        <v>1410</v>
      </c>
      <c r="J26" s="304">
        <f ca="1">IF(J5&lt;&gt;0,ROUND(J25*(1-((1+M28)/(1+M26))^M27)/(M26-M28),0),0)</f>
        <v>0</v>
      </c>
      <c r="K26" s="327" t="s">
        <v>1411</v>
      </c>
      <c r="L26" s="305" t="s">
        <v>1412</v>
      </c>
      <c r="M26" s="315">
        <f ca="1">INDIRECT("'数据-取费表'!I"&amp;$G$1)</f>
        <v>0</v>
      </c>
    </row>
    <row r="27" spans="1:37" ht="18" customHeight="1">
      <c r="A27" s="1110" t="s">
        <v>981</v>
      </c>
      <c r="B27" s="305" t="s">
        <v>1413</v>
      </c>
      <c r="C27" s="21">
        <f ca="1">ROUND(F21*F26,4)</f>
        <v>0</v>
      </c>
      <c r="D27" s="326" t="s">
        <v>1414</v>
      </c>
      <c r="E27" s="323"/>
      <c r="F27" s="324"/>
      <c r="G27" s="1566"/>
      <c r="H27" s="307"/>
      <c r="I27" s="308"/>
      <c r="J27" s="309"/>
      <c r="K27" s="335" t="s">
        <v>1415</v>
      </c>
      <c r="L27" s="305" t="s">
        <v>1416</v>
      </c>
      <c r="M27" s="336">
        <f ca="1">INDIRECT("'数据-取费表'!ag"&amp;$G$1)</f>
        <v>0</v>
      </c>
    </row>
    <row r="28" spans="1:37" s="1579" customFormat="1" ht="18" customHeight="1">
      <c r="A28" s="1110" t="s">
        <v>982</v>
      </c>
      <c r="B28" s="305" t="s">
        <v>1417</v>
      </c>
      <c r="C28" s="21">
        <f>ROUND(F28/(1+'数据-取费表'!C42),4)</f>
        <v>5.33E-2</v>
      </c>
      <c r="D28" s="326" t="s">
        <v>1418</v>
      </c>
      <c r="E28" s="305" t="s">
        <v>1364</v>
      </c>
      <c r="F28" s="325">
        <f>'数据-取费表'!B41</f>
        <v>5.6000000000000001E-2</v>
      </c>
      <c r="G28" s="1578"/>
      <c r="H28" s="311"/>
      <c r="I28" s="312"/>
      <c r="J28" s="313"/>
      <c r="K28" s="330"/>
      <c r="L28" s="305" t="s">
        <v>1419</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983</v>
      </c>
      <c r="B29" s="1247" t="s">
        <v>1420</v>
      </c>
      <c r="C29" s="1248">
        <f ca="1">ROUND((C19+C20+C23+C26)/(1-F21-C24-C27-C28),0)</f>
        <v>0</v>
      </c>
      <c r="D29" s="1249"/>
      <c r="E29" s="1247"/>
      <c r="F29" s="1250"/>
      <c r="G29" s="1578"/>
      <c r="H29" s="337" t="s">
        <v>978</v>
      </c>
      <c r="I29" s="338" t="s">
        <v>1421</v>
      </c>
      <c r="J29" s="339">
        <f ca="1">ROUND(J26/(1+F40)^F41,0)</f>
        <v>0</v>
      </c>
      <c r="K29" s="340" t="s">
        <v>1422</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975</v>
      </c>
      <c r="B30" s="1237" t="s">
        <v>1366</v>
      </c>
      <c r="C30" s="313">
        <f ca="1">ROUND(C31+C36+C37+C38,0)</f>
        <v>0</v>
      </c>
      <c r="D30" s="1244" t="s">
        <v>1367</v>
      </c>
      <c r="E30" s="1245"/>
      <c r="F30" s="1201"/>
      <c r="G30" s="1566"/>
      <c r="H30" s="2923"/>
      <c r="I30" s="1580"/>
      <c r="J30" s="1581"/>
      <c r="K30" s="2698"/>
      <c r="L30" s="2924"/>
      <c r="M30" s="2925"/>
    </row>
    <row r="31" spans="1:37" ht="18" customHeight="1">
      <c r="A31" s="1110" t="s">
        <v>980</v>
      </c>
      <c r="B31" s="305" t="s">
        <v>1371</v>
      </c>
      <c r="C31" s="2531">
        <f ca="1">ROUND(IF(AND(项目基本情况!B11="自然人",项目基本情况!B10="北京市"),C6*F31/(1+'数据-取费表'!C42),C32+C33+C34),0)</f>
        <v>0</v>
      </c>
      <c r="D31" s="1527" t="s">
        <v>1372</v>
      </c>
      <c r="E31" s="1526" t="s">
        <v>1423</v>
      </c>
      <c r="F31" s="2530">
        <f ca="1">IF(项目基本情况!B11="企业","——",IF('数据-取费表'!B10="住宅",IF(F6*F7*F8/12/(1+'数据-取费表'!F30)&gt;100000,4%,2.5%),IF(F6*F7*F8/12/(1+'数据-取费表'!F30)&gt;100000,12%,7%)))</f>
        <v>7.0000000000000007E-2</v>
      </c>
      <c r="G31" s="1566"/>
      <c r="H31" s="3036" t="s">
        <v>3033</v>
      </c>
      <c r="I31" s="1580"/>
      <c r="J31" s="1581"/>
      <c r="K31" s="2698"/>
      <c r="L31" s="2924"/>
      <c r="M31" s="2925"/>
    </row>
    <row r="32" spans="1:37" ht="18" customHeight="1">
      <c r="A32" s="1110" t="s">
        <v>979</v>
      </c>
      <c r="B32" s="305" t="s">
        <v>1375</v>
      </c>
      <c r="C32" s="21">
        <f ca="1">IF(项目基本情况!B11="自然人","——",ROUND(C6*F32/(1+'数据-取费表'!C42),0))</f>
        <v>0</v>
      </c>
      <c r="D32" s="1526" t="s">
        <v>1376</v>
      </c>
      <c r="E32" s="305" t="s">
        <v>1364</v>
      </c>
      <c r="F32" s="334">
        <f>'数据-取费表'!B41</f>
        <v>5.6000000000000001E-2</v>
      </c>
      <c r="G32" s="1566"/>
      <c r="H32" s="2923"/>
      <c r="I32" s="1580"/>
      <c r="J32" s="1581"/>
      <c r="K32" s="2698"/>
      <c r="L32" s="2924"/>
      <c r="M32" s="2925"/>
    </row>
    <row r="33" spans="1:18" ht="18" customHeight="1">
      <c r="A33" s="1110" t="s">
        <v>981</v>
      </c>
      <c r="B33" s="305" t="s">
        <v>1379</v>
      </c>
      <c r="C33" s="21">
        <f ca="1">IF(项目基本情况!B11="自然人","——",IF(D33="按租金收入计税",ROUND(C6*F33/(1+'数据-取费表'!C42),0),IF(D33="按房产原值计税",ROUND(C29*F33*0.7,0),INDIRECT("'数据-取费表'!Aj"&amp;$G$1))))</f>
        <v>0</v>
      </c>
      <c r="D33" s="1552" t="s">
        <v>1380</v>
      </c>
      <c r="E33" s="305" t="s">
        <v>1364</v>
      </c>
      <c r="F33" s="325">
        <f>IF(D33="按票据","——",IF(D33="按租金收入计税",'数据-取费表'!B51,'数据-取费表'!B50))</f>
        <v>1.2E-2</v>
      </c>
      <c r="G33" s="1566"/>
      <c r="H33" s="2926"/>
      <c r="I33" s="1580"/>
      <c r="J33" s="1581"/>
      <c r="K33" s="2927"/>
      <c r="L33" s="2926"/>
      <c r="M33" s="2926"/>
    </row>
    <row r="34" spans="1:18" ht="18" customHeight="1">
      <c r="A34" s="1198" t="s">
        <v>1331</v>
      </c>
      <c r="B34" s="157" t="s">
        <v>1383</v>
      </c>
      <c r="C34" s="22">
        <f ca="1">IF(项目基本情况!B11="自然人","——",ROUND(F34*F35,))</f>
        <v>0</v>
      </c>
      <c r="D34" s="327" t="s">
        <v>1384</v>
      </c>
      <c r="E34" s="305" t="s">
        <v>1385</v>
      </c>
      <c r="F34" s="328">
        <f>'数据-取费表'!B52</f>
        <v>0</v>
      </c>
      <c r="G34" s="1566"/>
      <c r="H34" s="2923"/>
      <c r="I34" s="1580"/>
      <c r="J34" s="1581"/>
      <c r="K34" s="2928"/>
      <c r="L34" s="2929"/>
      <c r="M34" s="2929"/>
    </row>
    <row r="35" spans="1:18" ht="18" customHeight="1">
      <c r="A35" s="1260"/>
      <c r="B35" s="1258"/>
      <c r="C35" s="26"/>
      <c r="D35" s="330"/>
      <c r="E35" s="305" t="s">
        <v>1389</v>
      </c>
      <c r="F35" s="306">
        <f ca="1">INDIRECT("'数据-取费表'!r"&amp;$G$1)</f>
        <v>0</v>
      </c>
      <c r="G35" s="1566"/>
      <c r="H35" s="2923"/>
      <c r="I35" s="1580"/>
      <c r="J35" s="1581"/>
      <c r="K35" s="2927"/>
      <c r="L35" s="2926"/>
      <c r="M35" s="2926"/>
    </row>
    <row r="36" spans="1:18" ht="18" customHeight="1">
      <c r="A36" s="1259" t="s">
        <v>984</v>
      </c>
      <c r="B36" s="305" t="s">
        <v>1391</v>
      </c>
      <c r="C36" s="21">
        <f ca="1">ROUND(C29*F36,0)</f>
        <v>0</v>
      </c>
      <c r="D36" s="1526" t="s">
        <v>1424</v>
      </c>
      <c r="E36" s="305" t="s">
        <v>1364</v>
      </c>
      <c r="F36" s="331">
        <f ca="1">INDIRECT("'数据-取费表'!Ak"&amp;$G$1)</f>
        <v>0</v>
      </c>
      <c r="G36" s="1566"/>
      <c r="H36" s="2926"/>
      <c r="I36" s="1580"/>
      <c r="J36" s="1581"/>
      <c r="K36" s="2767"/>
      <c r="L36" s="2926"/>
      <c r="M36" s="2926"/>
    </row>
    <row r="37" spans="1:18" ht="18" customHeight="1">
      <c r="A37" s="1110" t="s">
        <v>1020</v>
      </c>
      <c r="B37" s="305" t="s">
        <v>1395</v>
      </c>
      <c r="C37" s="21">
        <f ca="1">ROUND(C13*F37,0)</f>
        <v>0</v>
      </c>
      <c r="D37" s="1526" t="s">
        <v>1396</v>
      </c>
      <c r="E37" s="305" t="s">
        <v>1397</v>
      </c>
      <c r="F37" s="333">
        <f ca="1">INDIRECT("'数据-取费表'!Al"&amp;$G$1)</f>
        <v>0</v>
      </c>
      <c r="G37" s="1566"/>
      <c r="H37" s="2926"/>
      <c r="I37" s="1580"/>
      <c r="J37" s="1581"/>
      <c r="K37" s="2767"/>
      <c r="L37" s="2926"/>
      <c r="M37" s="2926"/>
    </row>
    <row r="38" spans="1:18" ht="18" customHeight="1" thickBot="1">
      <c r="A38" s="1246" t="s">
        <v>1335</v>
      </c>
      <c r="B38" s="1247" t="s">
        <v>1381</v>
      </c>
      <c r="C38" s="1248">
        <f ca="1">ROUND(C5*F38,1)</f>
        <v>0</v>
      </c>
      <c r="D38" s="1249" t="s">
        <v>1401</v>
      </c>
      <c r="E38" s="1247" t="s">
        <v>1397</v>
      </c>
      <c r="F38" s="1243">
        <f ca="1">INDIRECT("'数据-取费表'!Am"&amp;$G$1)</f>
        <v>0</v>
      </c>
      <c r="G38" s="1566"/>
      <c r="H38" s="2926"/>
      <c r="I38" s="1580"/>
      <c r="J38" s="1581"/>
      <c r="K38" s="2930"/>
      <c r="L38" s="2926"/>
      <c r="M38" s="2926"/>
    </row>
    <row r="39" spans="1:18" ht="24.6" customHeight="1" thickTop="1">
      <c r="A39" s="1236" t="s">
        <v>976</v>
      </c>
      <c r="B39" s="1251" t="s">
        <v>1425</v>
      </c>
      <c r="C39" s="313">
        <f ca="1">C5-C30</f>
        <v>0</v>
      </c>
      <c r="D39" s="1252" t="s">
        <v>1426</v>
      </c>
      <c r="E39" s="1253"/>
      <c r="F39" s="1254"/>
      <c r="G39" s="1566"/>
      <c r="H39" s="2926"/>
      <c r="I39" s="1580"/>
      <c r="J39" s="1581"/>
      <c r="K39" s="2930"/>
      <c r="L39" s="2926"/>
      <c r="M39" s="2926"/>
    </row>
    <row r="40" spans="1:18" ht="18" customHeight="1">
      <c r="A40" s="302" t="s">
        <v>977</v>
      </c>
      <c r="B40" s="303" t="s">
        <v>1427</v>
      </c>
      <c r="C40" s="304" t="e">
        <f ca="1">ROUND(C39*(1-((1+F42)/(1+F40))^F41)/(F40-F42),0)</f>
        <v>#DIV/0!</v>
      </c>
      <c r="D40" s="327" t="s">
        <v>1411</v>
      </c>
      <c r="E40" s="305" t="s">
        <v>1412</v>
      </c>
      <c r="F40" s="315">
        <f ca="1">INDIRECT("'数据-取费表'!I"&amp;$G$1)</f>
        <v>0</v>
      </c>
      <c r="G40" s="1566"/>
      <c r="H40" s="1643"/>
      <c r="I40" s="1580"/>
      <c r="J40" s="1581"/>
      <c r="K40" s="2930"/>
      <c r="L40" s="1643"/>
      <c r="M40" s="1643"/>
    </row>
    <row r="41" spans="1:18" ht="18" customHeight="1">
      <c r="A41" s="307"/>
      <c r="B41" s="308"/>
      <c r="C41" s="309"/>
      <c r="D41" s="335" t="s">
        <v>1428</v>
      </c>
      <c r="E41" s="305" t="s">
        <v>1416</v>
      </c>
      <c r="F41" s="336">
        <f ca="1">IF(INDIRECT("'数据-取费表'!af"&amp;$G$1)=0,INDIRECT("'数据-取费表'!ae"&amp;$G$1),INDIRECT("'数据-取费表'!af"&amp;$G$1))</f>
        <v>0</v>
      </c>
      <c r="G41" s="1566"/>
      <c r="H41" s="1350"/>
      <c r="I41" s="1580"/>
      <c r="J41" s="1581"/>
      <c r="K41" s="2767"/>
      <c r="L41" s="1350"/>
      <c r="M41" s="1350"/>
    </row>
    <row r="42" spans="1:18" ht="18" customHeight="1">
      <c r="A42" s="311"/>
      <c r="B42" s="312"/>
      <c r="C42" s="313"/>
      <c r="D42" s="330"/>
      <c r="E42" s="305" t="s">
        <v>1419</v>
      </c>
      <c r="F42" s="315">
        <f ca="1">INDIRECT("'数据-取费表'!v"&amp;$G$1)</f>
        <v>0</v>
      </c>
      <c r="G42" s="1566"/>
      <c r="H42" s="1350"/>
      <c r="I42" s="1580"/>
      <c r="J42" s="1581"/>
      <c r="K42" s="2767"/>
      <c r="L42" s="1350"/>
      <c r="M42" s="1350"/>
    </row>
    <row r="43" spans="1:18" ht="18" customHeight="1" thickBot="1">
      <c r="A43" s="337" t="s">
        <v>978</v>
      </c>
      <c r="B43" s="338" t="s">
        <v>1429</v>
      </c>
      <c r="C43" s="339" t="e">
        <f ca="1">ROUND(C40/F43,0)</f>
        <v>#DIV/0!</v>
      </c>
      <c r="D43" s="340" t="s">
        <v>1430</v>
      </c>
      <c r="E43" s="341" t="s">
        <v>1431</v>
      </c>
      <c r="F43" s="342">
        <f ca="1">INDIRECT("'数据-取费表'!k"&amp;$G$1)</f>
        <v>0</v>
      </c>
      <c r="G43" s="1566"/>
      <c r="H43" s="1350"/>
      <c r="I43" s="1350"/>
      <c r="J43" s="1350"/>
      <c r="K43" s="2767"/>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1546</v>
      </c>
      <c r="E45" s="1582"/>
      <c r="F45" s="1582"/>
      <c r="O45" s="1585" t="s">
        <v>1461</v>
      </c>
      <c r="P45" s="1643"/>
      <c r="Q45" s="1643"/>
      <c r="R45" s="1643"/>
    </row>
    <row r="46" spans="1:18" s="1566" customFormat="1" ht="13.5" thickBot="1">
      <c r="A46" s="1586" t="s">
        <v>1462</v>
      </c>
      <c r="C46" s="1587" t="e">
        <f ca="1">ROUND(C45/10000,0)</f>
        <v>#DIV/0!</v>
      </c>
      <c r="D46" s="1588" t="str">
        <f>C2</f>
        <v>万元</v>
      </c>
      <c r="I46" s="1589" t="s">
        <v>1463</v>
      </c>
      <c r="J46" s="1590"/>
      <c r="K46" s="1591"/>
      <c r="L46" s="1592" t="e">
        <f ca="1">IF(M47="住宅",0,IF(L48&gt;J51,L60,J60))</f>
        <v>#DIV/0!</v>
      </c>
      <c r="O46" s="1593" t="s">
        <v>1464</v>
      </c>
      <c r="P46" s="1594" t="s">
        <v>1465</v>
      </c>
      <c r="Q46" s="1595" t="s">
        <v>1466</v>
      </c>
      <c r="R46" s="1595" t="s">
        <v>1467</v>
      </c>
    </row>
    <row r="47" spans="1:18" s="1566" customFormat="1" ht="13.5" thickBot="1">
      <c r="A47" s="1074" t="s">
        <v>1338</v>
      </c>
      <c r="B47" s="1106" t="s">
        <v>1339</v>
      </c>
      <c r="C47" s="1106" t="s">
        <v>1340</v>
      </c>
      <c r="D47" s="1106" t="s">
        <v>1341</v>
      </c>
      <c r="E47" s="1186" t="s">
        <v>1342</v>
      </c>
      <c r="F47" s="1187"/>
      <c r="G47" s="728"/>
      <c r="I47" s="1596" t="s">
        <v>1468</v>
      </c>
      <c r="J47" s="1597"/>
      <c r="K47" s="1598" t="s">
        <v>1469</v>
      </c>
      <c r="L47" s="1599">
        <f ca="1">INDIRECT("'数据-取费表'!d"&amp;$G$1)</f>
        <v>0</v>
      </c>
      <c r="M47" s="1562" t="str">
        <f>IF(ISNUMBER(FIND("住宅",C1)),"住宅","非住宅")</f>
        <v>非住宅</v>
      </c>
      <c r="O47" s="1600" t="s">
        <v>985</v>
      </c>
      <c r="P47" s="1601" t="s">
        <v>1470</v>
      </c>
      <c r="Q47" s="1602" t="e">
        <f ca="1">C40+J29</f>
        <v>#DIV/0!</v>
      </c>
      <c r="R47" s="1602" t="s">
        <v>1471</v>
      </c>
    </row>
    <row r="48" spans="1:18" s="1566" customFormat="1" ht="28.5" thickBot="1">
      <c r="A48" s="1267" t="s">
        <v>1080</v>
      </c>
      <c r="B48" s="303" t="s">
        <v>1343</v>
      </c>
      <c r="C48" s="1541">
        <f ca="1">C49+C53+C55</f>
        <v>0</v>
      </c>
      <c r="D48" s="1269"/>
      <c r="E48" s="1270"/>
      <c r="F48" s="1090"/>
      <c r="G48" s="728"/>
      <c r="H48" s="729"/>
      <c r="I48" s="1603" t="s">
        <v>1472</v>
      </c>
      <c r="J48" s="1604"/>
      <c r="K48" s="1605" t="s">
        <v>1473</v>
      </c>
      <c r="L48" s="1606">
        <f ca="1">INDIRECT("'数据-取费表'!f"&amp;$G$1)</f>
        <v>0</v>
      </c>
      <c r="O48" s="1600" t="s">
        <v>986</v>
      </c>
      <c r="P48" s="1601" t="s">
        <v>1474</v>
      </c>
      <c r="Q48" s="1602" t="e">
        <f ca="1">J60</f>
        <v>#DIV/0!</v>
      </c>
      <c r="R48" s="1602" t="s">
        <v>1475</v>
      </c>
    </row>
    <row r="49" spans="1:18" s="1566" customFormat="1" ht="13.5" thickBot="1">
      <c r="A49" s="1103" t="s">
        <v>1081</v>
      </c>
      <c r="B49" s="1553" t="s">
        <v>1432</v>
      </c>
      <c r="C49" s="1271">
        <f ca="1">ROUND(F49*F51*F50*(1-F52),0)</f>
        <v>0</v>
      </c>
      <c r="D49" s="1183" t="s">
        <v>1346</v>
      </c>
      <c r="E49" s="1554" t="s">
        <v>1433</v>
      </c>
      <c r="F49" s="1188"/>
      <c r="G49" s="1607"/>
      <c r="H49" s="729"/>
      <c r="I49" s="1603" t="s">
        <v>1476</v>
      </c>
      <c r="J49" s="1608"/>
      <c r="K49" s="1605" t="s">
        <v>1477</v>
      </c>
      <c r="L49" s="1609"/>
      <c r="O49" s="1610" t="s">
        <v>987</v>
      </c>
      <c r="P49" s="1601" t="s">
        <v>1478</v>
      </c>
      <c r="Q49" s="1602">
        <f ca="1">C29</f>
        <v>0</v>
      </c>
      <c r="R49" s="1602" t="s">
        <v>1471</v>
      </c>
    </row>
    <row r="50" spans="1:18" s="1566" customFormat="1" ht="13.5" thickBot="1">
      <c r="A50" s="1104"/>
      <c r="B50" s="1107"/>
      <c r="C50" s="1108"/>
      <c r="D50" s="1081"/>
      <c r="E50" s="1184" t="s">
        <v>1348</v>
      </c>
      <c r="F50" s="1185">
        <f ca="1">F7</f>
        <v>0</v>
      </c>
      <c r="H50" s="729"/>
      <c r="I50" s="1603" t="s">
        <v>1479</v>
      </c>
      <c r="J50" s="1611">
        <f>SUMPRODUCT((I63:I65=J47)*(J62:L62=J48)*(J63:L65))</f>
        <v>0</v>
      </c>
      <c r="K50" s="1605" t="s">
        <v>1480</v>
      </c>
      <c r="L50" s="1609"/>
      <c r="M50" s="1612"/>
      <c r="O50" s="1610" t="s">
        <v>988</v>
      </c>
      <c r="P50" s="1601" t="s">
        <v>1481</v>
      </c>
      <c r="Q50" s="1613" t="e">
        <f ca="1">J58</f>
        <v>#DIV/0!</v>
      </c>
      <c r="R50" s="1602"/>
    </row>
    <row r="51" spans="1:18" s="1566" customFormat="1" ht="13.5" thickBot="1">
      <c r="A51" s="1105"/>
      <c r="B51" s="1107"/>
      <c r="C51" s="1108"/>
      <c r="D51" s="1081"/>
      <c r="E51" s="1109" t="s">
        <v>1349</v>
      </c>
      <c r="F51" s="306">
        <f ca="1">F8</f>
        <v>0</v>
      </c>
      <c r="I51" s="1614" t="s">
        <v>1482</v>
      </c>
      <c r="J51" s="1615">
        <f>IF(J49="",J50,J49+J50-YEAR('数据-取费表'!B2))</f>
        <v>0</v>
      </c>
      <c r="K51" s="1616" t="s">
        <v>1483</v>
      </c>
      <c r="L51" s="1617">
        <f ca="1">ROUND(-PV(INDIRECT("'数据-取费表'!h"&amp;$G$1),J51,(C39-C13*C76),0),0)</f>
        <v>0</v>
      </c>
      <c r="M51" s="1618"/>
      <c r="O51" s="1610" t="s">
        <v>989</v>
      </c>
      <c r="P51" s="1601" t="s">
        <v>1484</v>
      </c>
      <c r="Q51" s="1613">
        <f>J52</f>
        <v>0</v>
      </c>
      <c r="R51" s="1602"/>
    </row>
    <row r="52" spans="1:18" s="1566" customFormat="1" ht="13.5" thickBot="1">
      <c r="A52" s="1105"/>
      <c r="B52" s="1107"/>
      <c r="C52" s="1108"/>
      <c r="D52" s="1081"/>
      <c r="E52" s="1109" t="s">
        <v>1350</v>
      </c>
      <c r="F52" s="1182"/>
      <c r="I52" s="1619" t="s">
        <v>1485</v>
      </c>
      <c r="J52" s="1620"/>
      <c r="K52" s="1619" t="s">
        <v>1486</v>
      </c>
      <c r="L52" s="1620"/>
      <c r="O52" s="1610" t="s">
        <v>990</v>
      </c>
      <c r="P52" s="1601" t="s">
        <v>1487</v>
      </c>
      <c r="Q52" s="1602">
        <f ca="1">J53</f>
        <v>-2.7</v>
      </c>
      <c r="R52" s="1602" t="s">
        <v>1488</v>
      </c>
    </row>
    <row r="53" spans="1:18" s="1566" customFormat="1" ht="30.75" customHeight="1" thickBot="1">
      <c r="A53" s="1268" t="s">
        <v>1082</v>
      </c>
      <c r="B53" s="326" t="s">
        <v>1351</v>
      </c>
      <c r="C53" s="319">
        <f ca="1">ROUND(IF(F53="押一",C49/12*F11,IF(F53="押二",C49/12*2*F11,IF(F53="押三",C49/12*3*F11,C54*F11))),0)</f>
        <v>0</v>
      </c>
      <c r="D53" s="1548" t="s">
        <v>2836</v>
      </c>
      <c r="E53" s="316" t="s">
        <v>1352</v>
      </c>
      <c r="F53" s="1273"/>
      <c r="I53" s="1621" t="s">
        <v>1489</v>
      </c>
      <c r="J53" s="2383">
        <f ca="1">IF(M47="住宅",IF(D1="——",MAX(J51,L48),MAX(J51,L48-'数据-取费表'!B24)),IF(D1="——",MIN(J51,L48),MIN(J51,L48-'数据-取费表'!B24)))</f>
        <v>-2.7</v>
      </c>
      <c r="K53" s="3345" t="s">
        <v>1490</v>
      </c>
      <c r="L53" s="3346"/>
      <c r="O53" s="1600" t="s">
        <v>991</v>
      </c>
      <c r="P53" s="1601" t="s">
        <v>1491</v>
      </c>
      <c r="Q53" s="1602" t="e">
        <f ca="1">Q47+Q48</f>
        <v>#DIV/0!</v>
      </c>
      <c r="R53" s="1602" t="s">
        <v>992</v>
      </c>
    </row>
    <row r="54" spans="1:18" s="1566" customFormat="1" ht="13.5" thickBot="1">
      <c r="A54" s="1103"/>
      <c r="B54" s="1656" t="s">
        <v>1545</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1492</v>
      </c>
      <c r="P54" s="1563"/>
      <c r="Q54" s="1563"/>
      <c r="R54" s="1563"/>
    </row>
    <row r="55" spans="1:18" s="1566" customFormat="1" ht="13.5" thickBot="1">
      <c r="A55" s="1240" t="s">
        <v>1020</v>
      </c>
      <c r="B55" s="1551" t="s">
        <v>1355</v>
      </c>
      <c r="C55" s="1241"/>
      <c r="D55" s="1548"/>
      <c r="E55" s="1556"/>
      <c r="F55" s="1622"/>
      <c r="I55" s="1625" t="s">
        <v>1493</v>
      </c>
      <c r="J55" s="1626" t="e">
        <f ca="1">ROUND(IF(J47="钢混",J57/J50,1-(1-2%)*(J50-J57)/J50),3)</f>
        <v>#DIV/0!</v>
      </c>
      <c r="K55" s="1627" t="s">
        <v>1494</v>
      </c>
      <c r="L55" s="1628"/>
      <c r="O55" s="1593" t="s">
        <v>1464</v>
      </c>
      <c r="P55" s="1594" t="s">
        <v>1465</v>
      </c>
      <c r="Q55" s="1595" t="s">
        <v>1466</v>
      </c>
      <c r="R55" s="1595" t="s">
        <v>1467</v>
      </c>
    </row>
    <row r="56" spans="1:18" s="1566" customFormat="1" ht="36" customHeight="1" thickTop="1" thickBot="1">
      <c r="A56" s="1085">
        <v>2</v>
      </c>
      <c r="B56" s="1086" t="s">
        <v>1356</v>
      </c>
      <c r="C56" s="235">
        <f ca="1">C13</f>
        <v>0</v>
      </c>
      <c r="D56" s="1629"/>
      <c r="E56" s="1630"/>
      <c r="F56" s="1622"/>
      <c r="I56" s="1631" t="s">
        <v>1496</v>
      </c>
      <c r="J56" s="1632"/>
      <c r="K56" s="1603" t="s">
        <v>1497</v>
      </c>
      <c r="L56" s="1606">
        <f ca="1">IF(L48&lt;J51,"——",L48-J51)</f>
        <v>0</v>
      </c>
      <c r="O56" s="1600" t="s">
        <v>985</v>
      </c>
      <c r="P56" s="1601" t="s">
        <v>1470</v>
      </c>
      <c r="Q56" s="1602" t="e">
        <f ca="1">C40+J29</f>
        <v>#DIV/0!</v>
      </c>
      <c r="R56" s="1602" t="s">
        <v>1471</v>
      </c>
    </row>
    <row r="57" spans="1:18" s="1566" customFormat="1" ht="24.75" thickBot="1">
      <c r="A57" s="1633"/>
      <c r="B57" s="1078" t="s">
        <v>1420</v>
      </c>
      <c r="C57" s="241">
        <f ca="1">C29</f>
        <v>0</v>
      </c>
      <c r="D57" s="1634"/>
      <c r="E57" s="1635"/>
      <c r="F57" s="1636"/>
      <c r="I57" s="1637" t="s">
        <v>1498</v>
      </c>
      <c r="J57" s="1638">
        <f ca="1">IF(OR(M47="住宅",J51&lt;L48,J56="是"),"——",J51-L48)</f>
        <v>0</v>
      </c>
      <c r="K57" s="1603" t="s">
        <v>1547</v>
      </c>
      <c r="L57" s="1606">
        <f ca="1">IF(L48&lt;J51,"——",IF(L55="比较法",L49,IF(L55="基准地价",L50,L51)))</f>
        <v>0</v>
      </c>
      <c r="O57" s="1600" t="s">
        <v>986</v>
      </c>
      <c r="P57" s="1601" t="s">
        <v>1548</v>
      </c>
      <c r="Q57" s="1602" t="e">
        <f ca="1">L60</f>
        <v>#DIV/0!</v>
      </c>
      <c r="R57" s="1602" t="s">
        <v>1549</v>
      </c>
    </row>
    <row r="58" spans="1:18" s="1566" customFormat="1" ht="24.75" thickBot="1">
      <c r="A58" s="318" t="s">
        <v>975</v>
      </c>
      <c r="B58" s="1086" t="s">
        <v>1366</v>
      </c>
      <c r="C58" s="319">
        <f ca="1">ROUND(C59+C64+C65+C66,0)</f>
        <v>0</v>
      </c>
      <c r="D58" s="1088" t="s">
        <v>1367</v>
      </c>
      <c r="E58" s="1089"/>
      <c r="F58" s="1090"/>
      <c r="I58" s="1637" t="s">
        <v>1502</v>
      </c>
      <c r="J58" s="1639" t="e">
        <f ca="1">IF(J55&lt;0.4,0.4,J55)</f>
        <v>#DIV/0!</v>
      </c>
      <c r="K58" s="1616" t="s">
        <v>1550</v>
      </c>
      <c r="L58" s="1606" t="e">
        <f ca="1">ROUND(POWER(1+L52,L47-L48)*(POWER(1+L52,L48)-1)/(POWER(1+L52,L47)-1),4)</f>
        <v>#DIV/0!</v>
      </c>
      <c r="O58" s="1610" t="s">
        <v>987</v>
      </c>
      <c r="P58" s="1601" t="s">
        <v>1504</v>
      </c>
      <c r="Q58" s="1602">
        <f>IF(L55="比较法",L49,IF(L55="基准地价",L50,0))</f>
        <v>0</v>
      </c>
      <c r="R58" s="1602" t="s">
        <v>1471</v>
      </c>
    </row>
    <row r="59" spans="1:18" s="1566" customFormat="1" ht="24.75" thickBot="1">
      <c r="A59" s="1110" t="s">
        <v>980</v>
      </c>
      <c r="B59" s="1078" t="s">
        <v>1371</v>
      </c>
      <c r="C59" s="2531">
        <f ca="1">ROUND(IF(AND(项目基本情况!B11="自然人",项目基本情况!B10="北京市"),C49*F59/(1+'数据-取费表'!C42),C60+C61+C62),0)</f>
        <v>0</v>
      </c>
      <c r="D59" s="1091" t="s">
        <v>1372</v>
      </c>
      <c r="E59" s="1092" t="s">
        <v>1373</v>
      </c>
      <c r="F59" s="2530">
        <f ca="1">IF(项目基本情况!B11="企业","——",IF('数据-取费表'!B10="住宅",IF(F49*F50*F51/12/(1+'数据-取费表'!F30)&gt;100000,4%,2.5%),IF(F49*F50*F51/12/(1+'数据-取费表'!F30)&gt;100000,12%,7%)))</f>
        <v>7.0000000000000007E-2</v>
      </c>
      <c r="I59" s="1637" t="s">
        <v>1505</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988</v>
      </c>
      <c r="P59" s="1601" t="s">
        <v>1506</v>
      </c>
      <c r="Q59" s="1613">
        <f>L52</f>
        <v>0</v>
      </c>
      <c r="R59" s="1602"/>
    </row>
    <row r="60" spans="1:18" s="1566" customFormat="1" ht="16.5" thickBot="1">
      <c r="A60" s="1110" t="s">
        <v>979</v>
      </c>
      <c r="B60" s="1078" t="s">
        <v>1375</v>
      </c>
      <c r="C60" s="21">
        <f ca="1">IF(项目基本情况!B11="自然人","——",ROUND(C48*F60/(1+'数据-取费表'!C42),0))</f>
        <v>0</v>
      </c>
      <c r="D60" s="1092" t="s">
        <v>1376</v>
      </c>
      <c r="E60" s="1078" t="s">
        <v>1364</v>
      </c>
      <c r="F60" s="334">
        <f t="shared" ref="F60:F66" si="0">F32</f>
        <v>5.6000000000000001E-2</v>
      </c>
      <c r="I60" s="1640" t="s">
        <v>1507</v>
      </c>
      <c r="J60" s="1641" t="e">
        <f ca="1">IF(OR(M47="住宅",J51&lt;L48,J56="是"),"0",ROUND(J59/(1+J52)^J53,0))</f>
        <v>#DIV/0!</v>
      </c>
      <c r="K60" s="1642" t="s">
        <v>1508</v>
      </c>
      <c r="L60" s="1641" t="e">
        <f ca="1">IF(OR(M47="住宅",L48&lt;J51),0,ROUND(L57*(L58/L59-1),0))</f>
        <v>#DIV/0!</v>
      </c>
      <c r="O60" s="1610" t="s">
        <v>989</v>
      </c>
      <c r="P60" s="1601" t="s">
        <v>1509</v>
      </c>
      <c r="Q60" s="1602" t="e">
        <f ca="1">L58</f>
        <v>#DIV/0!</v>
      </c>
      <c r="R60" s="1602" t="s">
        <v>1510</v>
      </c>
    </row>
    <row r="61" spans="1:18" s="1566" customFormat="1" ht="13.5" thickBot="1">
      <c r="A61" s="1110" t="s">
        <v>1434</v>
      </c>
      <c r="B61" s="1078" t="s">
        <v>1435</v>
      </c>
      <c r="C61" s="21">
        <f ca="1">IF(项目基本情况!B11="自然人","——",IF(D61="按租金收入计税",ROUND(C48*F61,0),IF(D61="按房产原值计税",ROUND(C57*F61*0.7,0),INDIRECT("'数据-取费表'!Aj"&amp;$G$1))))</f>
        <v>0</v>
      </c>
      <c r="D61" s="1552" t="s">
        <v>1380</v>
      </c>
      <c r="E61" s="1078" t="s">
        <v>1436</v>
      </c>
      <c r="F61" s="325">
        <f t="shared" si="0"/>
        <v>1.2E-2</v>
      </c>
      <c r="I61" s="1643"/>
      <c r="J61" s="1643"/>
      <c r="K61" s="1643"/>
      <c r="L61" s="1643"/>
      <c r="O61" s="1610" t="s">
        <v>990</v>
      </c>
      <c r="P61" s="1601" t="str">
        <f>K59</f>
        <v>建设期及建筑物耐用年限下的土地年期修正系数Kn</v>
      </c>
      <c r="Q61" s="1602" t="e">
        <f ca="1">L59</f>
        <v>#DIV/0!</v>
      </c>
      <c r="R61" s="1602" t="s">
        <v>1511</v>
      </c>
    </row>
    <row r="62" spans="1:18" s="1566" customFormat="1" ht="13.5" thickBot="1">
      <c r="A62" s="1110" t="s">
        <v>1437</v>
      </c>
      <c r="B62" s="1077" t="s">
        <v>1438</v>
      </c>
      <c r="C62" s="22">
        <f ca="1">IF(项目基本情况!B11="自然人","——",ROUND(F62*F63,0))</f>
        <v>0</v>
      </c>
      <c r="D62" s="1093" t="s">
        <v>1439</v>
      </c>
      <c r="E62" s="1078" t="s">
        <v>1440</v>
      </c>
      <c r="F62" s="328">
        <f t="shared" si="0"/>
        <v>0</v>
      </c>
      <c r="I62" s="1644" t="s">
        <v>1512</v>
      </c>
      <c r="J62" s="1645" t="s">
        <v>1513</v>
      </c>
      <c r="K62" s="1645" t="s">
        <v>1514</v>
      </c>
      <c r="L62" s="1645" t="s">
        <v>1515</v>
      </c>
      <c r="M62" s="1646" t="s">
        <v>1516</v>
      </c>
      <c r="O62" s="1600" t="s">
        <v>991</v>
      </c>
      <c r="P62" s="1601" t="s">
        <v>1517</v>
      </c>
      <c r="Q62" s="1602" t="e">
        <f ca="1">Q56+Q57</f>
        <v>#DIV/0!</v>
      </c>
      <c r="R62" s="1602" t="s">
        <v>992</v>
      </c>
    </row>
    <row r="63" spans="1:18" s="1566" customFormat="1" ht="13.5" thickBot="1">
      <c r="A63" s="329"/>
      <c r="B63" s="1084"/>
      <c r="C63" s="26"/>
      <c r="D63" s="1094"/>
      <c r="E63" s="1078" t="s">
        <v>1441</v>
      </c>
      <c r="F63" s="306">
        <f t="shared" ca="1" si="0"/>
        <v>0</v>
      </c>
      <c r="I63" s="1644" t="s">
        <v>1518</v>
      </c>
      <c r="J63" s="1645">
        <v>70</v>
      </c>
      <c r="K63" s="1645">
        <v>50</v>
      </c>
      <c r="L63" s="1645">
        <v>80</v>
      </c>
      <c r="M63" s="1647">
        <v>0.02</v>
      </c>
      <c r="O63" s="1585" t="s">
        <v>1519</v>
      </c>
      <c r="P63" s="1563"/>
      <c r="Q63" s="1563"/>
      <c r="R63" s="1563"/>
    </row>
    <row r="64" spans="1:18" s="1566" customFormat="1" ht="13.5" thickBot="1">
      <c r="A64" s="1110" t="s">
        <v>1442</v>
      </c>
      <c r="B64" s="1078" t="s">
        <v>1443</v>
      </c>
      <c r="C64" s="21">
        <f ca="1">ROUND(C57*F64,0)</f>
        <v>0</v>
      </c>
      <c r="D64" s="1092" t="s">
        <v>1444</v>
      </c>
      <c r="E64" s="1078" t="s">
        <v>1436</v>
      </c>
      <c r="F64" s="331">
        <f t="shared" ca="1" si="0"/>
        <v>0</v>
      </c>
      <c r="I64" s="1644" t="s">
        <v>1520</v>
      </c>
      <c r="J64" s="1645">
        <v>50</v>
      </c>
      <c r="K64" s="1645">
        <v>35</v>
      </c>
      <c r="L64" s="1645">
        <v>60</v>
      </c>
      <c r="M64" s="1646">
        <v>0</v>
      </c>
      <c r="O64" s="1593" t="s">
        <v>1464</v>
      </c>
      <c r="P64" s="1594" t="s">
        <v>1465</v>
      </c>
      <c r="Q64" s="1595" t="s">
        <v>1466</v>
      </c>
      <c r="R64" s="1595" t="s">
        <v>1467</v>
      </c>
    </row>
    <row r="65" spans="1:18" s="1566" customFormat="1" ht="13.5" thickBot="1">
      <c r="A65" s="1110" t="s">
        <v>1445</v>
      </c>
      <c r="B65" s="1078" t="s">
        <v>1395</v>
      </c>
      <c r="C65" s="21">
        <f ca="1">ROUND(C56*F65,0)</f>
        <v>0</v>
      </c>
      <c r="D65" s="1092" t="s">
        <v>1396</v>
      </c>
      <c r="E65" s="1078" t="s">
        <v>1397</v>
      </c>
      <c r="F65" s="333">
        <f t="shared" ca="1" si="0"/>
        <v>0</v>
      </c>
      <c r="I65" s="1644" t="s">
        <v>1521</v>
      </c>
      <c r="J65" s="1645">
        <v>40</v>
      </c>
      <c r="K65" s="1645">
        <v>30</v>
      </c>
      <c r="L65" s="1645">
        <v>50</v>
      </c>
      <c r="M65" s="1647">
        <v>0.02</v>
      </c>
      <c r="O65" s="1600" t="s">
        <v>985</v>
      </c>
      <c r="P65" s="1601" t="s">
        <v>1522</v>
      </c>
      <c r="Q65" s="1602" t="e">
        <f ca="1">C40+J29</f>
        <v>#DIV/0!</v>
      </c>
      <c r="R65" s="1602" t="s">
        <v>1471</v>
      </c>
    </row>
    <row r="66" spans="1:18" s="1566" customFormat="1" ht="16.5" thickBot="1">
      <c r="A66" s="1110" t="s">
        <v>1446</v>
      </c>
      <c r="B66" s="1078" t="s">
        <v>1381</v>
      </c>
      <c r="C66" s="21">
        <f ca="1">ROUND(C48*F66,0)</f>
        <v>0</v>
      </c>
      <c r="D66" s="1092" t="s">
        <v>1447</v>
      </c>
      <c r="E66" s="1078" t="s">
        <v>1364</v>
      </c>
      <c r="F66" s="315">
        <f t="shared" ca="1" si="0"/>
        <v>0</v>
      </c>
      <c r="O66" s="1600" t="s">
        <v>986</v>
      </c>
      <c r="P66" s="1601" t="s">
        <v>1500</v>
      </c>
      <c r="Q66" s="1602" t="e">
        <f ca="1">L60</f>
        <v>#DIV/0!</v>
      </c>
      <c r="R66" s="1602" t="s">
        <v>1523</v>
      </c>
    </row>
    <row r="67" spans="1:18" s="1566" customFormat="1" ht="16.5" thickBot="1">
      <c r="A67" s="1085" t="s">
        <v>976</v>
      </c>
      <c r="B67" s="1095" t="s">
        <v>1405</v>
      </c>
      <c r="C67" s="319">
        <f ca="1">C48-C58</f>
        <v>0</v>
      </c>
      <c r="D67" s="1091" t="s">
        <v>1406</v>
      </c>
      <c r="E67" s="1096"/>
      <c r="F67" s="1097"/>
      <c r="O67" s="1610" t="s">
        <v>987</v>
      </c>
      <c r="P67" s="1601" t="s">
        <v>1504</v>
      </c>
      <c r="Q67" s="1648">
        <f ca="1">L51</f>
        <v>0</v>
      </c>
      <c r="R67" s="1602" t="s">
        <v>1524</v>
      </c>
    </row>
    <row r="68" spans="1:18" s="1566" customFormat="1" ht="16.5" thickBot="1">
      <c r="A68" s="1075" t="s">
        <v>977</v>
      </c>
      <c r="B68" s="1076" t="s">
        <v>1427</v>
      </c>
      <c r="C68" s="304" t="e">
        <f ca="1">ROUND(C67*(1-((1+F70)/(1+F68))^F69)/(F68-F70),0)</f>
        <v>#DIV/0!</v>
      </c>
      <c r="D68" s="1093" t="s">
        <v>1411</v>
      </c>
      <c r="E68" s="1078" t="s">
        <v>1412</v>
      </c>
      <c r="F68" s="315">
        <f ca="1">F40</f>
        <v>0</v>
      </c>
      <c r="O68" s="1610" t="s">
        <v>988</v>
      </c>
      <c r="P68" s="1649" t="s">
        <v>1525</v>
      </c>
      <c r="Q68" s="1602">
        <f ca="1">ROUND(Q69-Q70*Q71,0)</f>
        <v>0</v>
      </c>
      <c r="R68" s="1602" t="s">
        <v>996</v>
      </c>
    </row>
    <row r="69" spans="1:18" s="1566" customFormat="1" ht="13.5" thickBot="1">
      <c r="A69" s="1079"/>
      <c r="B69" s="1080"/>
      <c r="C69" s="309"/>
      <c r="D69" s="1098" t="s">
        <v>1415</v>
      </c>
      <c r="E69" s="1078" t="s">
        <v>1416</v>
      </c>
      <c r="F69" s="336">
        <f ca="1">F41</f>
        <v>0</v>
      </c>
      <c r="O69" s="1610" t="s">
        <v>993</v>
      </c>
      <c r="P69" s="1649" t="s">
        <v>1526</v>
      </c>
      <c r="Q69" s="1602">
        <f ca="1">C39</f>
        <v>0</v>
      </c>
      <c r="R69" s="1602" t="s">
        <v>1471</v>
      </c>
    </row>
    <row r="70" spans="1:18" s="1566" customFormat="1" ht="13.5" thickBot="1">
      <c r="A70" s="1082"/>
      <c r="B70" s="1083"/>
      <c r="C70" s="313"/>
      <c r="D70" s="1094"/>
      <c r="E70" s="1078" t="s">
        <v>1419</v>
      </c>
      <c r="F70" s="1182">
        <f ca="1">F42</f>
        <v>0</v>
      </c>
      <c r="O70" s="1610" t="s">
        <v>994</v>
      </c>
      <c r="P70" s="1649" t="s">
        <v>1527</v>
      </c>
      <c r="Q70" s="1602">
        <f ca="1">C13</f>
        <v>0</v>
      </c>
      <c r="R70" s="1602" t="s">
        <v>1471</v>
      </c>
    </row>
    <row r="71" spans="1:18" s="1566" customFormat="1" ht="13.5" thickBot="1">
      <c r="A71" s="1099" t="s">
        <v>978</v>
      </c>
      <c r="B71" s="1100" t="s">
        <v>1429</v>
      </c>
      <c r="C71" s="339" t="e">
        <f ca="1">ROUND(C68/F71,0)</f>
        <v>#DIV/0!</v>
      </c>
      <c r="D71" s="1101" t="s">
        <v>1430</v>
      </c>
      <c r="E71" s="1102" t="s">
        <v>1431</v>
      </c>
      <c r="F71" s="342">
        <f ca="1">F43</f>
        <v>0</v>
      </c>
      <c r="O71" s="1610" t="s">
        <v>995</v>
      </c>
      <c r="P71" s="1649" t="s">
        <v>1528</v>
      </c>
      <c r="Q71" s="1613">
        <f ca="1">C76</f>
        <v>0</v>
      </c>
      <c r="R71" s="1602"/>
    </row>
    <row r="72" spans="1:18" s="1566" customFormat="1" ht="13.5" thickBot="1">
      <c r="B72" s="732"/>
      <c r="C72" s="732"/>
      <c r="O72" s="1610" t="s">
        <v>989</v>
      </c>
      <c r="P72" s="1601" t="s">
        <v>1506</v>
      </c>
      <c r="Q72" s="1613">
        <f>L52</f>
        <v>0</v>
      </c>
      <c r="R72" s="1602"/>
    </row>
    <row r="73" spans="1:18" ht="16.5" thickBot="1">
      <c r="A73" s="1566"/>
      <c r="B73" s="732"/>
      <c r="C73" s="732"/>
      <c r="D73" s="1566"/>
      <c r="E73" s="1566"/>
      <c r="F73" s="1566"/>
      <c r="O73" s="1610" t="s">
        <v>990</v>
      </c>
      <c r="P73" s="1601" t="s">
        <v>1509</v>
      </c>
      <c r="Q73" s="1602" t="e">
        <f ca="1">L58</f>
        <v>#DIV/0!</v>
      </c>
      <c r="R73" s="1602" t="s">
        <v>1510</v>
      </c>
    </row>
    <row r="74" spans="1:18" ht="13.5" thickBot="1">
      <c r="A74" s="1566"/>
      <c r="B74" s="276" t="s">
        <v>1529</v>
      </c>
      <c r="C74" s="1651"/>
      <c r="D74" s="1566"/>
      <c r="E74" s="1566"/>
      <c r="F74" s="1566"/>
      <c r="O74" s="1610" t="s">
        <v>997</v>
      </c>
      <c r="P74" s="1601" t="str">
        <f>K59</f>
        <v>建设期及建筑物耐用年限下的土地年期修正系数Kn</v>
      </c>
      <c r="Q74" s="1602" t="e">
        <f ca="1">L59</f>
        <v>#DIV/0!</v>
      </c>
      <c r="R74" s="1602" t="s">
        <v>1511</v>
      </c>
    </row>
    <row r="75" spans="1:18" ht="13.5" thickBot="1">
      <c r="A75" s="1566"/>
      <c r="B75" s="343" t="s">
        <v>1448</v>
      </c>
      <c r="C75" s="344">
        <f ca="1">ROUND(C13*C76,0)</f>
        <v>0</v>
      </c>
      <c r="D75" s="1566"/>
      <c r="E75" s="1566"/>
      <c r="F75" s="1566"/>
      <c r="K75" s="1584"/>
      <c r="L75" s="1566"/>
      <c r="O75" s="1600" t="s">
        <v>991</v>
      </c>
      <c r="P75" s="1601" t="s">
        <v>1491</v>
      </c>
      <c r="Q75" s="1602" t="e">
        <f ca="1">Q65+Q66</f>
        <v>#DIV/0!</v>
      </c>
      <c r="R75" s="1602" t="s">
        <v>992</v>
      </c>
    </row>
    <row r="76" spans="1:18">
      <c r="B76" s="345" t="s">
        <v>1449</v>
      </c>
      <c r="C76" s="346">
        <f ca="1">INDIRECT("'数据-取费表'!j"&amp;$G$1)</f>
        <v>0</v>
      </c>
      <c r="I76" s="1566"/>
      <c r="J76" s="1566"/>
      <c r="K76" s="1584"/>
      <c r="L76" s="1566"/>
    </row>
    <row r="77" spans="1:18">
      <c r="B77" s="347" t="s">
        <v>1450</v>
      </c>
      <c r="C77" s="348"/>
      <c r="I77" s="1566"/>
      <c r="J77" s="1566"/>
      <c r="K77" s="1584"/>
      <c r="L77" s="1566"/>
    </row>
    <row r="78" spans="1:18">
      <c r="B78" s="273" t="s">
        <v>1451</v>
      </c>
      <c r="C78" s="349"/>
    </row>
    <row r="79" spans="1:18">
      <c r="B79" s="343" t="s">
        <v>1452</v>
      </c>
      <c r="C79" s="277" t="e">
        <f ca="1">1-C80</f>
        <v>#DIV/0!</v>
      </c>
    </row>
    <row r="80" spans="1:18">
      <c r="B80" s="343" t="s">
        <v>1453</v>
      </c>
      <c r="C80" s="277" t="e">
        <f ca="1">ROUND(C75/C39,3)</f>
        <v>#DIV/0!</v>
      </c>
    </row>
    <row r="81" spans="2:3">
      <c r="B81" s="273" t="s">
        <v>1454</v>
      </c>
      <c r="C81" s="241"/>
    </row>
    <row r="82" spans="2:3">
      <c r="B82" s="276" t="s">
        <v>1455</v>
      </c>
      <c r="C82" s="278" t="e">
        <f ca="1">1-C83</f>
        <v>#DIV/0!</v>
      </c>
    </row>
    <row r="83" spans="2:3">
      <c r="B83" s="276" t="s">
        <v>1456</v>
      </c>
      <c r="C83" s="277"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2322</v>
      </c>
      <c r="B1" s="2051"/>
      <c r="C1" s="2051"/>
      <c r="D1" s="2051"/>
      <c r="E1" s="2052"/>
      <c r="F1" s="2933"/>
      <c r="G1" s="1672"/>
      <c r="H1" s="1672"/>
      <c r="I1" s="1672"/>
      <c r="J1" s="1672"/>
      <c r="K1" s="1672"/>
      <c r="L1" s="1672"/>
      <c r="M1" s="1672"/>
      <c r="N1" s="1672"/>
      <c r="O1" s="1672"/>
      <c r="P1" s="1672"/>
      <c r="Q1" s="1672"/>
      <c r="R1" s="1672"/>
      <c r="S1" s="1672"/>
    </row>
    <row r="2" spans="1:22" ht="15.75">
      <c r="A2" s="2053" t="s">
        <v>2126</v>
      </c>
      <c r="B2" s="2054">
        <f ca="1">SUMIF(B6:B13,"&lt;&gt;#ref!",B6:B13)</f>
        <v>0</v>
      </c>
      <c r="C2" s="2055" t="s">
        <v>2315</v>
      </c>
      <c r="D2" s="2056" t="s">
        <v>2316</v>
      </c>
      <c r="E2" s="2830">
        <f>SUM(E6:E13)</f>
        <v>0</v>
      </c>
      <c r="F2" s="2933"/>
      <c r="G2" s="1672"/>
      <c r="H2" s="1672"/>
      <c r="I2" s="1672"/>
      <c r="J2" s="1672"/>
      <c r="K2" s="1672"/>
      <c r="L2" s="1672"/>
      <c r="M2" s="1672"/>
      <c r="N2" s="1672"/>
      <c r="O2" s="1672"/>
      <c r="P2" s="1672"/>
      <c r="Q2" s="1672"/>
      <c r="R2" s="1672"/>
      <c r="S2" s="1672"/>
    </row>
    <row r="3" spans="1:22" ht="15.75">
      <c r="A3" s="2053" t="s">
        <v>1337</v>
      </c>
      <c r="B3" s="2824" t="e">
        <f ca="1">ROUND(B2*10000/E2,0)</f>
        <v>#DIV/0!</v>
      </c>
      <c r="C3" s="2055" t="s">
        <v>2323</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2317</v>
      </c>
      <c r="B5" s="3350" t="s">
        <v>2318</v>
      </c>
      <c r="C5" s="3351"/>
      <c r="D5" s="2934"/>
      <c r="E5" s="2057" t="s">
        <v>2319</v>
      </c>
      <c r="F5" s="2058" t="s">
        <v>2320</v>
      </c>
      <c r="G5" s="1672"/>
      <c r="H5" s="1672"/>
      <c r="I5" s="1672"/>
      <c r="J5" s="1672"/>
      <c r="K5" s="1672"/>
      <c r="L5" s="1672"/>
      <c r="M5" s="1672"/>
      <c r="N5" s="1672"/>
      <c r="O5" s="1672"/>
      <c r="P5" s="1672"/>
      <c r="Q5" s="1672"/>
      <c r="R5" s="1672"/>
      <c r="S5" s="1672"/>
    </row>
    <row r="6" spans="1:22">
      <c r="A6" s="2827">
        <f>'数据-取费表'!AN6</f>
        <v>0</v>
      </c>
      <c r="B6" s="2825" t="e">
        <f ca="1">IF(F6="是",'数据-取费表'!AO6,0)</f>
        <v>#REF!</v>
      </c>
      <c r="C6" s="2055" t="s">
        <v>2315</v>
      </c>
      <c r="D6" s="2935"/>
      <c r="E6" s="2829">
        <f>IF(OR(A6=0,F6="否"),0,'数据-取费表'!K6+'数据-取费表'!S6)</f>
        <v>0</v>
      </c>
      <c r="F6" s="2059" t="s">
        <v>2321</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2315</v>
      </c>
      <c r="D7" s="2935"/>
      <c r="E7" s="2829">
        <f>IF(OR(A7=0,F7="否"),0,'数据-取费表'!K7+'数据-取费表'!S7)</f>
        <v>0</v>
      </c>
      <c r="F7" s="2059" t="s">
        <v>2321</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2315</v>
      </c>
      <c r="D8" s="2935"/>
      <c r="E8" s="2829">
        <f>IF(OR(A8=0,F8="否"),0,'数据-取费表'!K8+'数据-取费表'!S8)</f>
        <v>0</v>
      </c>
      <c r="F8" s="2059" t="s">
        <v>2321</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2315</v>
      </c>
      <c r="D9" s="2935"/>
      <c r="E9" s="2829">
        <f>IF(OR(A9=0,F9="否"),0,'数据-取费表'!K9+'数据-取费表'!S9)</f>
        <v>0</v>
      </c>
      <c r="F9" s="2059" t="s">
        <v>2321</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2315</v>
      </c>
      <c r="D10" s="2935"/>
      <c r="E10" s="2829">
        <f>IF(OR(A10=0,F10="否"),0,'数据-取费表'!K10+'数据-取费表'!S10)</f>
        <v>0</v>
      </c>
      <c r="F10" s="2059" t="s">
        <v>2321</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2315</v>
      </c>
      <c r="D11" s="2935"/>
      <c r="E11" s="2829">
        <f>IF(OR(A11=0,F11="否"),0,'数据-取费表'!K11+'数据-取费表'!S11)</f>
        <v>0</v>
      </c>
      <c r="F11" s="2059" t="s">
        <v>2321</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2315</v>
      </c>
      <c r="D12" s="2935"/>
      <c r="E12" s="2829">
        <f>IF(OR(A12=0,F12="否"),0,'数据-取费表'!K12+'数据-取费表'!S12)</f>
        <v>0</v>
      </c>
      <c r="F12" s="2059" t="s">
        <v>2321</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2315</v>
      </c>
      <c r="D13" s="2936"/>
      <c r="E13" s="2829">
        <f>IF(OR(A13=0,F13="否"),0,'数据-取费表'!K13+'数据-取费表'!S13)</f>
        <v>0</v>
      </c>
      <c r="F13" s="2059" t="s">
        <v>2321</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875" customWidth="1"/>
  </cols>
  <sheetData>
    <row r="1" spans="1:9" ht="14.25">
      <c r="A1" s="3352" t="s">
        <v>1021</v>
      </c>
      <c r="B1" s="3353"/>
      <c r="C1" s="3354"/>
      <c r="D1" s="3355">
        <f>SUM(I10,I15,I20,I21,I23)</f>
        <v>0</v>
      </c>
      <c r="E1" s="3355"/>
      <c r="F1" s="3355"/>
      <c r="G1" s="3355"/>
      <c r="H1" s="3355"/>
      <c r="I1" s="3356"/>
    </row>
    <row r="2" spans="1:9">
      <c r="A2" s="3357" t="s">
        <v>1022</v>
      </c>
      <c r="B2" s="3358" t="s">
        <v>1023</v>
      </c>
      <c r="C2" s="3358"/>
      <c r="D2" s="1208" t="s">
        <v>1024</v>
      </c>
      <c r="E2" s="1208" t="s">
        <v>1025</v>
      </c>
      <c r="F2" s="1208" t="s">
        <v>1026</v>
      </c>
      <c r="G2" s="1208" t="s">
        <v>1027</v>
      </c>
      <c r="H2" s="1208" t="s">
        <v>1028</v>
      </c>
      <c r="I2" s="1209" t="s">
        <v>1029</v>
      </c>
    </row>
    <row r="3" spans="1:9">
      <c r="A3" s="3357"/>
      <c r="B3" s="3358" t="s">
        <v>1030</v>
      </c>
      <c r="C3" s="3358"/>
      <c r="D3" s="1210"/>
      <c r="E3" s="1208"/>
      <c r="F3" s="1211"/>
      <c r="G3" s="1211"/>
      <c r="H3" s="1212"/>
      <c r="I3" s="1213">
        <f>ROUND(D3*E3*F3*G3*H3/10000,0)</f>
        <v>0</v>
      </c>
    </row>
    <row r="4" spans="1:9">
      <c r="A4" s="3357"/>
      <c r="B4" s="3358" t="s">
        <v>1031</v>
      </c>
      <c r="C4" s="3358"/>
      <c r="D4" s="1210"/>
      <c r="E4" s="1208"/>
      <c r="F4" s="1211"/>
      <c r="G4" s="1211"/>
      <c r="H4" s="1212"/>
      <c r="I4" s="1213">
        <f t="shared" ref="I4:I9" si="0">ROUND(D4*E4*F4*G4*H4/10000,0)</f>
        <v>0</v>
      </c>
    </row>
    <row r="5" spans="1:9">
      <c r="A5" s="3357"/>
      <c r="B5" s="3358" t="s">
        <v>1032</v>
      </c>
      <c r="C5" s="3358"/>
      <c r="D5" s="1210"/>
      <c r="E5" s="1208"/>
      <c r="F5" s="1211"/>
      <c r="G5" s="1211"/>
      <c r="H5" s="1212"/>
      <c r="I5" s="1213">
        <f t="shared" si="0"/>
        <v>0</v>
      </c>
    </row>
    <row r="6" spans="1:9">
      <c r="A6" s="3357"/>
      <c r="B6" s="3358" t="s">
        <v>1033</v>
      </c>
      <c r="C6" s="3358"/>
      <c r="D6" s="1210"/>
      <c r="E6" s="1208"/>
      <c r="F6" s="1211"/>
      <c r="G6" s="1211"/>
      <c r="H6" s="1212"/>
      <c r="I6" s="1213">
        <f t="shared" si="0"/>
        <v>0</v>
      </c>
    </row>
    <row r="7" spans="1:9">
      <c r="A7" s="3357"/>
      <c r="B7" s="3358" t="s">
        <v>1034</v>
      </c>
      <c r="C7" s="3358"/>
      <c r="D7" s="1210"/>
      <c r="E7" s="1208"/>
      <c r="F7" s="1211"/>
      <c r="G7" s="1211"/>
      <c r="H7" s="1212"/>
      <c r="I7" s="1213">
        <f t="shared" si="0"/>
        <v>0</v>
      </c>
    </row>
    <row r="8" spans="1:9">
      <c r="A8" s="3357"/>
      <c r="B8" s="3358" t="s">
        <v>1035</v>
      </c>
      <c r="C8" s="3358"/>
      <c r="D8" s="1210"/>
      <c r="E8" s="1208"/>
      <c r="F8" s="1211"/>
      <c r="G8" s="1211"/>
      <c r="H8" s="1212"/>
      <c r="I8" s="1213">
        <f t="shared" si="0"/>
        <v>0</v>
      </c>
    </row>
    <row r="9" spans="1:9">
      <c r="A9" s="3357"/>
      <c r="B9" s="3358" t="s">
        <v>1036</v>
      </c>
      <c r="C9" s="3358"/>
      <c r="D9" s="1210"/>
      <c r="E9" s="1208"/>
      <c r="F9" s="1211"/>
      <c r="G9" s="1211"/>
      <c r="H9" s="1212"/>
      <c r="I9" s="1213">
        <f t="shared" si="0"/>
        <v>0</v>
      </c>
    </row>
    <row r="10" spans="1:9">
      <c r="A10" s="3357"/>
      <c r="B10" s="3359" t="s">
        <v>1037</v>
      </c>
      <c r="C10" s="3359"/>
      <c r="D10" s="1214"/>
      <c r="E10" s="1214" t="e">
        <f>ROUND(D1*10000/D10/H9,0)</f>
        <v>#DIV/0!</v>
      </c>
      <c r="F10" s="1215"/>
      <c r="G10" s="1215"/>
      <c r="H10" s="1216"/>
      <c r="I10" s="1217">
        <f>SUM(I3:I9)</f>
        <v>0</v>
      </c>
    </row>
    <row r="11" spans="1:9" ht="14.25">
      <c r="A11" s="3357" t="s">
        <v>1038</v>
      </c>
      <c r="B11" s="3358" t="s">
        <v>1039</v>
      </c>
      <c r="C11" s="3358"/>
      <c r="D11" s="1210" t="s">
        <v>1040</v>
      </c>
      <c r="E11" s="1210" t="s">
        <v>1041</v>
      </c>
      <c r="F11" s="1211" t="s">
        <v>1042</v>
      </c>
      <c r="G11" s="1211" t="s">
        <v>1028</v>
      </c>
      <c r="H11" s="1218" t="s">
        <v>1043</v>
      </c>
      <c r="I11" s="1209" t="s">
        <v>1029</v>
      </c>
    </row>
    <row r="12" spans="1:9">
      <c r="A12" s="3357"/>
      <c r="B12" s="3358" t="s">
        <v>1044</v>
      </c>
      <c r="C12" s="3358"/>
      <c r="D12" s="1210"/>
      <c r="E12" s="1210"/>
      <c r="F12" s="1211"/>
      <c r="G12" s="1212"/>
      <c r="H12" s="1219"/>
      <c r="I12" s="1209">
        <f>ROUND(D12*E12*F12*G12/10000,0)</f>
        <v>0</v>
      </c>
    </row>
    <row r="13" spans="1:9">
      <c r="A13" s="3357"/>
      <c r="B13" s="3358" t="s">
        <v>1045</v>
      </c>
      <c r="C13" s="3358"/>
      <c r="D13" s="1210"/>
      <c r="E13" s="1210"/>
      <c r="F13" s="1211"/>
      <c r="G13" s="1212"/>
      <c r="H13" s="1219"/>
      <c r="I13" s="1209">
        <f>ROUND(D13*E13*F13*G13/10000,0)</f>
        <v>0</v>
      </c>
    </row>
    <row r="14" spans="1:9">
      <c r="A14" s="3357"/>
      <c r="B14" s="3358" t="s">
        <v>1046</v>
      </c>
      <c r="C14" s="3358"/>
      <c r="D14" s="1210"/>
      <c r="E14" s="1210"/>
      <c r="F14" s="1211"/>
      <c r="G14" s="1212"/>
      <c r="H14" s="1219"/>
      <c r="I14" s="1209">
        <f>ROUND(D14*E14*F14*G14/10000,0)</f>
        <v>0</v>
      </c>
    </row>
    <row r="15" spans="1:9">
      <c r="A15" s="3357"/>
      <c r="B15" s="3359" t="s">
        <v>1037</v>
      </c>
      <c r="C15" s="3359"/>
      <c r="D15" s="1214"/>
      <c r="E15" s="1214">
        <f>SUM(E12:E14)</f>
        <v>0</v>
      </c>
      <c r="F15" s="1215"/>
      <c r="G15" s="1212"/>
      <c r="H15" s="1219"/>
      <c r="I15" s="1220">
        <f>SUM(I12:I14)</f>
        <v>0</v>
      </c>
    </row>
    <row r="16" spans="1:9" ht="24">
      <c r="A16" s="3357" t="s">
        <v>1047</v>
      </c>
      <c r="B16" s="3358" t="s">
        <v>1048</v>
      </c>
      <c r="C16" s="3358"/>
      <c r="D16" s="1210" t="s">
        <v>1024</v>
      </c>
      <c r="E16" s="1221" t="s">
        <v>1049</v>
      </c>
      <c r="F16" s="1211" t="s">
        <v>1050</v>
      </c>
      <c r="G16" s="1212" t="s">
        <v>1028</v>
      </c>
      <c r="H16" s="1218" t="s">
        <v>1043</v>
      </c>
      <c r="I16" s="1209" t="s">
        <v>1029</v>
      </c>
    </row>
    <row r="17" spans="1:9" ht="14.25">
      <c r="A17" s="3357"/>
      <c r="B17" s="3358" t="s">
        <v>1051</v>
      </c>
      <c r="C17" s="3358"/>
      <c r="D17" s="1210"/>
      <c r="E17" s="1210"/>
      <c r="F17" s="1211"/>
      <c r="G17" s="1212"/>
      <c r="H17" s="1222"/>
      <c r="I17" s="1223">
        <f>ROUND(D17*E17*F17*G17/10000,0)</f>
        <v>0</v>
      </c>
    </row>
    <row r="18" spans="1:9" ht="14.25">
      <c r="A18" s="3357"/>
      <c r="B18" s="3358" t="s">
        <v>1052</v>
      </c>
      <c r="C18" s="3358"/>
      <c r="D18" s="1210"/>
      <c r="E18" s="1210"/>
      <c r="F18" s="1211"/>
      <c r="G18" s="1212"/>
      <c r="H18" s="1222"/>
      <c r="I18" s="1223">
        <f>ROUND(D18*E18*F18*G18/10000,0)</f>
        <v>0</v>
      </c>
    </row>
    <row r="19" spans="1:9" ht="14.25">
      <c r="A19" s="3357"/>
      <c r="B19" s="3358" t="s">
        <v>1053</v>
      </c>
      <c r="C19" s="3358"/>
      <c r="D19" s="1210"/>
      <c r="E19" s="1210"/>
      <c r="F19" s="1211"/>
      <c r="G19" s="1212"/>
      <c r="H19" s="1222"/>
      <c r="I19" s="1223">
        <f>ROUND(D19*E19*F19*G19/10000,0)</f>
        <v>0</v>
      </c>
    </row>
    <row r="20" spans="1:9">
      <c r="A20" s="3357"/>
      <c r="B20" s="3359" t="s">
        <v>1037</v>
      </c>
      <c r="C20" s="3359"/>
      <c r="D20" s="1214">
        <f>SUM(D17:D19)</f>
        <v>0</v>
      </c>
      <c r="E20" s="1214"/>
      <c r="F20" s="1215"/>
      <c r="G20" s="1212"/>
      <c r="H20" s="1219"/>
      <c r="I20" s="1220">
        <f>SUM(I17:I19)</f>
        <v>0</v>
      </c>
    </row>
    <row r="21" spans="1:9">
      <c r="A21" s="3357" t="s">
        <v>1054</v>
      </c>
      <c r="B21" s="3361"/>
      <c r="C21" s="3361"/>
      <c r="D21" s="3361"/>
      <c r="E21" s="3361"/>
      <c r="F21" s="3361"/>
      <c r="G21" s="3361"/>
      <c r="H21" s="1500">
        <v>0.1</v>
      </c>
      <c r="I21" s="1217">
        <f>ROUND(I10*H21,0)</f>
        <v>0</v>
      </c>
    </row>
    <row r="22" spans="1:9" ht="14.25">
      <c r="A22" s="3362" t="s">
        <v>1055</v>
      </c>
      <c r="B22" s="3363"/>
      <c r="C22" s="3364"/>
      <c r="D22" s="1224" t="s">
        <v>1056</v>
      </c>
      <c r="E22" s="1224" t="s">
        <v>1057</v>
      </c>
      <c r="F22" s="1225" t="s">
        <v>1058</v>
      </c>
      <c r="G22" s="1225" t="s">
        <v>1059</v>
      </c>
      <c r="H22" s="1218" t="s">
        <v>1060</v>
      </c>
      <c r="I22" s="1209" t="s">
        <v>1061</v>
      </c>
    </row>
    <row r="23" spans="1:9" ht="14.25" thickBot="1">
      <c r="A23" s="3365"/>
      <c r="B23" s="3366"/>
      <c r="C23" s="3367"/>
      <c r="D23" s="1226"/>
      <c r="E23" s="1226"/>
      <c r="F23" s="1226"/>
      <c r="G23" s="1227"/>
      <c r="H23" s="1228"/>
      <c r="I23" s="1229">
        <f>ROUND(E23*D23*F23*(1-G23)/10000,0)</f>
        <v>0</v>
      </c>
    </row>
    <row r="26" spans="1:9">
      <c r="A26" s="1230" t="s">
        <v>1062</v>
      </c>
      <c r="B26" s="1230"/>
      <c r="C26" s="1230"/>
      <c r="D26" s="1230"/>
      <c r="E26" s="3368">
        <f>C27-C30-C31-C32</f>
        <v>0</v>
      </c>
      <c r="F26" s="3368"/>
      <c r="G26" s="3368"/>
      <c r="H26" s="1497" t="s">
        <v>1283</v>
      </c>
    </row>
    <row r="27" spans="1:9">
      <c r="A27" s="1231">
        <v>1</v>
      </c>
      <c r="B27" s="1232" t="s">
        <v>1063</v>
      </c>
      <c r="C27" s="1232">
        <f>C28+C29</f>
        <v>0</v>
      </c>
      <c r="D27" s="1232"/>
      <c r="E27" s="3369"/>
      <c r="F27" s="3369"/>
      <c r="G27" s="3369"/>
    </row>
    <row r="28" spans="1:9">
      <c r="A28" s="1233" t="s">
        <v>1064</v>
      </c>
      <c r="B28" s="1232" t="s">
        <v>1065</v>
      </c>
      <c r="C28" s="1232"/>
      <c r="D28" s="1232"/>
      <c r="E28" s="3369"/>
      <c r="F28" s="3369"/>
      <c r="G28" s="3369"/>
    </row>
    <row r="29" spans="1:9">
      <c r="A29" s="1233" t="s">
        <v>1066</v>
      </c>
      <c r="B29" s="1232" t="s">
        <v>1067</v>
      </c>
      <c r="C29" s="1232"/>
      <c r="D29" s="1232"/>
      <c r="E29" s="1232" t="s">
        <v>1068</v>
      </c>
      <c r="F29" s="1232"/>
      <c r="G29" s="1232"/>
    </row>
    <row r="30" spans="1:9">
      <c r="A30" s="1231">
        <v>2</v>
      </c>
      <c r="B30" s="1232" t="s">
        <v>1069</v>
      </c>
      <c r="C30" s="1232">
        <f>C27*D30</f>
        <v>0</v>
      </c>
      <c r="D30" s="1234">
        <v>0.2</v>
      </c>
      <c r="E30" s="1232" t="s">
        <v>1070</v>
      </c>
      <c r="F30" s="1232"/>
      <c r="G30" s="1232"/>
    </row>
    <row r="31" spans="1:9">
      <c r="A31" s="1231">
        <v>3</v>
      </c>
      <c r="B31" s="1232" t="s">
        <v>1071</v>
      </c>
      <c r="C31" s="1232">
        <f>C27*D31</f>
        <v>0</v>
      </c>
      <c r="D31" s="1234">
        <v>0.15</v>
      </c>
      <c r="E31" s="1232" t="s">
        <v>1072</v>
      </c>
      <c r="F31" s="1232"/>
      <c r="G31" s="1232"/>
    </row>
    <row r="32" spans="1:9">
      <c r="A32" s="1231">
        <v>4</v>
      </c>
      <c r="B32" s="1232" t="s">
        <v>1073</v>
      </c>
      <c r="C32" s="1232">
        <f>C27*D32</f>
        <v>0</v>
      </c>
      <c r="D32" s="1234">
        <v>0.05</v>
      </c>
      <c r="E32" s="3360"/>
      <c r="F32" s="3360"/>
      <c r="G32" s="3360"/>
    </row>
    <row r="33" spans="1:7" hidden="1">
      <c r="A33" s="3370" t="s">
        <v>1074</v>
      </c>
      <c r="B33" s="3371"/>
      <c r="C33" s="3371"/>
      <c r="D33" s="3372"/>
      <c r="E33" s="3368"/>
      <c r="F33" s="3368"/>
      <c r="G33" s="3368"/>
    </row>
    <row r="34" spans="1:7" hidden="1">
      <c r="A34" s="1235">
        <v>1</v>
      </c>
      <c r="B34" s="1232" t="s">
        <v>1075</v>
      </c>
      <c r="C34" s="1232"/>
      <c r="D34" s="1232"/>
      <c r="E34" s="3369"/>
      <c r="F34" s="3369"/>
      <c r="G34" s="3369"/>
    </row>
    <row r="35" spans="1:7" hidden="1">
      <c r="A35" s="1235">
        <v>2</v>
      </c>
      <c r="B35" s="1232" t="s">
        <v>1076</v>
      </c>
      <c r="C35" s="1232"/>
      <c r="D35" s="1232"/>
      <c r="E35" s="3369"/>
      <c r="F35" s="3369"/>
      <c r="G35" s="3369"/>
    </row>
    <row r="36" spans="1:7" hidden="1">
      <c r="A36" s="1235">
        <v>3</v>
      </c>
      <c r="B36" s="1232" t="s">
        <v>1077</v>
      </c>
      <c r="C36" s="1232"/>
      <c r="D36" s="1232"/>
      <c r="E36" s="3369"/>
      <c r="F36" s="3369"/>
      <c r="G36" s="3369"/>
    </row>
    <row r="37" spans="1:7" hidden="1">
      <c r="A37" s="1235">
        <v>4</v>
      </c>
      <c r="B37" s="1232" t="s">
        <v>1078</v>
      </c>
      <c r="C37" s="1232"/>
      <c r="D37" s="1232"/>
      <c r="E37" s="3369"/>
      <c r="F37" s="3369"/>
      <c r="G37" s="3369"/>
    </row>
    <row r="38" spans="1:7" hidden="1">
      <c r="A38" s="3370" t="s">
        <v>1079</v>
      </c>
      <c r="B38" s="3371"/>
      <c r="C38" s="3371"/>
      <c r="D38" s="3372"/>
      <c r="E38" s="3368"/>
      <c r="F38" s="3368"/>
      <c r="G38" s="33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1553</v>
      </c>
    </row>
    <row r="2" spans="1:1">
      <c r="A2" s="1661"/>
    </row>
    <row r="3" spans="1:1" ht="18">
      <c r="A3" s="1662" t="str">
        <f>项目基本情况!B5&amp;"："</f>
        <v>：</v>
      </c>
    </row>
    <row r="4" spans="1:1" ht="36">
      <c r="A4" s="1663" t="str">
        <f>"受贵公司委托，我公司对"&amp;项目基本情况!S1&amp;"进行了预评估。"</f>
        <v>受贵公司委托，我公司对出让国有建设用地使用权及在建建筑物房地产抵押价值进行了预评估。</v>
      </c>
    </row>
    <row r="5" spans="1:1" ht="18.75">
      <c r="A5" s="1664" t="s">
        <v>1554</v>
      </c>
    </row>
    <row r="6" spans="1:1" ht="18.75">
      <c r="A6" s="1665" t="s">
        <v>1555</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估价对象为出让国有建设用地使用权及在建建筑物房地产，为所有。根据《国有土地使用证》[]，估价对象（分摊）出让国有建设用地使用权面积为71942平方米，建筑面积为125203.41平方米。</v>
      </c>
    </row>
    <row r="8" spans="1:1" ht="57.75">
      <c r="A8" s="1666" t="s">
        <v>1556</v>
      </c>
    </row>
    <row r="9" spans="1:1" ht="18.75">
      <c r="A9" s="1665" t="s">
        <v>1557</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71942平方米，规划建筑面积为125203.41平方米。</v>
      </c>
    </row>
    <row r="11" spans="1:1" ht="76.5">
      <c r="A11" s="1666" t="s">
        <v>1558</v>
      </c>
    </row>
    <row r="12" spans="1:1" ht="18.75">
      <c r="A12" s="1664" t="s">
        <v>1559</v>
      </c>
    </row>
    <row r="13" spans="1:1" ht="38.25" customHeight="1">
      <c r="A13" s="1667" t="str">
        <f>IF(项目基本情况!B8="抵押",IF(项目基本情况!B5=项目基本情况!B6,定义!C51,定义!B51),定义!D51)</f>
        <v>为估价委托人了解估价对象房地产市场价值提供参考依据。</v>
      </c>
    </row>
    <row r="14" spans="1:1" ht="18.75">
      <c r="A14" s="1668" t="s">
        <v>1560</v>
      </c>
    </row>
    <row r="15" spans="1:1" ht="18">
      <c r="A15" s="1669" t="str">
        <f>TEXT(项目基本情况!D3,"yyyy年m月d日;;")&amp;IF(项目基本情况!D3=项目基本情况!B3,"（评估专业人员实地查勘之日）","")</f>
        <v>2021年2月9日</v>
      </c>
    </row>
    <row r="16" spans="1:1" ht="18.75">
      <c r="A16" s="1668" t="s">
        <v>1561</v>
      </c>
    </row>
    <row r="17" spans="1:1" ht="75">
      <c r="A17" s="1663" t="s">
        <v>1562</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9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1551</v>
      </c>
    </row>
    <row r="24" spans="1:1" ht="18">
      <c r="A24" s="1670" t="str">
        <f>"本次评估采用的主估价方法为"&amp;结果表!K4&amp;"和"&amp;结果表!L4&amp;"。"</f>
        <v>本次评估采用的主估价方法为成本法和假设开发法。</v>
      </c>
    </row>
    <row r="25" spans="1:1" ht="18">
      <c r="A25" s="1670"/>
    </row>
    <row r="26" spans="1:1" ht="18.75">
      <c r="A26" s="1671" t="s">
        <v>1552</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0" customWidth="1"/>
    <col min="2" max="2" width="15.875" style="360" customWidth="1"/>
    <col min="3" max="3" width="15.125" style="360" customWidth="1"/>
    <col min="4" max="4" width="12.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2099"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1398" customFormat="1" ht="28.5" customHeight="1" thickBot="1">
      <c r="A1" s="1387" t="s">
        <v>2324</v>
      </c>
      <c r="B1" s="2061" t="s">
        <v>2325</v>
      </c>
      <c r="C1" s="1403" t="s">
        <v>2326</v>
      </c>
      <c r="D1" s="1390"/>
      <c r="E1" s="2541"/>
      <c r="F1" s="2062" t="s">
        <v>2327</v>
      </c>
      <c r="G1" s="1400" t="s">
        <v>2328</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0" customFormat="1" ht="28.5" customHeight="1" thickTop="1">
      <c r="A2" s="1386" t="s">
        <v>1336</v>
      </c>
      <c r="B2" s="1323" t="e">
        <f ca="1">IF(C2="——",ROUND(C49*D3/10000,0),ROUND(C49*D3/10000,0)-D2)</f>
        <v>#DIV/0!</v>
      </c>
      <c r="C2" s="2064"/>
      <c r="D2" s="1272" t="e">
        <f ca="1">SUMIF(INDIRECT("'"&amp;F2&amp;"'"&amp;"!A:A"),"承租人权益价值",INDIRECT("'"&amp;F2&amp;"'"&amp;"!c:c"))</f>
        <v>#REF!</v>
      </c>
      <c r="E2" s="2065" t="s">
        <v>2329</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0" customFormat="1" ht="28.5" customHeight="1" thickBot="1">
      <c r="A3" s="206" t="s">
        <v>1337</v>
      </c>
      <c r="B3" s="356" t="e">
        <f ca="1">IF(C2="——",C49,ROUND(B2*10000/D3,0))</f>
        <v>#DIV/0!</v>
      </c>
      <c r="C3" s="357" t="s">
        <v>2330</v>
      </c>
      <c r="D3" s="356">
        <f>IF(D1="",'数据-汇总表'!E3,SUMIF('数据-汇总表'!$C19:$C33,D1,'数据-汇总表'!$E19:$E33))</f>
        <v>125203.41</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58" t="s">
        <v>2331</v>
      </c>
      <c r="B4" s="359"/>
      <c r="C4" s="3320" t="s">
        <v>2332</v>
      </c>
      <c r="D4" s="3321"/>
      <c r="E4" s="3322" t="s">
        <v>2333</v>
      </c>
      <c r="F4" s="3323"/>
      <c r="G4" s="3320" t="s">
        <v>2334</v>
      </c>
      <c r="H4" s="3321"/>
      <c r="I4" s="3320" t="s">
        <v>2335</v>
      </c>
      <c r="J4" s="3321"/>
      <c r="K4" s="2072" t="s">
        <v>2336</v>
      </c>
      <c r="L4" s="2941"/>
      <c r="M4" s="2942"/>
      <c r="N4" s="2942"/>
      <c r="O4" s="2942"/>
      <c r="P4" s="3324" t="s">
        <v>2337</v>
      </c>
      <c r="Q4" s="3325"/>
      <c r="R4" s="3307" t="s">
        <v>2333</v>
      </c>
      <c r="S4" s="3308"/>
      <c r="T4" s="3307" t="s">
        <v>2334</v>
      </c>
      <c r="U4" s="3308"/>
      <c r="V4" s="3332" t="s">
        <v>2335</v>
      </c>
      <c r="W4" s="3332"/>
      <c r="X4" s="1537"/>
      <c r="Y4" s="3307" t="s">
        <v>2337</v>
      </c>
      <c r="Z4" s="3308"/>
      <c r="AA4" s="3302" t="s">
        <v>2333</v>
      </c>
      <c r="AB4" s="3302" t="s">
        <v>2334</v>
      </c>
      <c r="AC4" s="3302" t="s">
        <v>2335</v>
      </c>
    </row>
    <row r="5" spans="1:29" ht="15">
      <c r="A5" s="361"/>
      <c r="B5" s="362"/>
      <c r="C5" s="3313" t="s">
        <v>2338</v>
      </c>
      <c r="D5" s="3314"/>
      <c r="E5" s="3311" t="s">
        <v>2339</v>
      </c>
      <c r="F5" s="3312"/>
      <c r="G5" s="3313" t="s">
        <v>2340</v>
      </c>
      <c r="H5" s="3314"/>
      <c r="I5" s="3313" t="s">
        <v>2341</v>
      </c>
      <c r="J5" s="3314"/>
      <c r="K5" s="2073"/>
      <c r="L5" s="2941"/>
      <c r="M5" s="2942"/>
      <c r="N5" s="2942"/>
      <c r="O5" s="2942"/>
      <c r="P5" s="3326"/>
      <c r="Q5" s="3327"/>
      <c r="R5" s="3309"/>
      <c r="S5" s="3310"/>
      <c r="T5" s="3309"/>
      <c r="U5" s="3310"/>
      <c r="V5" s="3332"/>
      <c r="W5" s="3332"/>
      <c r="X5" s="1537"/>
      <c r="Y5" s="3309"/>
      <c r="Z5" s="3310"/>
      <c r="AA5" s="3303"/>
      <c r="AB5" s="3303"/>
      <c r="AC5" s="3303"/>
    </row>
    <row r="6" spans="1:29" ht="15.75" thickBot="1">
      <c r="A6" s="363"/>
      <c r="B6" s="364"/>
      <c r="C6" s="3315" t="s">
        <v>2342</v>
      </c>
      <c r="D6" s="3316"/>
      <c r="E6" s="3317" t="s">
        <v>2342</v>
      </c>
      <c r="F6" s="3318"/>
      <c r="G6" s="3315" t="s">
        <v>2342</v>
      </c>
      <c r="H6" s="3316"/>
      <c r="I6" s="3315" t="s">
        <v>2342</v>
      </c>
      <c r="J6" s="3316"/>
      <c r="K6" s="2073" t="s">
        <v>2343</v>
      </c>
      <c r="L6" s="2941"/>
      <c r="M6" s="2942"/>
      <c r="N6" s="2942"/>
      <c r="O6" s="2942"/>
      <c r="P6" s="3328"/>
      <c r="Q6" s="3329"/>
      <c r="R6" s="3309"/>
      <c r="S6" s="3310"/>
      <c r="T6" s="3330"/>
      <c r="U6" s="3331"/>
      <c r="V6" s="3332"/>
      <c r="W6" s="3332"/>
      <c r="X6" s="1537"/>
      <c r="Y6" s="3330"/>
      <c r="Z6" s="3331"/>
      <c r="AA6" s="3304"/>
      <c r="AB6" s="3304"/>
      <c r="AC6" s="3304"/>
    </row>
    <row r="7" spans="1:29" s="110" customFormat="1" ht="15.75" thickBot="1">
      <c r="A7" s="365" t="s">
        <v>2344</v>
      </c>
      <c r="B7" s="366"/>
      <c r="C7" s="367">
        <f>'数据-取费表'!B2</f>
        <v>44236</v>
      </c>
      <c r="D7" s="368">
        <v>100</v>
      </c>
      <c r="E7" s="369"/>
      <c r="F7" s="370">
        <f>SUMIF(58:58,YEAR(E7)&amp;"-"&amp;MONTH(E7),59:59)</f>
        <v>0</v>
      </c>
      <c r="G7" s="369"/>
      <c r="H7" s="368">
        <f>SUMIF(58:58,YEAR(G7)&amp;"-"&amp;MONTH(G7),59:59)</f>
        <v>0</v>
      </c>
      <c r="I7" s="369"/>
      <c r="J7" s="368">
        <f>SUMIF(58:58,YEAR(I7)&amp;"-"&amp;MONTH(I7),59:59)</f>
        <v>0</v>
      </c>
      <c r="K7" s="2074"/>
      <c r="L7" s="2943"/>
      <c r="M7" s="2944"/>
      <c r="N7" s="2944"/>
      <c r="O7" s="2944"/>
      <c r="P7" s="3305" t="s">
        <v>2345</v>
      </c>
      <c r="Q7" s="3333"/>
      <c r="R7" s="707" t="s">
        <v>20</v>
      </c>
      <c r="S7" s="708">
        <f t="shared" ref="S7:S15" si="0">F7</f>
        <v>0</v>
      </c>
      <c r="T7" s="707" t="s">
        <v>20</v>
      </c>
      <c r="U7" s="708">
        <f t="shared" ref="U7:U15" si="1">H7</f>
        <v>0</v>
      </c>
      <c r="V7" s="707" t="s">
        <v>20</v>
      </c>
      <c r="W7" s="708">
        <f t="shared" ref="W7:W15" si="2">J7</f>
        <v>0</v>
      </c>
      <c r="X7" s="709"/>
      <c r="Y7" s="3305" t="s">
        <v>2345</v>
      </c>
      <c r="Z7" s="3306"/>
      <c r="AA7" s="710" t="e">
        <f>D7/F7</f>
        <v>#DIV/0!</v>
      </c>
      <c r="AB7" s="710" t="e">
        <f>D7/H7</f>
        <v>#DIV/0!</v>
      </c>
      <c r="AC7" s="710" t="e">
        <f>D7/J7</f>
        <v>#DIV/0!</v>
      </c>
    </row>
    <row r="8" spans="1:29" s="110" customFormat="1" ht="15.75" thickBot="1">
      <c r="A8" s="365" t="s">
        <v>2346</v>
      </c>
      <c r="B8" s="366"/>
      <c r="C8" s="371" t="s">
        <v>2347</v>
      </c>
      <c r="D8" s="368">
        <v>100</v>
      </c>
      <c r="E8" s="2075"/>
      <c r="F8" s="370">
        <f>SUMIF(61:61,E8,62:62)-SUMIF(61:61,C8,62:62)+100</f>
        <v>0</v>
      </c>
      <c r="G8" s="371"/>
      <c r="H8" s="368">
        <f>SUMIF(61:61,G8,62:62)-SUMIF(61:61,C8,62:62)+100</f>
        <v>0</v>
      </c>
      <c r="I8" s="2075"/>
      <c r="J8" s="368">
        <f>SUMIF(61:61,I8,62:62)-SUMIF(61:61,C8,62:62)+100</f>
        <v>0</v>
      </c>
      <c r="K8" s="2074"/>
      <c r="L8" s="2943"/>
      <c r="M8" s="2944"/>
      <c r="N8" s="2944"/>
      <c r="O8" s="2944"/>
      <c r="P8" s="3305" t="s">
        <v>2348</v>
      </c>
      <c r="Q8" s="3306"/>
      <c r="R8" s="707" t="s">
        <v>20</v>
      </c>
      <c r="S8" s="708">
        <f t="shared" si="0"/>
        <v>0</v>
      </c>
      <c r="T8" s="707" t="s">
        <v>20</v>
      </c>
      <c r="U8" s="708">
        <f t="shared" si="1"/>
        <v>0</v>
      </c>
      <c r="V8" s="707" t="s">
        <v>20</v>
      </c>
      <c r="W8" s="708">
        <f t="shared" si="2"/>
        <v>0</v>
      </c>
      <c r="X8" s="709"/>
      <c r="Y8" s="3305" t="s">
        <v>2348</v>
      </c>
      <c r="Z8" s="3306"/>
      <c r="AA8" s="710" t="e">
        <f t="shared" ref="AA8:AA19" si="3">D8/F8</f>
        <v>#DIV/0!</v>
      </c>
      <c r="AB8" s="710" t="e">
        <f t="shared" ref="AB8:AB19" si="4">D8/H8</f>
        <v>#DIV/0!</v>
      </c>
      <c r="AC8" s="710" t="e">
        <f t="shared" ref="AC8:AC19" si="5">D8/J8</f>
        <v>#DIV/0!</v>
      </c>
    </row>
    <row r="9" spans="1:29" s="110" customFormat="1">
      <c r="A9" s="372" t="s">
        <v>2349</v>
      </c>
      <c r="B9" s="64" t="s">
        <v>2350</v>
      </c>
      <c r="C9" s="373"/>
      <c r="D9" s="128">
        <v>100</v>
      </c>
      <c r="E9" s="374"/>
      <c r="F9" s="375">
        <f>SUMIF(63:63,E9,64:64)-SUMIF(63:63,C9,64:64)+100</f>
        <v>100</v>
      </c>
      <c r="G9" s="376"/>
      <c r="H9" s="128">
        <f>SUMIF(63:63,G9,64:64)-SUMIF(63:63,C9,64:64)+100</f>
        <v>100</v>
      </c>
      <c r="I9" s="376"/>
      <c r="J9" s="128">
        <f>SUMIF(63:63,I9,64:64)-SUMIF(63:63,C9,64:64)+100</f>
        <v>100</v>
      </c>
      <c r="K9" s="2074"/>
      <c r="L9" s="2943"/>
      <c r="M9" s="2944"/>
      <c r="N9" s="2944"/>
      <c r="O9" s="2944"/>
      <c r="P9" s="3343" t="s">
        <v>2351</v>
      </c>
      <c r="Q9" s="1525" t="str">
        <f t="shared" ref="Q9:Q15" si="6">B9</f>
        <v>用途</v>
      </c>
      <c r="R9" s="707" t="s">
        <v>14</v>
      </c>
      <c r="S9" s="708">
        <f t="shared" si="0"/>
        <v>100</v>
      </c>
      <c r="T9" s="707" t="s">
        <v>14</v>
      </c>
      <c r="U9" s="708">
        <f t="shared" si="1"/>
        <v>100</v>
      </c>
      <c r="V9" s="707" t="s">
        <v>14</v>
      </c>
      <c r="W9" s="708">
        <f t="shared" si="2"/>
        <v>100</v>
      </c>
      <c r="X9" s="709"/>
      <c r="Y9" s="3275" t="s">
        <v>2352</v>
      </c>
      <c r="Z9" s="52" t="str">
        <f t="shared" ref="Z9:Z15" si="7">Q9</f>
        <v>用途</v>
      </c>
      <c r="AA9" s="710">
        <f t="shared" si="3"/>
        <v>1</v>
      </c>
      <c r="AB9" s="710">
        <f t="shared" si="4"/>
        <v>1</v>
      </c>
      <c r="AC9" s="710">
        <f t="shared" si="5"/>
        <v>1</v>
      </c>
    </row>
    <row r="10" spans="1:29" s="383" customFormat="1" ht="27">
      <c r="A10" s="377"/>
      <c r="B10" s="378" t="s">
        <v>2353</v>
      </c>
      <c r="C10" s="379"/>
      <c r="D10" s="129">
        <v>100</v>
      </c>
      <c r="E10" s="380"/>
      <c r="F10" s="381">
        <f>SUMIF(65:65,E10,66:66)-SUMIF(65:65,C10,66:66)+100</f>
        <v>100</v>
      </c>
      <c r="G10" s="379"/>
      <c r="H10" s="129">
        <f>SUMIF(65:65,G10,66:66)-SUMIF(65:65,C10,66:66)+100</f>
        <v>100</v>
      </c>
      <c r="I10" s="379"/>
      <c r="J10" s="129">
        <f>SUMIF(65:65,I10,66:66)-SUMIF(65:65,C10,66:66)+100</f>
        <v>100</v>
      </c>
      <c r="K10" s="382"/>
      <c r="L10" s="2945"/>
      <c r="M10" s="2946"/>
      <c r="N10" s="2946"/>
      <c r="O10" s="2946"/>
      <c r="P10" s="3343"/>
      <c r="Q10" s="1525" t="str">
        <f t="shared" si="6"/>
        <v>土地使用年限（年）</v>
      </c>
      <c r="R10" s="707" t="s">
        <v>14</v>
      </c>
      <c r="S10" s="708">
        <f t="shared" si="0"/>
        <v>100</v>
      </c>
      <c r="T10" s="707" t="s">
        <v>14</v>
      </c>
      <c r="U10" s="708">
        <f t="shared" si="1"/>
        <v>100</v>
      </c>
      <c r="V10" s="707" t="s">
        <v>14</v>
      </c>
      <c r="W10" s="708">
        <f t="shared" si="2"/>
        <v>100</v>
      </c>
      <c r="X10" s="709"/>
      <c r="Y10" s="3275"/>
      <c r="Z10" s="52" t="str">
        <f t="shared" si="7"/>
        <v>土地使用年限（年）</v>
      </c>
      <c r="AA10" s="710">
        <f t="shared" si="3"/>
        <v>1</v>
      </c>
      <c r="AB10" s="710">
        <f t="shared" si="4"/>
        <v>1</v>
      </c>
      <c r="AC10" s="710">
        <f t="shared" si="5"/>
        <v>1</v>
      </c>
    </row>
    <row r="11" spans="1:29" ht="15">
      <c r="A11" s="384"/>
      <c r="B11" s="378" t="s">
        <v>2354</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7"/>
      <c r="M11" s="2942"/>
      <c r="N11" s="2942"/>
      <c r="O11" s="2942"/>
      <c r="P11" s="3343"/>
      <c r="Q11" s="1525" t="str">
        <f t="shared" si="6"/>
        <v>容积率</v>
      </c>
      <c r="R11" s="707" t="s">
        <v>18</v>
      </c>
      <c r="S11" s="708" t="e">
        <f t="shared" si="0"/>
        <v>#N/A</v>
      </c>
      <c r="T11" s="707" t="s">
        <v>18</v>
      </c>
      <c r="U11" s="708" t="e">
        <f t="shared" si="1"/>
        <v>#N/A</v>
      </c>
      <c r="V11" s="707" t="s">
        <v>18</v>
      </c>
      <c r="W11" s="708" t="e">
        <f t="shared" si="2"/>
        <v>#N/A</v>
      </c>
      <c r="X11" s="709"/>
      <c r="Y11" s="3275"/>
      <c r="Z11" s="52" t="str">
        <f t="shared" si="7"/>
        <v>容积率</v>
      </c>
      <c r="AA11" s="710" t="e">
        <f t="shared" si="3"/>
        <v>#N/A</v>
      </c>
      <c r="AB11" s="710" t="e">
        <f t="shared" si="4"/>
        <v>#N/A</v>
      </c>
      <c r="AC11" s="710" t="e">
        <f t="shared" si="5"/>
        <v>#N/A</v>
      </c>
    </row>
    <row r="12" spans="1:29" s="110" customFormat="1" ht="15">
      <c r="A12" s="387"/>
      <c r="B12" s="2076">
        <v>111</v>
      </c>
      <c r="C12" s="388"/>
      <c r="D12" s="389">
        <v>100</v>
      </c>
      <c r="E12" s="388"/>
      <c r="F12" s="381">
        <f>SUMIF(70:70,E12,71:71)-SUMIF(70:70,C12,71:71)+100</f>
        <v>100</v>
      </c>
      <c r="G12" s="388"/>
      <c r="H12" s="129">
        <f>SUMIF(70:70,G12,71:71)-SUMIF(70:70,C12,71:71)+100</f>
        <v>100</v>
      </c>
      <c r="I12" s="388"/>
      <c r="J12" s="129">
        <f>SUMIF(70:70,I12,71:71)-SUMIF(70:70,C12,71:71)+100</f>
        <v>100</v>
      </c>
      <c r="K12" s="2077"/>
      <c r="L12" s="2943"/>
      <c r="M12" s="2944"/>
      <c r="N12" s="2944"/>
      <c r="O12" s="2944"/>
      <c r="P12" s="3343"/>
      <c r="Q12" s="1525">
        <f t="shared" si="6"/>
        <v>111</v>
      </c>
      <c r="R12" s="707" t="s">
        <v>18</v>
      </c>
      <c r="S12" s="708">
        <f t="shared" si="0"/>
        <v>100</v>
      </c>
      <c r="T12" s="707" t="s">
        <v>18</v>
      </c>
      <c r="U12" s="708">
        <f t="shared" si="1"/>
        <v>100</v>
      </c>
      <c r="V12" s="707" t="s">
        <v>18</v>
      </c>
      <c r="W12" s="708">
        <f t="shared" si="2"/>
        <v>100</v>
      </c>
      <c r="X12" s="709"/>
      <c r="Y12" s="3275"/>
      <c r="Z12" s="52">
        <f t="shared" si="7"/>
        <v>111</v>
      </c>
      <c r="AA12" s="710">
        <f>D12/F12</f>
        <v>1</v>
      </c>
      <c r="AB12" s="710">
        <f>D12/H12</f>
        <v>1</v>
      </c>
      <c r="AC12" s="710">
        <f>D12/J12</f>
        <v>1</v>
      </c>
    </row>
    <row r="13" spans="1:29" ht="15">
      <c r="A13" s="384"/>
      <c r="B13" s="2076">
        <v>111</v>
      </c>
      <c r="C13" s="390"/>
      <c r="D13" s="391">
        <v>100</v>
      </c>
      <c r="E13" s="390"/>
      <c r="F13" s="381">
        <f>SUMIF(72:72,E13,73:73)-SUMIF(72:72,C13,73:73)+100</f>
        <v>100</v>
      </c>
      <c r="G13" s="390"/>
      <c r="H13" s="391">
        <f>SUMIF(72:72,G13,73:73)-SUMIF(72:72,C13,73:73)+100</f>
        <v>100</v>
      </c>
      <c r="I13" s="390"/>
      <c r="J13" s="391">
        <f>SUMIF(72:72,I13,73:73)-SUMIF(72:72,C13,73:73)+100</f>
        <v>100</v>
      </c>
      <c r="K13" s="2077"/>
      <c r="L13" s="2948"/>
      <c r="M13" s="2942"/>
      <c r="N13" s="2942"/>
      <c r="O13" s="2942"/>
      <c r="P13" s="3343"/>
      <c r="Q13" s="1525">
        <f t="shared" si="6"/>
        <v>111</v>
      </c>
      <c r="R13" s="707" t="s">
        <v>18</v>
      </c>
      <c r="S13" s="708">
        <f t="shared" si="0"/>
        <v>100</v>
      </c>
      <c r="T13" s="707" t="s">
        <v>18</v>
      </c>
      <c r="U13" s="708">
        <f t="shared" si="1"/>
        <v>100</v>
      </c>
      <c r="V13" s="707" t="s">
        <v>18</v>
      </c>
      <c r="W13" s="708">
        <f t="shared" si="2"/>
        <v>100</v>
      </c>
      <c r="X13" s="709"/>
      <c r="Y13" s="3275"/>
      <c r="Z13" s="52">
        <f t="shared" si="7"/>
        <v>111</v>
      </c>
      <c r="AA13" s="710">
        <f t="shared" si="3"/>
        <v>1</v>
      </c>
      <c r="AB13" s="710">
        <f t="shared" si="4"/>
        <v>1</v>
      </c>
      <c r="AC13" s="710">
        <f t="shared" si="5"/>
        <v>1</v>
      </c>
    </row>
    <row r="14" spans="1:29" ht="15.75" thickBot="1">
      <c r="A14" s="392"/>
      <c r="B14" s="2078">
        <v>111</v>
      </c>
      <c r="C14" s="393"/>
      <c r="D14" s="394">
        <v>100</v>
      </c>
      <c r="E14" s="393"/>
      <c r="F14" s="395">
        <f>SUMIF(74:74,E14,75:75)-SUMIF(74:74,C14,75:75)+100</f>
        <v>100</v>
      </c>
      <c r="G14" s="393"/>
      <c r="H14" s="394">
        <f>SUMIF(74:74,G14,75:75)-SUMIF(74:74,C14,75:75)+100</f>
        <v>100</v>
      </c>
      <c r="I14" s="393"/>
      <c r="J14" s="394">
        <f>SUMIF(74:74,I14,75:75)-SUMIF(74:74,C14,75:75)+100</f>
        <v>100</v>
      </c>
      <c r="K14" s="2077"/>
      <c r="L14" s="2948"/>
      <c r="M14" s="2942"/>
      <c r="N14" s="2942"/>
      <c r="O14" s="2942"/>
      <c r="P14" s="3343"/>
      <c r="Q14" s="1525">
        <f t="shared" si="6"/>
        <v>111</v>
      </c>
      <c r="R14" s="707" t="s">
        <v>18</v>
      </c>
      <c r="S14" s="708">
        <f t="shared" si="0"/>
        <v>100</v>
      </c>
      <c r="T14" s="707" t="s">
        <v>18</v>
      </c>
      <c r="U14" s="708">
        <f t="shared" si="1"/>
        <v>100</v>
      </c>
      <c r="V14" s="707" t="s">
        <v>18</v>
      </c>
      <c r="W14" s="708">
        <f t="shared" si="2"/>
        <v>100</v>
      </c>
      <c r="X14" s="709"/>
      <c r="Y14" s="3275"/>
      <c r="Z14" s="52">
        <f t="shared" si="7"/>
        <v>111</v>
      </c>
      <c r="AA14" s="710">
        <f t="shared" si="3"/>
        <v>1</v>
      </c>
      <c r="AB14" s="710">
        <f t="shared" si="4"/>
        <v>1</v>
      </c>
      <c r="AC14" s="710">
        <f t="shared" si="5"/>
        <v>1</v>
      </c>
    </row>
    <row r="15" spans="1:29" ht="99.75">
      <c r="A15" s="396" t="s">
        <v>2355</v>
      </c>
      <c r="B15" s="62" t="s">
        <v>1921</v>
      </c>
      <c r="C15" s="2079"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8"/>
      <c r="M15" s="2942"/>
      <c r="N15" s="2942"/>
      <c r="O15" s="2942"/>
      <c r="P15" s="3379" t="s">
        <v>2356</v>
      </c>
      <c r="Q15" s="1534" t="str">
        <f t="shared" si="6"/>
        <v>居住社区成熟度</v>
      </c>
      <c r="R15" s="711" t="s">
        <v>18</v>
      </c>
      <c r="S15" s="712">
        <f t="shared" si="0"/>
        <v>100</v>
      </c>
      <c r="T15" s="711" t="s">
        <v>18</v>
      </c>
      <c r="U15" s="712">
        <f t="shared" si="1"/>
        <v>100</v>
      </c>
      <c r="V15" s="711" t="s">
        <v>18</v>
      </c>
      <c r="W15" s="712">
        <f t="shared" si="2"/>
        <v>100</v>
      </c>
      <c r="X15" s="1537"/>
      <c r="Y15" s="3334" t="s">
        <v>2356</v>
      </c>
      <c r="Z15" s="1538" t="str">
        <f t="shared" si="7"/>
        <v>居住社区成熟度</v>
      </c>
      <c r="AA15" s="1535">
        <f t="shared" si="3"/>
        <v>1</v>
      </c>
      <c r="AB15" s="1535">
        <f t="shared" si="4"/>
        <v>1</v>
      </c>
      <c r="AC15" s="1535">
        <f t="shared" si="5"/>
        <v>1</v>
      </c>
    </row>
    <row r="16" spans="1:29" ht="15">
      <c r="A16" s="384"/>
      <c r="B16" s="402"/>
      <c r="C16" s="403"/>
      <c r="D16" s="404"/>
      <c r="E16" s="2080"/>
      <c r="F16" s="404"/>
      <c r="G16" s="2081"/>
      <c r="H16" s="406"/>
      <c r="I16" s="2081"/>
      <c r="J16" s="404"/>
      <c r="K16" s="2082"/>
      <c r="L16" s="2948"/>
      <c r="M16" s="2942"/>
      <c r="N16" s="2942"/>
      <c r="O16" s="2942"/>
      <c r="P16" s="3380"/>
      <c r="Q16" s="1534"/>
      <c r="R16" s="711"/>
      <c r="S16" s="712"/>
      <c r="T16" s="711"/>
      <c r="U16" s="712"/>
      <c r="V16" s="711"/>
      <c r="W16" s="712"/>
      <c r="X16" s="1537"/>
      <c r="Y16" s="3335"/>
      <c r="Z16" s="1538"/>
      <c r="AA16" s="1535">
        <v>1</v>
      </c>
      <c r="AB16" s="1535">
        <v>1</v>
      </c>
      <c r="AC16" s="1535">
        <v>1</v>
      </c>
    </row>
    <row r="17" spans="1:29" ht="85.5">
      <c r="A17" s="384"/>
      <c r="B17" s="407" t="s">
        <v>1923</v>
      </c>
      <c r="C17" s="2083"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8"/>
      <c r="M17" s="2942"/>
      <c r="N17" s="2942"/>
      <c r="O17" s="2942"/>
      <c r="P17" s="3380"/>
      <c r="Q17" s="1534" t="str">
        <f>B17</f>
        <v>交通便捷度</v>
      </c>
      <c r="R17" s="711" t="s">
        <v>18</v>
      </c>
      <c r="S17" s="712">
        <f>F17</f>
        <v>100</v>
      </c>
      <c r="T17" s="711" t="s">
        <v>18</v>
      </c>
      <c r="U17" s="712">
        <f>H17</f>
        <v>100</v>
      </c>
      <c r="V17" s="711" t="s">
        <v>18</v>
      </c>
      <c r="W17" s="712">
        <f>J17</f>
        <v>100</v>
      </c>
      <c r="X17" s="1537"/>
      <c r="Y17" s="3335"/>
      <c r="Z17" s="1538" t="str">
        <f>Q17</f>
        <v>交通便捷度</v>
      </c>
      <c r="AA17" s="1535">
        <f t="shared" si="3"/>
        <v>1</v>
      </c>
      <c r="AB17" s="1535">
        <f t="shared" si="4"/>
        <v>1</v>
      </c>
      <c r="AC17" s="1535">
        <f t="shared" si="5"/>
        <v>1</v>
      </c>
    </row>
    <row r="18" spans="1:29" ht="15">
      <c r="A18" s="384"/>
      <c r="B18" s="412"/>
      <c r="C18" s="2084"/>
      <c r="D18" s="406"/>
      <c r="E18" s="2085"/>
      <c r="F18" s="406"/>
      <c r="G18" s="2086"/>
      <c r="H18" s="404"/>
      <c r="I18" s="2086"/>
      <c r="J18" s="404"/>
      <c r="K18" s="2082"/>
      <c r="L18" s="2948"/>
      <c r="M18" s="2942"/>
      <c r="N18" s="2942"/>
      <c r="O18" s="2942"/>
      <c r="P18" s="3380"/>
      <c r="Q18" s="1534"/>
      <c r="R18" s="711"/>
      <c r="S18" s="712"/>
      <c r="T18" s="711"/>
      <c r="U18" s="712"/>
      <c r="V18" s="711"/>
      <c r="W18" s="712"/>
      <c r="X18" s="1537"/>
      <c r="Y18" s="3335"/>
      <c r="Z18" s="1538"/>
      <c r="AA18" s="1535">
        <v>1</v>
      </c>
      <c r="AB18" s="1535">
        <v>1</v>
      </c>
      <c r="AC18" s="1535">
        <v>1</v>
      </c>
    </row>
    <row r="19" spans="1:29" ht="42.75">
      <c r="A19" s="384"/>
      <c r="B19" s="407" t="s">
        <v>1922</v>
      </c>
      <c r="C19" s="2083"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8"/>
      <c r="M19" s="2942"/>
      <c r="N19" s="2942"/>
      <c r="O19" s="2942"/>
      <c r="P19" s="3380"/>
      <c r="Q19" s="1534" t="str">
        <f>B19</f>
        <v>公共配套设施</v>
      </c>
      <c r="R19" s="711" t="s">
        <v>18</v>
      </c>
      <c r="S19" s="712">
        <f>F19</f>
        <v>100</v>
      </c>
      <c r="T19" s="711" t="s">
        <v>18</v>
      </c>
      <c r="U19" s="712">
        <f>H19</f>
        <v>100</v>
      </c>
      <c r="V19" s="711" t="s">
        <v>18</v>
      </c>
      <c r="W19" s="712">
        <f>J19</f>
        <v>100</v>
      </c>
      <c r="X19" s="1537"/>
      <c r="Y19" s="3335"/>
      <c r="Z19" s="1538" t="str">
        <f>Q19</f>
        <v>公共配套设施</v>
      </c>
      <c r="AA19" s="1535">
        <f t="shared" si="3"/>
        <v>1</v>
      </c>
      <c r="AB19" s="1535">
        <f t="shared" si="4"/>
        <v>1</v>
      </c>
      <c r="AC19" s="1535">
        <f t="shared" si="5"/>
        <v>1</v>
      </c>
    </row>
    <row r="20" spans="1:29" ht="15">
      <c r="A20" s="384"/>
      <c r="B20" s="412"/>
      <c r="C20" s="403"/>
      <c r="D20" s="404"/>
      <c r="E20" s="2080"/>
      <c r="F20" s="404"/>
      <c r="G20" s="2081"/>
      <c r="H20" s="404"/>
      <c r="I20" s="2081"/>
      <c r="J20" s="404"/>
      <c r="K20" s="2082"/>
      <c r="L20" s="2948"/>
      <c r="M20" s="2942"/>
      <c r="N20" s="2942"/>
      <c r="O20" s="2942"/>
      <c r="P20" s="3380"/>
      <c r="Q20" s="1534"/>
      <c r="R20" s="711"/>
      <c r="S20" s="712"/>
      <c r="T20" s="711"/>
      <c r="U20" s="712"/>
      <c r="V20" s="711"/>
      <c r="W20" s="712"/>
      <c r="X20" s="1537"/>
      <c r="Y20" s="3335"/>
      <c r="Z20" s="1538"/>
      <c r="AA20" s="1535">
        <v>1</v>
      </c>
      <c r="AB20" s="1535">
        <v>1</v>
      </c>
      <c r="AC20" s="1535">
        <v>1</v>
      </c>
    </row>
    <row r="21" spans="1:29" ht="28.5">
      <c r="A21" s="384"/>
      <c r="B21" s="1290" t="s">
        <v>1924</v>
      </c>
      <c r="C21" s="2083"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8"/>
      <c r="M21" s="2942"/>
      <c r="N21" s="2942"/>
      <c r="O21" s="2942"/>
      <c r="P21" s="3380"/>
      <c r="Q21" s="1534" t="str">
        <f>B21</f>
        <v>基础设施水平</v>
      </c>
      <c r="R21" s="711" t="s">
        <v>14</v>
      </c>
      <c r="S21" s="712">
        <f>F21</f>
        <v>100</v>
      </c>
      <c r="T21" s="711" t="s">
        <v>14</v>
      </c>
      <c r="U21" s="712">
        <f>H21</f>
        <v>100</v>
      </c>
      <c r="V21" s="711" t="s">
        <v>14</v>
      </c>
      <c r="W21" s="712">
        <f>J21</f>
        <v>100</v>
      </c>
      <c r="X21" s="1537"/>
      <c r="Y21" s="3335"/>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4"/>
      <c r="G22" s="2087"/>
      <c r="H22" s="404"/>
      <c r="I22" s="403"/>
      <c r="J22" s="404"/>
      <c r="K22" s="2088"/>
      <c r="L22" s="2948"/>
      <c r="M22" s="2942"/>
      <c r="N22" s="2942"/>
      <c r="O22" s="2942"/>
      <c r="P22" s="3380"/>
      <c r="Q22" s="1534"/>
      <c r="R22" s="711"/>
      <c r="S22" s="712"/>
      <c r="T22" s="711"/>
      <c r="U22" s="712"/>
      <c r="V22" s="711"/>
      <c r="W22" s="712"/>
      <c r="X22" s="1537"/>
      <c r="Y22" s="3335"/>
      <c r="Z22" s="1538"/>
      <c r="AA22" s="1535">
        <v>1</v>
      </c>
      <c r="AB22" s="1535">
        <v>1</v>
      </c>
      <c r="AC22" s="1535">
        <v>1</v>
      </c>
    </row>
    <row r="23" spans="1:29" ht="57">
      <c r="A23" s="384"/>
      <c r="B23" s="407" t="s">
        <v>1925</v>
      </c>
      <c r="C23" s="2083"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8"/>
      <c r="M23" s="2942"/>
      <c r="N23" s="2942"/>
      <c r="O23" s="2942"/>
      <c r="P23" s="3380"/>
      <c r="Q23" s="1534" t="str">
        <f>B23</f>
        <v>自然及人文环境</v>
      </c>
      <c r="R23" s="711" t="s">
        <v>18</v>
      </c>
      <c r="S23" s="712">
        <f>F23</f>
        <v>100</v>
      </c>
      <c r="T23" s="711" t="s">
        <v>18</v>
      </c>
      <c r="U23" s="712">
        <f>H23</f>
        <v>100</v>
      </c>
      <c r="V23" s="711" t="s">
        <v>18</v>
      </c>
      <c r="W23" s="712">
        <f>J23</f>
        <v>100</v>
      </c>
      <c r="X23" s="1537"/>
      <c r="Y23" s="3335"/>
      <c r="Z23" s="1538" t="str">
        <f>Q23</f>
        <v>自然及人文环境</v>
      </c>
      <c r="AA23" s="1535">
        <f>D23/F23</f>
        <v>1</v>
      </c>
      <c r="AB23" s="1535">
        <f>D23/H23</f>
        <v>1</v>
      </c>
      <c r="AC23" s="1535">
        <f>D23/J23</f>
        <v>1</v>
      </c>
    </row>
    <row r="24" spans="1:29" ht="15">
      <c r="A24" s="384"/>
      <c r="B24" s="412"/>
      <c r="C24" s="403"/>
      <c r="D24" s="404"/>
      <c r="E24" s="2080"/>
      <c r="F24" s="404"/>
      <c r="G24" s="2081"/>
      <c r="H24" s="404"/>
      <c r="I24" s="2081"/>
      <c r="J24" s="404"/>
      <c r="K24" s="2082"/>
      <c r="L24" s="2948"/>
      <c r="M24" s="2942"/>
      <c r="N24" s="2942"/>
      <c r="O24" s="2942"/>
      <c r="P24" s="3380"/>
      <c r="Q24" s="1534"/>
      <c r="R24" s="711"/>
      <c r="S24" s="712"/>
      <c r="T24" s="711"/>
      <c r="U24" s="712"/>
      <c r="V24" s="711"/>
      <c r="W24" s="712"/>
      <c r="X24" s="1537"/>
      <c r="Y24" s="3335"/>
      <c r="Z24" s="1538"/>
      <c r="AA24" s="1535">
        <v>1</v>
      </c>
      <c r="AB24" s="1535">
        <v>1</v>
      </c>
      <c r="AC24" s="1535">
        <v>1</v>
      </c>
    </row>
    <row r="25" spans="1:29" ht="15">
      <c r="A25" s="384"/>
      <c r="B25" s="378" t="s">
        <v>2357</v>
      </c>
      <c r="C25" s="416"/>
      <c r="D25" s="391">
        <v>100</v>
      </c>
      <c r="E25" s="2089"/>
      <c r="F25" s="391">
        <f>SUMIF(86:86,E25,87:87)-SUMIF(86:86,C25,87:87)+100</f>
        <v>100</v>
      </c>
      <c r="G25" s="2090"/>
      <c r="H25" s="391">
        <f>SUMIF(86:86,G25,87:87)-SUMIF(86:86,C25,87:87)+100</f>
        <v>100</v>
      </c>
      <c r="I25" s="2090"/>
      <c r="J25" s="391">
        <f>SUMIF(86:86,I25,87:87)-SUMIF(86:86,C25,87:87)+100</f>
        <v>100</v>
      </c>
      <c r="K25" s="382"/>
      <c r="L25" s="2948"/>
      <c r="M25" s="2942"/>
      <c r="N25" s="2942"/>
      <c r="O25" s="2942"/>
      <c r="P25" s="3380"/>
      <c r="Q25" s="1534" t="str">
        <f t="shared" ref="Q25:Q46" si="11">B25</f>
        <v>楼层-1</v>
      </c>
      <c r="R25" s="711" t="s">
        <v>18</v>
      </c>
      <c r="S25" s="712">
        <f t="shared" ref="S25:S46" si="12">F25</f>
        <v>100</v>
      </c>
      <c r="T25" s="711" t="s">
        <v>18</v>
      </c>
      <c r="U25" s="712">
        <f t="shared" ref="U25:U46" si="13">H25</f>
        <v>100</v>
      </c>
      <c r="V25" s="711" t="s">
        <v>18</v>
      </c>
      <c r="W25" s="712">
        <f t="shared" ref="W25:W46" si="14">J25</f>
        <v>100</v>
      </c>
      <c r="X25" s="1537"/>
      <c r="Y25" s="3335"/>
      <c r="Z25" s="1538" t="str">
        <f>Q25</f>
        <v>楼层-1</v>
      </c>
      <c r="AA25" s="1535">
        <f t="shared" ref="AA25:AA46" si="15">D25/F25</f>
        <v>1</v>
      </c>
      <c r="AB25" s="1535">
        <f t="shared" ref="AB25:AB46" si="16">D25/H25</f>
        <v>1</v>
      </c>
      <c r="AC25" s="1535">
        <f t="shared" ref="AC25:AC46" si="17">D25/J25</f>
        <v>1</v>
      </c>
    </row>
    <row r="26" spans="1:29" ht="15">
      <c r="A26" s="384"/>
      <c r="B26" s="378" t="s">
        <v>2358</v>
      </c>
      <c r="C26" s="416"/>
      <c r="D26" s="391">
        <v>100</v>
      </c>
      <c r="E26" s="2089"/>
      <c r="F26" s="391">
        <f>SUMIF(88:88,E26,89:89)-SUMIF(88:88,C26,89:89)+100</f>
        <v>100</v>
      </c>
      <c r="G26" s="2090"/>
      <c r="H26" s="391">
        <f>SUMIF(88:88,G26,89:89)-SUMIF(88:88,C26,89:89)+100</f>
        <v>100</v>
      </c>
      <c r="I26" s="2090"/>
      <c r="J26" s="391">
        <f>SUMIF(88:88,I26,89:89)-SUMIF(88:88,C26,89:89)+100</f>
        <v>100</v>
      </c>
      <c r="K26" s="382"/>
      <c r="L26" s="2948"/>
      <c r="M26" s="2942"/>
      <c r="N26" s="2942"/>
      <c r="O26" s="2942"/>
      <c r="P26" s="3380"/>
      <c r="Q26" s="1534" t="str">
        <f t="shared" si="11"/>
        <v>朝向</v>
      </c>
      <c r="R26" s="711" t="s">
        <v>18</v>
      </c>
      <c r="S26" s="712">
        <f t="shared" si="12"/>
        <v>100</v>
      </c>
      <c r="T26" s="711" t="s">
        <v>18</v>
      </c>
      <c r="U26" s="712">
        <f t="shared" si="13"/>
        <v>100</v>
      </c>
      <c r="V26" s="711" t="s">
        <v>18</v>
      </c>
      <c r="W26" s="712">
        <f t="shared" si="14"/>
        <v>100</v>
      </c>
      <c r="X26" s="1537"/>
      <c r="Y26" s="3335"/>
      <c r="Z26" s="1538" t="str">
        <f>Q26</f>
        <v>朝向</v>
      </c>
      <c r="AA26" s="1535">
        <f t="shared" si="15"/>
        <v>1</v>
      </c>
      <c r="AB26" s="1535">
        <f t="shared" si="16"/>
        <v>1</v>
      </c>
      <c r="AC26" s="1535">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7"/>
      <c r="L27" s="2943"/>
      <c r="M27" s="2944"/>
      <c r="N27" s="2944"/>
      <c r="O27" s="2944"/>
      <c r="P27" s="3380"/>
      <c r="Q27" s="1525">
        <f t="shared" si="11"/>
        <v>111</v>
      </c>
      <c r="R27" s="707" t="s">
        <v>18</v>
      </c>
      <c r="S27" s="708">
        <f t="shared" si="12"/>
        <v>100</v>
      </c>
      <c r="T27" s="707" t="s">
        <v>18</v>
      </c>
      <c r="U27" s="708">
        <f t="shared" si="13"/>
        <v>100</v>
      </c>
      <c r="V27" s="707" t="s">
        <v>18</v>
      </c>
      <c r="W27" s="708">
        <f t="shared" si="14"/>
        <v>100</v>
      </c>
      <c r="X27" s="709"/>
      <c r="Y27" s="3335"/>
      <c r="Z27" s="52">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1"/>
      <c r="H28" s="391">
        <f>SUMIF(92:92,G28,93:93)-SUMIF(92:92,C28,93:93)+100</f>
        <v>100</v>
      </c>
      <c r="I28" s="390"/>
      <c r="J28" s="391">
        <f>SUMIF(92:92,I28,93:93)-SUMIF(92:92,C28,93:93)+100</f>
        <v>100</v>
      </c>
      <c r="K28" s="2077"/>
      <c r="L28" s="2948"/>
      <c r="M28" s="2942"/>
      <c r="N28" s="2942"/>
      <c r="O28" s="2942"/>
      <c r="P28" s="3380"/>
      <c r="Q28" s="1534">
        <f t="shared" si="11"/>
        <v>111</v>
      </c>
      <c r="R28" s="711" t="s">
        <v>18</v>
      </c>
      <c r="S28" s="712">
        <f t="shared" si="12"/>
        <v>100</v>
      </c>
      <c r="T28" s="711" t="s">
        <v>18</v>
      </c>
      <c r="U28" s="712">
        <f t="shared" si="13"/>
        <v>100</v>
      </c>
      <c r="V28" s="711" t="s">
        <v>18</v>
      </c>
      <c r="W28" s="712">
        <f t="shared" si="14"/>
        <v>100</v>
      </c>
      <c r="X28" s="1537"/>
      <c r="Y28" s="3335"/>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1"/>
      <c r="H29" s="391">
        <f>SUMIF(94:94,G29,95:95)-SUMIF(94:94,C29,95:95)+100</f>
        <v>100</v>
      </c>
      <c r="I29" s="390"/>
      <c r="J29" s="391">
        <f>SUMIF(94:94,I29,95:95)-SUMIF(94:94,C29,95:95)+100</f>
        <v>100</v>
      </c>
      <c r="K29" s="2077"/>
      <c r="L29" s="2948"/>
      <c r="M29" s="2942"/>
      <c r="N29" s="2942"/>
      <c r="O29" s="2942"/>
      <c r="P29" s="3380"/>
      <c r="Q29" s="1534">
        <f t="shared" si="11"/>
        <v>111</v>
      </c>
      <c r="R29" s="711" t="s">
        <v>18</v>
      </c>
      <c r="S29" s="712">
        <f t="shared" si="12"/>
        <v>100</v>
      </c>
      <c r="T29" s="711" t="s">
        <v>18</v>
      </c>
      <c r="U29" s="712">
        <f t="shared" si="13"/>
        <v>100</v>
      </c>
      <c r="V29" s="711" t="s">
        <v>18</v>
      </c>
      <c r="W29" s="712">
        <f t="shared" si="14"/>
        <v>100</v>
      </c>
      <c r="X29" s="1537"/>
      <c r="Y29" s="3335"/>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1"/>
      <c r="H30" s="391">
        <f>SUMIF(96:96,G30,97:97)-SUMIF(96:96,C30,97:97)+100</f>
        <v>100</v>
      </c>
      <c r="I30" s="390"/>
      <c r="J30" s="391">
        <f>SUMIF(96:96,I30,97:97)-SUMIF(96:96,C30,97:97)+100</f>
        <v>100</v>
      </c>
      <c r="K30" s="2077"/>
      <c r="L30" s="2948"/>
      <c r="M30" s="2942"/>
      <c r="N30" s="2942"/>
      <c r="O30" s="2942"/>
      <c r="P30" s="3380"/>
      <c r="Q30" s="1534">
        <f t="shared" si="11"/>
        <v>111</v>
      </c>
      <c r="R30" s="711" t="s">
        <v>18</v>
      </c>
      <c r="S30" s="712">
        <f t="shared" si="12"/>
        <v>100</v>
      </c>
      <c r="T30" s="711" t="s">
        <v>18</v>
      </c>
      <c r="U30" s="712">
        <f t="shared" si="13"/>
        <v>100</v>
      </c>
      <c r="V30" s="711" t="s">
        <v>18</v>
      </c>
      <c r="W30" s="712">
        <f t="shared" si="14"/>
        <v>100</v>
      </c>
      <c r="X30" s="1537"/>
      <c r="Y30" s="3335"/>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2"/>
      <c r="H31" s="394">
        <f>SUMIF(98:98,G31,99:99)-SUMIF(98:98,C31,99:99)+100</f>
        <v>100</v>
      </c>
      <c r="I31" s="393"/>
      <c r="J31" s="394">
        <f>SUMIF(98:98,I31,99:99)-SUMIF(98:98,C31,99:99)+100</f>
        <v>100</v>
      </c>
      <c r="K31" s="2077"/>
      <c r="L31" s="2948"/>
      <c r="M31" s="2942"/>
      <c r="N31" s="2942"/>
      <c r="O31" s="2942"/>
      <c r="P31" s="3380"/>
      <c r="Q31" s="1534">
        <f t="shared" si="11"/>
        <v>111</v>
      </c>
      <c r="R31" s="711" t="s">
        <v>18</v>
      </c>
      <c r="S31" s="712">
        <f t="shared" si="12"/>
        <v>100</v>
      </c>
      <c r="T31" s="711" t="s">
        <v>18</v>
      </c>
      <c r="U31" s="712">
        <f t="shared" si="13"/>
        <v>100</v>
      </c>
      <c r="V31" s="711" t="s">
        <v>18</v>
      </c>
      <c r="W31" s="712">
        <f t="shared" si="14"/>
        <v>100</v>
      </c>
      <c r="X31" s="1537"/>
      <c r="Y31" s="3335"/>
      <c r="Z31" s="1538">
        <f t="shared" si="18"/>
        <v>111</v>
      </c>
      <c r="AA31" s="1535">
        <f t="shared" si="15"/>
        <v>1</v>
      </c>
      <c r="AB31" s="1535">
        <f t="shared" si="16"/>
        <v>1</v>
      </c>
      <c r="AC31" s="1535">
        <f t="shared" si="17"/>
        <v>1</v>
      </c>
    </row>
    <row r="32" spans="1:29" ht="15">
      <c r="A32" s="396" t="s">
        <v>2359</v>
      </c>
      <c r="B32" s="64" t="s">
        <v>2360</v>
      </c>
      <c r="C32" s="2093"/>
      <c r="D32" s="423">
        <v>100</v>
      </c>
      <c r="E32" s="2094"/>
      <c r="F32" s="417">
        <f>SUMIF(100:100,E32,101:101)-SUMIF(100:100,C32,101:101)+100</f>
        <v>100</v>
      </c>
      <c r="G32" s="2093"/>
      <c r="H32" s="423">
        <f>SUMIF(100:100,G32,101:101)-SUMIF(100:100,C32,101:101)+100</f>
        <v>100</v>
      </c>
      <c r="I32" s="2094"/>
      <c r="J32" s="391">
        <f>SUMIF(100:100,I32,101:101)-SUMIF(100:100,C32,101:101)+100</f>
        <v>100</v>
      </c>
      <c r="K32" s="382"/>
      <c r="L32" s="2948"/>
      <c r="M32" s="2942"/>
      <c r="N32" s="2942"/>
      <c r="O32" s="2942"/>
      <c r="P32" s="3375" t="s">
        <v>2361</v>
      </c>
      <c r="Q32" s="1534" t="str">
        <f t="shared" si="11"/>
        <v>建筑类型</v>
      </c>
      <c r="R32" s="711" t="s">
        <v>18</v>
      </c>
      <c r="S32" s="712">
        <f t="shared" si="12"/>
        <v>100</v>
      </c>
      <c r="T32" s="711" t="s">
        <v>18</v>
      </c>
      <c r="U32" s="712">
        <f t="shared" si="13"/>
        <v>100</v>
      </c>
      <c r="V32" s="711" t="s">
        <v>18</v>
      </c>
      <c r="W32" s="712">
        <f t="shared" si="14"/>
        <v>100</v>
      </c>
      <c r="X32" s="1537"/>
      <c r="Y32" s="3337" t="s">
        <v>2361</v>
      </c>
      <c r="Z32" s="1538" t="str">
        <f t="shared" si="18"/>
        <v>建筑类型</v>
      </c>
      <c r="AA32" s="1535">
        <f t="shared" si="15"/>
        <v>1</v>
      </c>
      <c r="AB32" s="1535">
        <f t="shared" si="16"/>
        <v>1</v>
      </c>
      <c r="AC32" s="1535">
        <f t="shared" si="17"/>
        <v>1</v>
      </c>
    </row>
    <row r="33" spans="1:29" s="427" customFormat="1" ht="15">
      <c r="A33" s="424"/>
      <c r="B33" s="378" t="s">
        <v>2362</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7"/>
      <c r="L33" s="2947"/>
      <c r="M33" s="2949"/>
      <c r="N33" s="2949"/>
      <c r="O33" s="2949"/>
      <c r="P33" s="3376"/>
      <c r="Q33" s="713" t="str">
        <f t="shared" si="11"/>
        <v>项目建筑规模</v>
      </c>
      <c r="R33" s="714" t="s">
        <v>18</v>
      </c>
      <c r="S33" s="715" t="e">
        <f t="shared" si="12"/>
        <v>#N/A</v>
      </c>
      <c r="T33" s="714" t="s">
        <v>18</v>
      </c>
      <c r="U33" s="715" t="e">
        <f t="shared" si="13"/>
        <v>#N/A</v>
      </c>
      <c r="V33" s="714" t="s">
        <v>18</v>
      </c>
      <c r="W33" s="715" t="e">
        <f t="shared" si="14"/>
        <v>#N/A</v>
      </c>
      <c r="X33" s="716"/>
      <c r="Y33" s="3337"/>
      <c r="Z33" s="717" t="str">
        <f t="shared" si="18"/>
        <v>项目建筑规模</v>
      </c>
      <c r="AA33" s="1535" t="e">
        <f t="shared" si="15"/>
        <v>#N/A</v>
      </c>
      <c r="AB33" s="1535" t="e">
        <f t="shared" si="16"/>
        <v>#N/A</v>
      </c>
      <c r="AC33" s="1535" t="e">
        <f t="shared" si="17"/>
        <v>#N/A</v>
      </c>
    </row>
    <row r="34" spans="1:29" ht="15">
      <c r="A34" s="428"/>
      <c r="B34" s="378" t="s">
        <v>2363</v>
      </c>
      <c r="C34" s="2095"/>
      <c r="D34" s="391">
        <v>100</v>
      </c>
      <c r="E34" s="2096"/>
      <c r="F34" s="417">
        <f>SUMIF(105:105,E34,106:106)-SUMIF(105:105,C34,106:106)+100</f>
        <v>100</v>
      </c>
      <c r="G34" s="2095"/>
      <c r="H34" s="391">
        <f>SUMIF(105:105,G34,106:106)-SUMIF(105:105,C34,106:106)+100</f>
        <v>100</v>
      </c>
      <c r="I34" s="2096"/>
      <c r="J34" s="391">
        <f>SUMIF(105:105,I34,106:106)-SUMIF(105:105,C34,106:106)+100</f>
        <v>100</v>
      </c>
      <c r="K34" s="382"/>
      <c r="L34" s="2948"/>
      <c r="M34" s="2942"/>
      <c r="N34" s="2942"/>
      <c r="O34" s="2942"/>
      <c r="P34" s="3376"/>
      <c r="Q34" s="1534" t="str">
        <f t="shared" si="11"/>
        <v>建筑结构</v>
      </c>
      <c r="R34" s="711" t="s">
        <v>18</v>
      </c>
      <c r="S34" s="712">
        <f t="shared" si="12"/>
        <v>100</v>
      </c>
      <c r="T34" s="711" t="s">
        <v>18</v>
      </c>
      <c r="U34" s="712">
        <f t="shared" si="13"/>
        <v>100</v>
      </c>
      <c r="V34" s="711" t="s">
        <v>18</v>
      </c>
      <c r="W34" s="712">
        <f t="shared" si="14"/>
        <v>100</v>
      </c>
      <c r="X34" s="1537"/>
      <c r="Y34" s="3337"/>
      <c r="Z34" s="1538" t="str">
        <f t="shared" si="18"/>
        <v>建筑结构</v>
      </c>
      <c r="AA34" s="1535">
        <f t="shared" si="15"/>
        <v>1</v>
      </c>
      <c r="AB34" s="1535">
        <f t="shared" si="16"/>
        <v>1</v>
      </c>
      <c r="AC34" s="1535">
        <f t="shared" si="17"/>
        <v>1</v>
      </c>
    </row>
    <row r="35" spans="1:29" ht="15">
      <c r="A35" s="428"/>
      <c r="B35" s="378" t="s">
        <v>2364</v>
      </c>
      <c r="C35" s="2089"/>
      <c r="D35" s="391">
        <v>100</v>
      </c>
      <c r="E35" s="2090"/>
      <c r="F35" s="417">
        <f>SUMIF(107:107,E35,108:108)-SUMIF(107:107,C35,108:108)+100</f>
        <v>100</v>
      </c>
      <c r="G35" s="2089"/>
      <c r="H35" s="391">
        <f>SUMIF(107:107,G35,108:108)-SUMIF(107:107,C35,108:108)+100</f>
        <v>100</v>
      </c>
      <c r="I35" s="2090"/>
      <c r="J35" s="391">
        <f>SUMIF(107:107,I35,108:108)-SUMIF(107:107,C35,108:108)+100</f>
        <v>100</v>
      </c>
      <c r="K35" s="382"/>
      <c r="L35" s="2948"/>
      <c r="M35" s="2942"/>
      <c r="N35" s="2942"/>
      <c r="O35" s="2942"/>
      <c r="P35" s="3376"/>
      <c r="Q35" s="1534" t="str">
        <f t="shared" si="11"/>
        <v>建筑品质</v>
      </c>
      <c r="R35" s="711" t="s">
        <v>18</v>
      </c>
      <c r="S35" s="712">
        <f t="shared" si="12"/>
        <v>100</v>
      </c>
      <c r="T35" s="711" t="s">
        <v>18</v>
      </c>
      <c r="U35" s="712">
        <f t="shared" si="13"/>
        <v>100</v>
      </c>
      <c r="V35" s="711" t="s">
        <v>18</v>
      </c>
      <c r="W35" s="712">
        <f t="shared" si="14"/>
        <v>100</v>
      </c>
      <c r="X35" s="1537"/>
      <c r="Y35" s="3337"/>
      <c r="Z35" s="1538" t="str">
        <f t="shared" si="18"/>
        <v>建筑品质</v>
      </c>
      <c r="AA35" s="1535">
        <f t="shared" si="15"/>
        <v>1</v>
      </c>
      <c r="AB35" s="1535">
        <f t="shared" si="16"/>
        <v>1</v>
      </c>
      <c r="AC35" s="1535">
        <f t="shared" si="17"/>
        <v>1</v>
      </c>
    </row>
    <row r="36" spans="1:29" ht="15">
      <c r="A36" s="428"/>
      <c r="B36" s="378" t="s">
        <v>2365</v>
      </c>
      <c r="C36" s="2089"/>
      <c r="D36" s="391">
        <v>100</v>
      </c>
      <c r="E36" s="2090"/>
      <c r="F36" s="417">
        <f>SUMIF(109:109,E36,110:110)-SUMIF(109:109,C36,110:110)+100</f>
        <v>100</v>
      </c>
      <c r="G36" s="2089"/>
      <c r="H36" s="391">
        <f>SUMIF(109:109,G36,110:110)-SUMIF(109:109,C36,110:110)+100</f>
        <v>100</v>
      </c>
      <c r="I36" s="2090"/>
      <c r="J36" s="391">
        <f>SUMIF(109:109,I36,110:110)-SUMIF(109:109,C36,110:110)+100</f>
        <v>100</v>
      </c>
      <c r="K36" s="382"/>
      <c r="L36" s="2948"/>
      <c r="M36" s="2942"/>
      <c r="N36" s="2942"/>
      <c r="O36" s="2942"/>
      <c r="P36" s="3376"/>
      <c r="Q36" s="1534" t="str">
        <f t="shared" si="11"/>
        <v>公共部分装修</v>
      </c>
      <c r="R36" s="711" t="s">
        <v>18</v>
      </c>
      <c r="S36" s="712">
        <f t="shared" si="12"/>
        <v>100</v>
      </c>
      <c r="T36" s="711" t="s">
        <v>18</v>
      </c>
      <c r="U36" s="712">
        <f t="shared" si="13"/>
        <v>100</v>
      </c>
      <c r="V36" s="711" t="s">
        <v>18</v>
      </c>
      <c r="W36" s="712">
        <f t="shared" si="14"/>
        <v>100</v>
      </c>
      <c r="X36" s="1537"/>
      <c r="Y36" s="3337"/>
      <c r="Z36" s="1538" t="str">
        <f t="shared" si="18"/>
        <v>公共部分装修</v>
      </c>
      <c r="AA36" s="1535">
        <f t="shared" si="15"/>
        <v>1</v>
      </c>
      <c r="AB36" s="1535">
        <f t="shared" si="16"/>
        <v>1</v>
      </c>
      <c r="AC36" s="1535">
        <f t="shared" si="17"/>
        <v>1</v>
      </c>
    </row>
    <row r="37" spans="1:29" s="110" customFormat="1" ht="15">
      <c r="A37" s="429"/>
      <c r="B37" s="378" t="s">
        <v>2366</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3"/>
      <c r="M37" s="2944"/>
      <c r="N37" s="2944"/>
      <c r="O37" s="2944"/>
      <c r="P37" s="3376"/>
      <c r="Q37" s="1525" t="str">
        <f t="shared" si="11"/>
        <v>成新度</v>
      </c>
      <c r="R37" s="707" t="s">
        <v>18</v>
      </c>
      <c r="S37" s="708" t="e">
        <f t="shared" si="12"/>
        <v>#N/A</v>
      </c>
      <c r="T37" s="707" t="s">
        <v>18</v>
      </c>
      <c r="U37" s="708" t="e">
        <f t="shared" si="13"/>
        <v>#N/A</v>
      </c>
      <c r="V37" s="707" t="s">
        <v>18</v>
      </c>
      <c r="W37" s="708" t="e">
        <f t="shared" si="14"/>
        <v>#N/A</v>
      </c>
      <c r="X37" s="709"/>
      <c r="Y37" s="3337"/>
      <c r="Z37" s="52" t="str">
        <f t="shared" si="18"/>
        <v>成新度</v>
      </c>
      <c r="AA37" s="710" t="e">
        <f t="shared" si="15"/>
        <v>#N/A</v>
      </c>
      <c r="AB37" s="710" t="e">
        <f t="shared" si="16"/>
        <v>#N/A</v>
      </c>
      <c r="AC37" s="710" t="e">
        <f t="shared" si="17"/>
        <v>#N/A</v>
      </c>
    </row>
    <row r="38" spans="1:29" ht="15">
      <c r="A38" s="428"/>
      <c r="B38" s="378" t="s">
        <v>2367</v>
      </c>
      <c r="C38" s="2089"/>
      <c r="D38" s="391">
        <v>100</v>
      </c>
      <c r="E38" s="2090"/>
      <c r="F38" s="417">
        <f>SUMIF(114:114,E38,115:115)-SUMIF(114:114,C38,115:115)+100</f>
        <v>100</v>
      </c>
      <c r="G38" s="2089"/>
      <c r="H38" s="391">
        <f>SUMIF(114:114,G38,115:115)-SUMIF(114:114,C38,115:115)+100</f>
        <v>100</v>
      </c>
      <c r="I38" s="2090"/>
      <c r="J38" s="391">
        <f>SUMIF(114:114,I38,115:115)-SUMIF(114:114,C38,115:115)+100</f>
        <v>100</v>
      </c>
      <c r="K38" s="382"/>
      <c r="L38" s="2948"/>
      <c r="M38" s="2942"/>
      <c r="N38" s="2942"/>
      <c r="O38" s="2942"/>
      <c r="P38" s="3376" t="s">
        <v>2361</v>
      </c>
      <c r="Q38" s="1534" t="str">
        <f t="shared" si="11"/>
        <v>物业管理</v>
      </c>
      <c r="R38" s="711" t="s">
        <v>18</v>
      </c>
      <c r="S38" s="712">
        <f t="shared" si="12"/>
        <v>100</v>
      </c>
      <c r="T38" s="711" t="s">
        <v>18</v>
      </c>
      <c r="U38" s="712">
        <f t="shared" si="13"/>
        <v>100</v>
      </c>
      <c r="V38" s="711" t="s">
        <v>18</v>
      </c>
      <c r="W38" s="712">
        <f t="shared" si="14"/>
        <v>100</v>
      </c>
      <c r="X38" s="1537"/>
      <c r="Y38" s="3337" t="s">
        <v>2361</v>
      </c>
      <c r="Z38" s="1538" t="str">
        <f t="shared" si="18"/>
        <v>物业管理</v>
      </c>
      <c r="AA38" s="1535">
        <f t="shared" si="15"/>
        <v>1</v>
      </c>
      <c r="AB38" s="1535">
        <f t="shared" si="16"/>
        <v>1</v>
      </c>
      <c r="AC38" s="1535">
        <f t="shared" si="17"/>
        <v>1</v>
      </c>
    </row>
    <row r="39" spans="1:29" ht="15">
      <c r="A39" s="428"/>
      <c r="B39" s="378" t="s">
        <v>2368</v>
      </c>
      <c r="C39" s="2089"/>
      <c r="D39" s="391">
        <v>100</v>
      </c>
      <c r="E39" s="2090"/>
      <c r="F39" s="417">
        <f>SUMIF(116:116,E39,117:117)-SUMIF(116:116,C39,117:117)+100</f>
        <v>100</v>
      </c>
      <c r="G39" s="2089"/>
      <c r="H39" s="391">
        <f>SUMIF(116:116,G39,117:117)-SUMIF(116:116,C39,117:117)+100</f>
        <v>100</v>
      </c>
      <c r="I39" s="2090"/>
      <c r="J39" s="391">
        <f>SUMIF(116:116,I39,117:117)-SUMIF(116:116,C39,117:117)+100</f>
        <v>100</v>
      </c>
      <c r="K39" s="382"/>
      <c r="L39" s="2948"/>
      <c r="M39" s="2942"/>
      <c r="N39" s="2942"/>
      <c r="O39" s="2942"/>
      <c r="P39" s="3376"/>
      <c r="Q39" s="1534" t="str">
        <f t="shared" si="11"/>
        <v>市政基础设施</v>
      </c>
      <c r="R39" s="711" t="s">
        <v>18</v>
      </c>
      <c r="S39" s="712">
        <f t="shared" si="12"/>
        <v>100</v>
      </c>
      <c r="T39" s="711" t="s">
        <v>18</v>
      </c>
      <c r="U39" s="712">
        <f t="shared" si="13"/>
        <v>100</v>
      </c>
      <c r="V39" s="711" t="s">
        <v>18</v>
      </c>
      <c r="W39" s="712">
        <f t="shared" si="14"/>
        <v>100</v>
      </c>
      <c r="X39" s="1537"/>
      <c r="Y39" s="3337"/>
      <c r="Z39" s="1538" t="str">
        <f t="shared" si="18"/>
        <v>市政基础设施</v>
      </c>
      <c r="AA39" s="1535">
        <f t="shared" si="15"/>
        <v>1</v>
      </c>
      <c r="AB39" s="1535">
        <f t="shared" si="16"/>
        <v>1</v>
      </c>
      <c r="AC39" s="1535">
        <f t="shared" si="17"/>
        <v>1</v>
      </c>
    </row>
    <row r="40" spans="1:29" ht="15">
      <c r="A40" s="428"/>
      <c r="B40" s="378" t="s">
        <v>2369</v>
      </c>
      <c r="C40" s="2089"/>
      <c r="D40" s="391">
        <v>100</v>
      </c>
      <c r="E40" s="2090"/>
      <c r="F40" s="417">
        <f>SUMIF(118:118,E40,119:119)-SUMIF(118:118,C40,119:119)+100</f>
        <v>100</v>
      </c>
      <c r="G40" s="2089"/>
      <c r="H40" s="391">
        <f>SUMIF(118:118,G40,119:119)-SUMIF(118:118,C40,119:119)+100</f>
        <v>100</v>
      </c>
      <c r="I40" s="2090"/>
      <c r="J40" s="391">
        <f>SUMIF(118:118,I40,119:119)-SUMIF(118:118,C40,119:119)+100</f>
        <v>100</v>
      </c>
      <c r="K40" s="382"/>
      <c r="L40" s="2948"/>
      <c r="M40" s="2942"/>
      <c r="N40" s="2942"/>
      <c r="O40" s="2942"/>
      <c r="P40" s="3376"/>
      <c r="Q40" s="1534" t="str">
        <f t="shared" si="11"/>
        <v>房型</v>
      </c>
      <c r="R40" s="711" t="s">
        <v>18</v>
      </c>
      <c r="S40" s="712">
        <f t="shared" si="12"/>
        <v>100</v>
      </c>
      <c r="T40" s="711" t="s">
        <v>18</v>
      </c>
      <c r="U40" s="712">
        <f t="shared" si="13"/>
        <v>100</v>
      </c>
      <c r="V40" s="711" t="s">
        <v>18</v>
      </c>
      <c r="W40" s="712">
        <f t="shared" si="14"/>
        <v>100</v>
      </c>
      <c r="X40" s="1537"/>
      <c r="Y40" s="3337"/>
      <c r="Z40" s="1538" t="str">
        <f t="shared" si="18"/>
        <v>房型</v>
      </c>
      <c r="AA40" s="1535">
        <f t="shared" si="15"/>
        <v>1</v>
      </c>
      <c r="AB40" s="1535">
        <f t="shared" si="16"/>
        <v>1</v>
      </c>
      <c r="AC40" s="1535">
        <f t="shared" si="17"/>
        <v>1</v>
      </c>
    </row>
    <row r="41" spans="1:29" s="427" customFormat="1" ht="28.5">
      <c r="A41" s="424"/>
      <c r="B41" s="378" t="s">
        <v>2370</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7"/>
      <c r="L41" s="2947"/>
      <c r="M41" s="2949"/>
      <c r="N41" s="2949"/>
      <c r="O41" s="2949"/>
      <c r="P41" s="3376"/>
      <c r="Q41" s="713" t="str">
        <f t="shared" si="11"/>
        <v>单套/主力户型建筑面积</v>
      </c>
      <c r="R41" s="714" t="s">
        <v>18</v>
      </c>
      <c r="S41" s="715">
        <f t="shared" si="12"/>
        <v>100</v>
      </c>
      <c r="T41" s="714" t="s">
        <v>18</v>
      </c>
      <c r="U41" s="715">
        <f t="shared" si="13"/>
        <v>100</v>
      </c>
      <c r="V41" s="714" t="s">
        <v>18</v>
      </c>
      <c r="W41" s="715">
        <f t="shared" si="14"/>
        <v>100</v>
      </c>
      <c r="X41" s="716"/>
      <c r="Y41" s="3337"/>
      <c r="Z41" s="717" t="str">
        <f t="shared" si="18"/>
        <v>单套/主力户型建筑面积</v>
      </c>
      <c r="AA41" s="1535">
        <f t="shared" si="15"/>
        <v>1</v>
      </c>
      <c r="AB41" s="1535">
        <f t="shared" si="16"/>
        <v>1</v>
      </c>
      <c r="AC41" s="1535">
        <f t="shared" si="17"/>
        <v>1</v>
      </c>
    </row>
    <row r="42" spans="1:29" ht="15">
      <c r="A42" s="428"/>
      <c r="B42" s="378" t="s">
        <v>2371</v>
      </c>
      <c r="C42" s="2089"/>
      <c r="D42" s="391">
        <v>100</v>
      </c>
      <c r="E42" s="2090"/>
      <c r="F42" s="417">
        <f>SUMIF(122:122,E42,123:123)-SUMIF(122:122,C42,123:123)+100</f>
        <v>100</v>
      </c>
      <c r="G42" s="2089"/>
      <c r="H42" s="391">
        <f>SUMIF(122:122,G42,123:123)-SUMIF(122:122,C42,123:123)+100</f>
        <v>100</v>
      </c>
      <c r="I42" s="2090"/>
      <c r="J42" s="391">
        <f>SUMIF(122:122,I42,123:123)-SUMIF(122:122,C42,123:123)+100</f>
        <v>100</v>
      </c>
      <c r="K42" s="382"/>
      <c r="L42" s="2948"/>
      <c r="M42" s="2942"/>
      <c r="N42" s="2942"/>
      <c r="O42" s="2942"/>
      <c r="P42" s="3376"/>
      <c r="Q42" s="1534" t="str">
        <f t="shared" si="11"/>
        <v>内部装修</v>
      </c>
      <c r="R42" s="711" t="s">
        <v>18</v>
      </c>
      <c r="S42" s="712">
        <f t="shared" si="12"/>
        <v>100</v>
      </c>
      <c r="T42" s="711" t="s">
        <v>18</v>
      </c>
      <c r="U42" s="712">
        <f t="shared" si="13"/>
        <v>100</v>
      </c>
      <c r="V42" s="711" t="s">
        <v>18</v>
      </c>
      <c r="W42" s="712">
        <f t="shared" si="14"/>
        <v>100</v>
      </c>
      <c r="X42" s="1537"/>
      <c r="Y42" s="3337"/>
      <c r="Z42" s="1538" t="str">
        <f t="shared" si="18"/>
        <v>内部装修</v>
      </c>
      <c r="AA42" s="1535">
        <f t="shared" si="15"/>
        <v>1</v>
      </c>
      <c r="AB42" s="1535">
        <f t="shared" si="16"/>
        <v>1</v>
      </c>
      <c r="AC42" s="1535">
        <f t="shared" si="17"/>
        <v>1</v>
      </c>
    </row>
    <row r="43" spans="1:29" ht="15">
      <c r="A43" s="428"/>
      <c r="B43" s="378" t="s">
        <v>2372</v>
      </c>
      <c r="C43" s="2089"/>
      <c r="D43" s="391">
        <v>100</v>
      </c>
      <c r="E43" s="2090"/>
      <c r="F43" s="417">
        <f>SUMIF(124:124,E43,125:125)-SUMIF(124:124,C43,125:125)+100</f>
        <v>100</v>
      </c>
      <c r="G43" s="2089"/>
      <c r="H43" s="391">
        <f>SUMIF(124:124,G43,125:125)-SUMIF(124:124,C43,125:125)+100</f>
        <v>100</v>
      </c>
      <c r="I43" s="2090"/>
      <c r="J43" s="391">
        <f>SUMIF(124:124,I43,125:125)-SUMIF(124:124,C43,125:125)+100</f>
        <v>100</v>
      </c>
      <c r="K43" s="382"/>
      <c r="L43" s="2948"/>
      <c r="M43" s="2942"/>
      <c r="N43" s="2942"/>
      <c r="O43" s="2942"/>
      <c r="P43" s="3376"/>
      <c r="Q43" s="1534" t="str">
        <f t="shared" si="11"/>
        <v>内部装修维护情况</v>
      </c>
      <c r="R43" s="711" t="s">
        <v>18</v>
      </c>
      <c r="S43" s="712">
        <f t="shared" si="12"/>
        <v>100</v>
      </c>
      <c r="T43" s="711" t="s">
        <v>18</v>
      </c>
      <c r="U43" s="712">
        <f t="shared" si="13"/>
        <v>100</v>
      </c>
      <c r="V43" s="711" t="s">
        <v>18</v>
      </c>
      <c r="W43" s="712">
        <f t="shared" si="14"/>
        <v>100</v>
      </c>
      <c r="X43" s="1537"/>
      <c r="Y43" s="3337"/>
      <c r="Z43" s="1538" t="str">
        <f t="shared" si="18"/>
        <v>内部装修维护情况</v>
      </c>
      <c r="AA43" s="1535">
        <f t="shared" si="15"/>
        <v>1</v>
      </c>
      <c r="AB43" s="1535">
        <f t="shared" si="16"/>
        <v>1</v>
      </c>
      <c r="AC43" s="1535">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7"/>
      <c r="L44" s="2943"/>
      <c r="M44" s="2944"/>
      <c r="N44" s="2944"/>
      <c r="O44" s="2944"/>
      <c r="P44" s="3376"/>
      <c r="Q44" s="1525">
        <f t="shared" si="11"/>
        <v>111</v>
      </c>
      <c r="R44" s="707" t="s">
        <v>18</v>
      </c>
      <c r="S44" s="708">
        <f t="shared" si="12"/>
        <v>100</v>
      </c>
      <c r="T44" s="707" t="s">
        <v>18</v>
      </c>
      <c r="U44" s="708">
        <f t="shared" si="13"/>
        <v>100</v>
      </c>
      <c r="V44" s="707" t="s">
        <v>18</v>
      </c>
      <c r="W44" s="708">
        <f t="shared" si="14"/>
        <v>100</v>
      </c>
      <c r="X44" s="709"/>
      <c r="Y44" s="3337"/>
      <c r="Z44" s="52">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7"/>
      <c r="L45" s="2948"/>
      <c r="M45" s="2942"/>
      <c r="N45" s="2942"/>
      <c r="O45" s="2942"/>
      <c r="P45" s="3376"/>
      <c r="Q45" s="1534">
        <f t="shared" si="11"/>
        <v>111</v>
      </c>
      <c r="R45" s="711" t="s">
        <v>18</v>
      </c>
      <c r="S45" s="712">
        <f t="shared" si="12"/>
        <v>100</v>
      </c>
      <c r="T45" s="711" t="s">
        <v>18</v>
      </c>
      <c r="U45" s="712">
        <f t="shared" si="13"/>
        <v>100</v>
      </c>
      <c r="V45" s="711" t="s">
        <v>18</v>
      </c>
      <c r="W45" s="712">
        <f t="shared" si="14"/>
        <v>100</v>
      </c>
      <c r="X45" s="1537"/>
      <c r="Y45" s="3337"/>
      <c r="Z45" s="1538">
        <f t="shared" si="18"/>
        <v>111</v>
      </c>
      <c r="AA45" s="1535">
        <f t="shared" si="15"/>
        <v>1</v>
      </c>
      <c r="AB45" s="1535">
        <f t="shared" si="16"/>
        <v>1</v>
      </c>
      <c r="AC45" s="1535">
        <f t="shared" si="17"/>
        <v>1</v>
      </c>
    </row>
    <row r="46" spans="1:29" ht="15.75" thickBot="1">
      <c r="A46" s="434"/>
      <c r="B46" s="2078">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7"/>
      <c r="L46" s="2948"/>
      <c r="M46" s="2942"/>
      <c r="N46" s="2942"/>
      <c r="O46" s="2942"/>
      <c r="P46" s="3377"/>
      <c r="Q46" s="1534">
        <f t="shared" si="11"/>
        <v>111</v>
      </c>
      <c r="R46" s="711" t="s">
        <v>17</v>
      </c>
      <c r="S46" s="712">
        <f t="shared" si="12"/>
        <v>100</v>
      </c>
      <c r="T46" s="711" t="s">
        <v>17</v>
      </c>
      <c r="U46" s="712">
        <f t="shared" si="13"/>
        <v>100</v>
      </c>
      <c r="V46" s="711" t="s">
        <v>17</v>
      </c>
      <c r="W46" s="712">
        <f t="shared" si="14"/>
        <v>100</v>
      </c>
      <c r="X46" s="1537"/>
      <c r="Y46" s="3378"/>
      <c r="Z46" s="1538">
        <f t="shared" si="18"/>
        <v>111</v>
      </c>
      <c r="AA46" s="1535">
        <f t="shared" si="15"/>
        <v>1</v>
      </c>
      <c r="AB46" s="1535">
        <f t="shared" si="16"/>
        <v>1</v>
      </c>
      <c r="AC46" s="1535">
        <f t="shared" si="17"/>
        <v>1</v>
      </c>
    </row>
    <row r="47" spans="1:29" ht="15">
      <c r="A47" s="435" t="s">
        <v>2373</v>
      </c>
      <c r="B47" s="436"/>
      <c r="C47" s="1313" t="s">
        <v>16</v>
      </c>
      <c r="D47" s="1314"/>
      <c r="E47" s="1315"/>
      <c r="F47" s="1316"/>
      <c r="G47" s="1317"/>
      <c r="H47" s="1318"/>
      <c r="I47" s="1315"/>
      <c r="J47" s="1318"/>
      <c r="K47" s="2097"/>
      <c r="L47" s="2950"/>
      <c r="M47" s="2951"/>
      <c r="N47" s="2942"/>
      <c r="O47" s="2951"/>
      <c r="P47" s="3319" t="str">
        <f>A47</f>
        <v>成交单价（元/平方米）</v>
      </c>
      <c r="Q47" s="3319"/>
      <c r="R47" s="3374">
        <f>E47</f>
        <v>0</v>
      </c>
      <c r="S47" s="3374"/>
      <c r="T47" s="3374">
        <f>G47</f>
        <v>0</v>
      </c>
      <c r="U47" s="3374"/>
      <c r="V47" s="3374">
        <f>I47</f>
        <v>0</v>
      </c>
      <c r="W47" s="3374"/>
      <c r="X47" s="696"/>
      <c r="Y47" s="718"/>
      <c r="Z47" s="696"/>
      <c r="AA47" s="696"/>
      <c r="AB47" s="696"/>
      <c r="AC47" s="696"/>
    </row>
    <row r="48" spans="1:29" ht="15.75" thickBot="1">
      <c r="A48" s="442" t="s">
        <v>2374</v>
      </c>
      <c r="B48" s="443"/>
      <c r="C48" s="1319" t="e">
        <f>R49</f>
        <v>#DIV/0!</v>
      </c>
      <c r="D48" s="2535" t="s">
        <v>2856</v>
      </c>
      <c r="E48" s="1320" t="e">
        <f>R48</f>
        <v>#DIV/0!</v>
      </c>
      <c r="F48" s="2536"/>
      <c r="G48" s="1319" t="e">
        <f>T48</f>
        <v>#DIV/0!</v>
      </c>
      <c r="H48" s="2536"/>
      <c r="I48" s="1320" t="e">
        <f>V48</f>
        <v>#DIV/0!</v>
      </c>
      <c r="J48" s="2536"/>
      <c r="K48" s="2537">
        <f>F48+H48+J48</f>
        <v>0</v>
      </c>
      <c r="L48" s="2950"/>
      <c r="M48" s="2951"/>
      <c r="N48" s="2951"/>
      <c r="O48" s="2951"/>
      <c r="P48" s="3319" t="str">
        <f>A48</f>
        <v>比较价值（元/平方米）</v>
      </c>
      <c r="Q48" s="331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696"/>
      <c r="Y48" s="696"/>
      <c r="Z48" s="696"/>
      <c r="AA48" s="696"/>
      <c r="AB48" s="696"/>
      <c r="AC48" s="696"/>
    </row>
    <row r="49" spans="1:29" ht="15.75" thickBot="1">
      <c r="A49" s="446" t="s">
        <v>2375</v>
      </c>
      <c r="B49" s="447"/>
      <c r="C49" s="1321" t="e">
        <f>R49</f>
        <v>#DIV/0!</v>
      </c>
      <c r="D49" s="1322"/>
      <c r="E49" s="1322"/>
      <c r="F49" s="1322"/>
      <c r="G49" s="1322"/>
      <c r="H49" s="1322"/>
      <c r="I49" s="1322"/>
      <c r="J49" s="1322"/>
      <c r="K49" s="2098"/>
      <c r="L49" s="2950"/>
      <c r="M49" s="2951"/>
      <c r="N49" s="2951"/>
      <c r="O49" s="2951"/>
      <c r="P49" s="3339" t="str">
        <f>A49</f>
        <v>估价对象XX用房的比较价值（楼面单价，元/平方米）</v>
      </c>
      <c r="Q49" s="3340"/>
      <c r="R49" s="3373" t="e">
        <f>IF(F1="售价",ROUND(IF(D48="简单平均",AVERAGE(R48:V48),R48*F48+T48*H48+V48*J48),0),ROUND(IF(D48="简单平均",AVERAGE(R48:V48),R48*F48+T48*H48+V48*J48),1))</f>
        <v>#DIV/0!</v>
      </c>
      <c r="S49" s="3373"/>
      <c r="T49" s="3373"/>
      <c r="U49" s="3373"/>
      <c r="V49" s="3373"/>
      <c r="W49" s="3373"/>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1" t="s">
        <v>2376</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row>
    <row r="53" spans="1:29" ht="13.5" customHeight="1">
      <c r="A53" s="2951"/>
      <c r="B53" s="2951"/>
      <c r="C53" s="451" t="s">
        <v>2377</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row>
    <row r="54" spans="1:29" s="456" customFormat="1" ht="13.5" customHeight="1">
      <c r="A54" s="2954"/>
      <c r="B54" s="2954"/>
      <c r="C54" s="451" t="s">
        <v>2378</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100"/>
    </row>
    <row r="55" spans="1:29" s="456"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0" t="s">
        <v>2379</v>
      </c>
      <c r="B57" s="696"/>
      <c r="C57" s="701"/>
      <c r="D57" s="701"/>
      <c r="E57" s="701"/>
      <c r="F57" s="702"/>
      <c r="G57" s="702"/>
      <c r="H57" s="701"/>
      <c r="I57" s="701"/>
      <c r="J57" s="701"/>
      <c r="K57" s="1069"/>
      <c r="L57" s="1070"/>
      <c r="M57" s="1068"/>
      <c r="N57" s="1068"/>
      <c r="O57" s="1068"/>
      <c r="P57" s="2101"/>
      <c r="Q57" s="458"/>
    </row>
    <row r="58" spans="1:29" s="462" customFormat="1" ht="15">
      <c r="A58" s="459" t="s">
        <v>2380</v>
      </c>
      <c r="B58" s="460"/>
      <c r="C58" s="1345" t="str">
        <f>YEAR(C7)&amp;"-"&amp;MONTH(C7)</f>
        <v>2021-2</v>
      </c>
      <c r="D58" s="1344">
        <f>EDATE(C58,-1)</f>
        <v>44197</v>
      </c>
      <c r="E58" s="1344">
        <f>EDATE(D58,-1)</f>
        <v>44166</v>
      </c>
      <c r="F58" s="1344">
        <f t="shared" ref="F58:O58" si="19">EDATE(E58,-1)</f>
        <v>44136</v>
      </c>
      <c r="G58" s="1344">
        <f t="shared" si="19"/>
        <v>44105</v>
      </c>
      <c r="H58" s="1344">
        <f t="shared" si="19"/>
        <v>44075</v>
      </c>
      <c r="I58" s="1344">
        <f t="shared" si="19"/>
        <v>44044</v>
      </c>
      <c r="J58" s="1344">
        <f t="shared" si="19"/>
        <v>44013</v>
      </c>
      <c r="K58" s="1344">
        <f t="shared" si="19"/>
        <v>43983</v>
      </c>
      <c r="L58" s="1344">
        <f t="shared" si="19"/>
        <v>43952</v>
      </c>
      <c r="M58" s="1344">
        <f t="shared" si="19"/>
        <v>43922</v>
      </c>
      <c r="N58" s="1344">
        <f t="shared" si="19"/>
        <v>43891</v>
      </c>
      <c r="O58" s="1344">
        <f t="shared" si="19"/>
        <v>43862</v>
      </c>
      <c r="P58" s="1340"/>
    </row>
    <row r="59" spans="1:29" s="110" customFormat="1" ht="15">
      <c r="A59" s="463"/>
      <c r="B59" s="2102"/>
      <c r="C59" s="1342">
        <v>100</v>
      </c>
      <c r="D59" s="465"/>
      <c r="E59" s="466"/>
      <c r="F59" s="466"/>
      <c r="G59" s="466"/>
      <c r="H59" s="466"/>
      <c r="I59" s="466"/>
      <c r="J59" s="466"/>
      <c r="K59" s="466"/>
      <c r="L59" s="466"/>
      <c r="M59" s="467"/>
      <c r="N59" s="466"/>
      <c r="O59" s="467"/>
      <c r="P59" s="2103"/>
    </row>
    <row r="60" spans="1:29" s="110" customFormat="1" ht="15.75" thickBot="1">
      <c r="A60" s="469" t="s">
        <v>2381</v>
      </c>
      <c r="B60" s="470"/>
      <c r="C60" s="471"/>
      <c r="D60" s="472"/>
      <c r="E60" s="472"/>
      <c r="F60" s="472"/>
      <c r="G60" s="472"/>
      <c r="H60" s="472"/>
      <c r="I60" s="472"/>
      <c r="J60" s="472"/>
      <c r="K60" s="472"/>
      <c r="L60" s="472"/>
      <c r="M60" s="473"/>
      <c r="N60" s="472"/>
      <c r="O60" s="473"/>
      <c r="P60" s="2103"/>
      <c r="Q60" s="458"/>
    </row>
    <row r="61" spans="1:29" s="110" customFormat="1" ht="15">
      <c r="A61" s="475" t="s">
        <v>2382</v>
      </c>
      <c r="B61" s="464"/>
      <c r="C61" s="476" t="s">
        <v>2383</v>
      </c>
      <c r="D61" s="477"/>
      <c r="E61" s="477"/>
      <c r="F61" s="477"/>
      <c r="G61" s="477"/>
      <c r="H61" s="477"/>
      <c r="I61" s="477"/>
      <c r="J61" s="477"/>
      <c r="K61" s="477"/>
      <c r="L61" s="478"/>
      <c r="M61" s="479"/>
      <c r="N61" s="1060"/>
      <c r="O61" s="1060"/>
      <c r="P61" s="2104"/>
      <c r="Q61" s="458"/>
    </row>
    <row r="62" spans="1:29" s="110" customFormat="1" ht="15.75" thickBot="1">
      <c r="A62" s="475"/>
      <c r="B62" s="464"/>
      <c r="C62" s="465">
        <v>100</v>
      </c>
      <c r="D62" s="466"/>
      <c r="E62" s="466"/>
      <c r="F62" s="466"/>
      <c r="G62" s="466"/>
      <c r="H62" s="466"/>
      <c r="I62" s="466"/>
      <c r="J62" s="466"/>
      <c r="K62" s="466"/>
      <c r="L62" s="466"/>
      <c r="M62" s="468"/>
      <c r="N62" s="1060"/>
      <c r="O62" s="1060"/>
      <c r="P62" s="2103"/>
      <c r="Q62" s="458"/>
    </row>
    <row r="63" spans="1:29">
      <c r="A63" s="481" t="s">
        <v>2384</v>
      </c>
      <c r="B63" s="482" t="s">
        <v>2350</v>
      </c>
      <c r="C63" s="483">
        <f>C9</f>
        <v>0</v>
      </c>
      <c r="D63" s="484"/>
      <c r="E63" s="484"/>
      <c r="F63" s="484"/>
      <c r="G63" s="484"/>
      <c r="H63" s="484"/>
      <c r="I63" s="484"/>
      <c r="J63" s="484"/>
      <c r="K63" s="485"/>
      <c r="L63" s="486"/>
      <c r="M63" s="487"/>
      <c r="N63" s="1061"/>
      <c r="O63" s="1061"/>
      <c r="P63" s="2105"/>
      <c r="Q63" s="458"/>
    </row>
    <row r="64" spans="1:29" ht="15.75" thickBot="1">
      <c r="A64" s="488"/>
      <c r="B64" s="489"/>
      <c r="C64" s="490">
        <v>100</v>
      </c>
      <c r="D64" s="490"/>
      <c r="E64" s="490"/>
      <c r="F64" s="490"/>
      <c r="G64" s="490"/>
      <c r="H64" s="490"/>
      <c r="I64" s="490"/>
      <c r="J64" s="490"/>
      <c r="K64" s="490"/>
      <c r="L64" s="490"/>
      <c r="M64" s="491"/>
      <c r="N64" s="1062"/>
      <c r="O64" s="1062"/>
      <c r="P64" s="2105"/>
      <c r="Q64" s="458"/>
    </row>
    <row r="65" spans="1:17" ht="27.75" thickTop="1">
      <c r="A65" s="488"/>
      <c r="B65" s="492" t="s">
        <v>2353</v>
      </c>
      <c r="C65" s="493" t="s">
        <v>2385</v>
      </c>
      <c r="D65" s="493" t="s">
        <v>2386</v>
      </c>
      <c r="E65" s="493" t="s">
        <v>2387</v>
      </c>
      <c r="F65" s="493" t="s">
        <v>2388</v>
      </c>
      <c r="G65" s="493" t="s">
        <v>2389</v>
      </c>
      <c r="H65" s="493" t="s">
        <v>2390</v>
      </c>
      <c r="I65" s="493" t="s">
        <v>2391</v>
      </c>
      <c r="J65" s="493"/>
      <c r="K65" s="494"/>
      <c r="L65" s="495"/>
      <c r="M65" s="496"/>
      <c r="N65" s="1061"/>
      <c r="O65" s="1061"/>
      <c r="P65" s="2105"/>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5"/>
      <c r="Q66" s="458"/>
    </row>
    <row r="67" spans="1:17" ht="15.75" thickTop="1">
      <c r="A67" s="488"/>
      <c r="B67" s="500" t="s">
        <v>2354</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5"/>
      <c r="Q67" s="458"/>
    </row>
    <row r="68" spans="1:17" ht="15">
      <c r="A68" s="488"/>
      <c r="B68" s="502"/>
      <c r="C68" s="503"/>
      <c r="D68" s="503"/>
      <c r="E68" s="503"/>
      <c r="F68" s="503"/>
      <c r="G68" s="503"/>
      <c r="H68" s="503"/>
      <c r="I68" s="503"/>
      <c r="J68" s="503"/>
      <c r="K68" s="504"/>
      <c r="L68" s="505"/>
      <c r="M68" s="506"/>
      <c r="N68" s="1061"/>
      <c r="O68" s="1061"/>
      <c r="P68" s="2105"/>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5"/>
      <c r="Q69" s="458"/>
    </row>
    <row r="70" spans="1:17" s="427" customFormat="1" ht="15.75" thickTop="1">
      <c r="A70" s="507"/>
      <c r="B70" s="492">
        <f>B12</f>
        <v>111</v>
      </c>
      <c r="C70" s="508"/>
      <c r="D70" s="508"/>
      <c r="E70" s="508"/>
      <c r="F70" s="508"/>
      <c r="G70" s="508"/>
      <c r="H70" s="509"/>
      <c r="I70" s="509"/>
      <c r="J70" s="509"/>
      <c r="K70" s="509"/>
      <c r="L70" s="510"/>
      <c r="M70" s="511"/>
      <c r="N70" s="1063"/>
      <c r="O70" s="1063"/>
      <c r="P70" s="2106"/>
      <c r="Q70" s="513"/>
    </row>
    <row r="71" spans="1:17" s="427" customFormat="1" ht="15.75" thickBot="1">
      <c r="A71" s="507"/>
      <c r="B71" s="497"/>
      <c r="C71" s="514"/>
      <c r="D71" s="490"/>
      <c r="E71" s="490"/>
      <c r="F71" s="490"/>
      <c r="G71" s="490"/>
      <c r="H71" s="490"/>
      <c r="I71" s="490"/>
      <c r="J71" s="490"/>
      <c r="K71" s="490"/>
      <c r="L71" s="490"/>
      <c r="M71" s="491"/>
      <c r="N71" s="1062"/>
      <c r="O71" s="1062"/>
      <c r="P71" s="2106"/>
      <c r="Q71" s="513"/>
    </row>
    <row r="72" spans="1:17" s="427" customFormat="1" ht="15.75" thickTop="1">
      <c r="A72" s="507"/>
      <c r="B72" s="492">
        <f>B13</f>
        <v>111</v>
      </c>
      <c r="C72" s="508"/>
      <c r="D72" s="508"/>
      <c r="E72" s="508"/>
      <c r="F72" s="508"/>
      <c r="G72" s="508"/>
      <c r="H72" s="509"/>
      <c r="I72" s="509"/>
      <c r="J72" s="509"/>
      <c r="K72" s="509"/>
      <c r="L72" s="510"/>
      <c r="M72" s="511"/>
      <c r="N72" s="1063"/>
      <c r="O72" s="1063"/>
      <c r="P72" s="2107"/>
      <c r="Q72" s="515"/>
    </row>
    <row r="73" spans="1:17" s="427" customFormat="1" ht="15.75" thickBot="1">
      <c r="A73" s="507"/>
      <c r="B73" s="497"/>
      <c r="C73" s="514"/>
      <c r="D73" s="514"/>
      <c r="E73" s="514"/>
      <c r="F73" s="514"/>
      <c r="G73" s="514"/>
      <c r="H73" s="516"/>
      <c r="I73" s="516"/>
      <c r="J73" s="516"/>
      <c r="K73" s="516"/>
      <c r="L73" s="516"/>
      <c r="M73" s="517"/>
      <c r="N73" s="1063"/>
      <c r="O73" s="1063"/>
      <c r="P73" s="2106"/>
      <c r="Q73" s="513"/>
    </row>
    <row r="74" spans="1:17" s="427" customFormat="1" ht="15.75" thickTop="1">
      <c r="A74" s="507"/>
      <c r="B74" s="500">
        <f>B14</f>
        <v>111</v>
      </c>
      <c r="C74" s="508"/>
      <c r="D74" s="508"/>
      <c r="E74" s="508"/>
      <c r="F74" s="508"/>
      <c r="G74" s="477"/>
      <c r="H74" s="518"/>
      <c r="I74" s="518"/>
      <c r="J74" s="518"/>
      <c r="K74" s="518"/>
      <c r="L74" s="519"/>
      <c r="M74" s="520"/>
      <c r="N74" s="1063"/>
      <c r="O74" s="1063"/>
      <c r="P74" s="2108"/>
      <c r="Q74" s="513"/>
    </row>
    <row r="75" spans="1:17" s="427" customFormat="1" ht="15.75" thickBot="1">
      <c r="A75" s="522"/>
      <c r="B75" s="523"/>
      <c r="C75" s="524"/>
      <c r="D75" s="524"/>
      <c r="E75" s="524"/>
      <c r="F75" s="524"/>
      <c r="G75" s="524"/>
      <c r="H75" s="525"/>
      <c r="I75" s="525"/>
      <c r="J75" s="525"/>
      <c r="K75" s="525"/>
      <c r="L75" s="525"/>
      <c r="M75" s="526"/>
      <c r="N75" s="1063"/>
      <c r="O75" s="1063"/>
      <c r="P75" s="2106"/>
      <c r="Q75" s="513"/>
    </row>
    <row r="76" spans="1:17">
      <c r="A76" s="481" t="s">
        <v>2355</v>
      </c>
      <c r="B76" s="482" t="s">
        <v>2392</v>
      </c>
      <c r="C76" s="527" t="s">
        <v>2393</v>
      </c>
      <c r="D76" s="527" t="s">
        <v>2394</v>
      </c>
      <c r="E76" s="527" t="s">
        <v>2395</v>
      </c>
      <c r="F76" s="527" t="s">
        <v>2396</v>
      </c>
      <c r="G76" s="527" t="s">
        <v>2397</v>
      </c>
      <c r="H76" s="483"/>
      <c r="I76" s="483"/>
      <c r="J76" s="483"/>
      <c r="K76" s="528"/>
      <c r="L76" s="529"/>
      <c r="M76" s="530"/>
      <c r="N76" s="1061"/>
      <c r="O76" s="1061"/>
      <c r="P76" s="2109"/>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5"/>
      <c r="Q77" s="458"/>
    </row>
    <row r="78" spans="1:17" ht="15.75" thickTop="1">
      <c r="A78" s="488"/>
      <c r="B78" s="492" t="s">
        <v>2398</v>
      </c>
      <c r="C78" s="532" t="s">
        <v>2393</v>
      </c>
      <c r="D78" s="532" t="s">
        <v>2394</v>
      </c>
      <c r="E78" s="532" t="s">
        <v>2395</v>
      </c>
      <c r="F78" s="532" t="s">
        <v>2396</v>
      </c>
      <c r="G78" s="532" t="s">
        <v>2397</v>
      </c>
      <c r="H78" s="493"/>
      <c r="I78" s="493"/>
      <c r="J78" s="493"/>
      <c r="K78" s="494"/>
      <c r="L78" s="495"/>
      <c r="M78" s="496"/>
      <c r="N78" s="1061"/>
      <c r="O78" s="1061"/>
      <c r="P78" s="2105"/>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5"/>
      <c r="Q79" s="458"/>
    </row>
    <row r="80" spans="1:17" ht="15.75" thickTop="1">
      <c r="A80" s="488"/>
      <c r="B80" s="492" t="s">
        <v>2399</v>
      </c>
      <c r="C80" s="532" t="s">
        <v>2393</v>
      </c>
      <c r="D80" s="532" t="s">
        <v>2394</v>
      </c>
      <c r="E80" s="532" t="s">
        <v>2395</v>
      </c>
      <c r="F80" s="532" t="s">
        <v>2396</v>
      </c>
      <c r="G80" s="532" t="s">
        <v>2397</v>
      </c>
      <c r="H80" s="493"/>
      <c r="I80" s="493"/>
      <c r="J80" s="493"/>
      <c r="K80" s="494"/>
      <c r="L80" s="495"/>
      <c r="M80" s="496"/>
      <c r="N80" s="1061"/>
      <c r="O80" s="1061"/>
      <c r="P80" s="2105"/>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5"/>
      <c r="Q81" s="458"/>
    </row>
    <row r="82" spans="1:17" ht="15.75" thickTop="1">
      <c r="A82" s="488"/>
      <c r="B82" s="500" t="s">
        <v>1924</v>
      </c>
      <c r="C82" s="493" t="s">
        <v>2400</v>
      </c>
      <c r="D82" s="493" t="s">
        <v>2401</v>
      </c>
      <c r="E82" s="493" t="s">
        <v>2402</v>
      </c>
      <c r="F82" s="493" t="s">
        <v>2403</v>
      </c>
      <c r="G82" s="493" t="s">
        <v>2404</v>
      </c>
      <c r="H82" s="493"/>
      <c r="I82" s="493"/>
      <c r="J82" s="493"/>
      <c r="K82" s="493"/>
      <c r="L82" s="493"/>
      <c r="M82" s="1288"/>
      <c r="N82" s="1062"/>
      <c r="O82" s="1062"/>
      <c r="P82" s="2105"/>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5"/>
      <c r="Q83" s="458"/>
    </row>
    <row r="84" spans="1:17" ht="15.75" thickTop="1">
      <c r="A84" s="488"/>
      <c r="B84" s="492" t="s">
        <v>2405</v>
      </c>
      <c r="C84" s="532" t="s">
        <v>2393</v>
      </c>
      <c r="D84" s="532" t="s">
        <v>2394</v>
      </c>
      <c r="E84" s="532" t="s">
        <v>2395</v>
      </c>
      <c r="F84" s="532" t="s">
        <v>2396</v>
      </c>
      <c r="G84" s="532" t="s">
        <v>2397</v>
      </c>
      <c r="H84" s="493"/>
      <c r="I84" s="493"/>
      <c r="J84" s="493"/>
      <c r="K84" s="494"/>
      <c r="L84" s="495"/>
      <c r="M84" s="496"/>
      <c r="N84" s="1061"/>
      <c r="O84" s="1061"/>
      <c r="P84" s="2105"/>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5"/>
      <c r="Q85" s="458"/>
    </row>
    <row r="86" spans="1:17" s="110" customFormat="1" ht="15.75" thickTop="1">
      <c r="A86" s="533"/>
      <c r="B86" s="492" t="s">
        <v>2406</v>
      </c>
      <c r="C86" s="508"/>
      <c r="D86" s="508"/>
      <c r="E86" s="508"/>
      <c r="F86" s="508"/>
      <c r="G86" s="508"/>
      <c r="H86" s="508"/>
      <c r="I86" s="508"/>
      <c r="J86" s="508"/>
      <c r="K86" s="508"/>
      <c r="L86" s="534"/>
      <c r="M86" s="535"/>
      <c r="N86" s="1060"/>
      <c r="O86" s="1060"/>
      <c r="P86" s="2105"/>
      <c r="Q86" s="458"/>
    </row>
    <row r="87" spans="1:17" s="110"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5"/>
      <c r="Q87" s="458"/>
    </row>
    <row r="88" spans="1:17" s="110" customFormat="1" ht="15.75" thickTop="1">
      <c r="A88" s="533"/>
      <c r="B88" s="492" t="s">
        <v>2407</v>
      </c>
      <c r="C88" s="508"/>
      <c r="D88" s="508"/>
      <c r="E88" s="508"/>
      <c r="F88" s="2110"/>
      <c r="G88" s="508"/>
      <c r="H88" s="508"/>
      <c r="I88" s="508"/>
      <c r="J88" s="508"/>
      <c r="K88" s="508"/>
      <c r="L88" s="508"/>
      <c r="M88" s="535"/>
      <c r="N88" s="1060"/>
      <c r="O88" s="1060"/>
      <c r="P88" s="2105"/>
      <c r="Q88" s="458"/>
    </row>
    <row r="89" spans="1:17" s="110"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5"/>
      <c r="Q89" s="458"/>
    </row>
    <row r="90" spans="1:17" s="427" customFormat="1" ht="15.75" thickTop="1">
      <c r="A90" s="507"/>
      <c r="B90" s="492">
        <f>B27</f>
        <v>111</v>
      </c>
      <c r="C90" s="508"/>
      <c r="D90" s="508"/>
      <c r="E90" s="508"/>
      <c r="F90" s="508"/>
      <c r="G90" s="508"/>
      <c r="H90" s="509"/>
      <c r="I90" s="509"/>
      <c r="J90" s="509"/>
      <c r="K90" s="509"/>
      <c r="L90" s="510"/>
      <c r="M90" s="511"/>
      <c r="N90" s="1063"/>
      <c r="O90" s="1063"/>
      <c r="P90" s="2106"/>
      <c r="Q90" s="513"/>
    </row>
    <row r="91" spans="1:17" s="427" customFormat="1" ht="15.75" thickBot="1">
      <c r="A91" s="507"/>
      <c r="B91" s="497"/>
      <c r="C91" s="514"/>
      <c r="D91" s="514"/>
      <c r="E91" s="514"/>
      <c r="F91" s="514"/>
      <c r="G91" s="514"/>
      <c r="H91" s="516"/>
      <c r="I91" s="516"/>
      <c r="J91" s="516"/>
      <c r="K91" s="516"/>
      <c r="L91" s="516"/>
      <c r="M91" s="517"/>
      <c r="N91" s="1063"/>
      <c r="O91" s="1063"/>
      <c r="P91" s="2106"/>
      <c r="Q91" s="513"/>
    </row>
    <row r="92" spans="1:17" ht="15.75" thickTop="1">
      <c r="A92" s="488"/>
      <c r="B92" s="492">
        <f>B28</f>
        <v>111</v>
      </c>
      <c r="C92" s="508"/>
      <c r="D92" s="508"/>
      <c r="E92" s="508"/>
      <c r="F92" s="508"/>
      <c r="G92" s="537"/>
      <c r="H92" s="537"/>
      <c r="I92" s="537"/>
      <c r="J92" s="537"/>
      <c r="K92" s="538"/>
      <c r="L92" s="539"/>
      <c r="M92" s="540"/>
      <c r="N92" s="1061"/>
      <c r="O92" s="1061"/>
      <c r="P92" s="2105"/>
      <c r="Q92" s="458"/>
    </row>
    <row r="93" spans="1:17" ht="15.75" thickBot="1">
      <c r="A93" s="488"/>
      <c r="B93" s="497"/>
      <c r="C93" s="514"/>
      <c r="D93" s="490"/>
      <c r="E93" s="490"/>
      <c r="F93" s="490"/>
      <c r="G93" s="490"/>
      <c r="H93" s="490"/>
      <c r="I93" s="490"/>
      <c r="J93" s="490"/>
      <c r="K93" s="490"/>
      <c r="L93" s="490"/>
      <c r="M93" s="491"/>
      <c r="N93" s="1062"/>
      <c r="O93" s="1062"/>
      <c r="P93" s="2105"/>
      <c r="Q93" s="458"/>
    </row>
    <row r="94" spans="1:17" ht="15.75" thickTop="1">
      <c r="A94" s="488"/>
      <c r="B94" s="492">
        <f>B29</f>
        <v>111</v>
      </c>
      <c r="C94" s="508"/>
      <c r="D94" s="508"/>
      <c r="E94" s="508"/>
      <c r="F94" s="508"/>
      <c r="G94" s="537"/>
      <c r="H94" s="537"/>
      <c r="I94" s="537"/>
      <c r="J94" s="537"/>
      <c r="K94" s="538"/>
      <c r="L94" s="539"/>
      <c r="M94" s="540"/>
      <c r="N94" s="1061"/>
      <c r="O94" s="1061"/>
      <c r="P94" s="2105"/>
      <c r="Q94" s="458"/>
    </row>
    <row r="95" spans="1:17" ht="15.75" thickBot="1">
      <c r="A95" s="488"/>
      <c r="B95" s="497"/>
      <c r="C95" s="514"/>
      <c r="D95" s="514"/>
      <c r="E95" s="514"/>
      <c r="F95" s="514"/>
      <c r="G95" s="490"/>
      <c r="H95" s="490"/>
      <c r="I95" s="490"/>
      <c r="J95" s="490"/>
      <c r="K95" s="490"/>
      <c r="L95" s="490"/>
      <c r="M95" s="491"/>
      <c r="N95" s="1062"/>
      <c r="O95" s="1062"/>
      <c r="P95" s="2105"/>
      <c r="Q95" s="458"/>
    </row>
    <row r="96" spans="1:17" ht="15.75" thickTop="1">
      <c r="A96" s="488"/>
      <c r="B96" s="492">
        <f>B30</f>
        <v>111</v>
      </c>
      <c r="C96" s="508"/>
      <c r="D96" s="508"/>
      <c r="E96" s="508"/>
      <c r="F96" s="508"/>
      <c r="G96" s="537"/>
      <c r="H96" s="537"/>
      <c r="I96" s="537"/>
      <c r="J96" s="537"/>
      <c r="K96" s="538"/>
      <c r="L96" s="539"/>
      <c r="M96" s="540"/>
      <c r="N96" s="1061"/>
      <c r="O96" s="1061"/>
      <c r="P96" s="2105"/>
      <c r="Q96" s="458"/>
    </row>
    <row r="97" spans="1:17" ht="15.75" thickBot="1">
      <c r="A97" s="488"/>
      <c r="B97" s="497"/>
      <c r="C97" s="524"/>
      <c r="D97" s="524"/>
      <c r="E97" s="524"/>
      <c r="F97" s="524"/>
      <c r="G97" s="490"/>
      <c r="H97" s="490"/>
      <c r="I97" s="490"/>
      <c r="J97" s="490"/>
      <c r="K97" s="490"/>
      <c r="L97" s="490"/>
      <c r="M97" s="491"/>
      <c r="N97" s="1062"/>
      <c r="O97" s="1062"/>
      <c r="P97" s="2105"/>
      <c r="Q97" s="458"/>
    </row>
    <row r="98" spans="1:17" ht="15.75" thickTop="1">
      <c r="A98" s="488"/>
      <c r="B98" s="500">
        <f>B31</f>
        <v>111</v>
      </c>
      <c r="C98" s="541"/>
      <c r="D98" s="541"/>
      <c r="E98" s="541"/>
      <c r="F98" s="541"/>
      <c r="G98" s="541"/>
      <c r="H98" s="541"/>
      <c r="I98" s="541"/>
      <c r="J98" s="541"/>
      <c r="K98" s="542"/>
      <c r="L98" s="543"/>
      <c r="M98" s="544"/>
      <c r="N98" s="1061"/>
      <c r="O98" s="1061"/>
      <c r="P98" s="2105"/>
      <c r="Q98" s="458"/>
    </row>
    <row r="99" spans="1:17" ht="15.75" thickBot="1">
      <c r="A99" s="2111"/>
      <c r="B99" s="523"/>
      <c r="C99" s="545"/>
      <c r="D99" s="545"/>
      <c r="E99" s="545"/>
      <c r="F99" s="545"/>
      <c r="G99" s="545"/>
      <c r="H99" s="545"/>
      <c r="I99" s="545"/>
      <c r="J99" s="545"/>
      <c r="K99" s="545"/>
      <c r="L99" s="545"/>
      <c r="M99" s="546"/>
      <c r="N99" s="1062"/>
      <c r="O99" s="1062"/>
      <c r="P99" s="2105"/>
      <c r="Q99" s="458"/>
    </row>
    <row r="100" spans="1:17">
      <c r="A100" s="481" t="s">
        <v>2359</v>
      </c>
      <c r="B100" s="482" t="s">
        <v>2408</v>
      </c>
      <c r="C100" s="484"/>
      <c r="D100" s="484"/>
      <c r="E100" s="484"/>
      <c r="F100" s="484"/>
      <c r="G100" s="484"/>
      <c r="H100" s="484"/>
      <c r="I100" s="484"/>
      <c r="J100" s="484"/>
      <c r="K100" s="485"/>
      <c r="L100" s="486"/>
      <c r="M100" s="487"/>
      <c r="N100" s="1061"/>
      <c r="O100" s="1061"/>
      <c r="P100" s="2105"/>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5"/>
      <c r="Q101" s="458"/>
    </row>
    <row r="102" spans="1:17" ht="15.75" thickTop="1">
      <c r="A102" s="488"/>
      <c r="B102" s="492" t="s">
        <v>2409</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5"/>
      <c r="Q102" s="458"/>
    </row>
    <row r="103" spans="1:17" s="427" customFormat="1">
      <c r="A103" s="547"/>
      <c r="B103" s="548"/>
      <c r="C103" s="549"/>
      <c r="D103" s="549"/>
      <c r="E103" s="549"/>
      <c r="F103" s="549"/>
      <c r="G103" s="549"/>
      <c r="H103" s="549"/>
      <c r="I103" s="549"/>
      <c r="J103" s="550"/>
      <c r="K103" s="550"/>
      <c r="L103" s="551"/>
      <c r="M103" s="552"/>
      <c r="N103" s="1063"/>
      <c r="O103" s="1063"/>
      <c r="P103" s="2106"/>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6"/>
      <c r="Q104" s="513"/>
    </row>
    <row r="105" spans="1:17" ht="15" thickTop="1">
      <c r="A105" s="553"/>
      <c r="B105" s="492" t="s">
        <v>2410</v>
      </c>
      <c r="C105" s="508"/>
      <c r="D105" s="508"/>
      <c r="E105" s="537"/>
      <c r="F105" s="537"/>
      <c r="G105" s="537"/>
      <c r="H105" s="537"/>
      <c r="I105" s="537"/>
      <c r="J105" s="537"/>
      <c r="K105" s="538"/>
      <c r="L105" s="539"/>
      <c r="M105" s="540"/>
      <c r="N105" s="1061"/>
      <c r="O105" s="1061"/>
      <c r="P105" s="2105"/>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5"/>
      <c r="Q106" s="458"/>
    </row>
    <row r="107" spans="1:17" ht="15" thickTop="1">
      <c r="A107" s="553"/>
      <c r="B107" s="492" t="s">
        <v>2411</v>
      </c>
      <c r="C107" s="537"/>
      <c r="D107" s="537"/>
      <c r="E107" s="537"/>
      <c r="F107" s="537"/>
      <c r="G107" s="537"/>
      <c r="H107" s="537"/>
      <c r="I107" s="537"/>
      <c r="J107" s="537"/>
      <c r="K107" s="538"/>
      <c r="L107" s="539"/>
      <c r="M107" s="540"/>
      <c r="N107" s="1061"/>
      <c r="O107" s="1061"/>
      <c r="P107" s="2105"/>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5"/>
      <c r="Q108" s="458"/>
    </row>
    <row r="109" spans="1:17" ht="15" thickTop="1">
      <c r="A109" s="553"/>
      <c r="B109" s="492" t="s">
        <v>2412</v>
      </c>
      <c r="C109" s="508"/>
      <c r="D109" s="508"/>
      <c r="E109" s="508"/>
      <c r="F109" s="537"/>
      <c r="G109" s="537"/>
      <c r="H109" s="537"/>
      <c r="I109" s="537"/>
      <c r="J109" s="537"/>
      <c r="K109" s="538"/>
      <c r="L109" s="539"/>
      <c r="M109" s="540"/>
      <c r="N109" s="1061"/>
      <c r="O109" s="1061"/>
      <c r="P109" s="2105"/>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5"/>
      <c r="Q110" s="458"/>
    </row>
    <row r="111" spans="1:17" s="427" customFormat="1" ht="15" thickTop="1">
      <c r="A111" s="547"/>
      <c r="B111" s="492" t="s">
        <v>1854</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6"/>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6"/>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6"/>
      <c r="Q113" s="513"/>
    </row>
    <row r="114" spans="1:17" ht="15" thickTop="1">
      <c r="A114" s="553"/>
      <c r="B114" s="492" t="s">
        <v>2413</v>
      </c>
      <c r="C114" s="508"/>
      <c r="D114" s="508"/>
      <c r="E114" s="537"/>
      <c r="F114" s="537"/>
      <c r="G114" s="537"/>
      <c r="H114" s="537"/>
      <c r="I114" s="537"/>
      <c r="J114" s="537"/>
      <c r="K114" s="538"/>
      <c r="L114" s="539"/>
      <c r="M114" s="540"/>
      <c r="N114" s="1061"/>
      <c r="O114" s="1061"/>
      <c r="P114" s="2105"/>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5"/>
      <c r="Q115" s="458"/>
    </row>
    <row r="116" spans="1:17" ht="15" thickTop="1">
      <c r="A116" s="553"/>
      <c r="B116" s="492" t="s">
        <v>2414</v>
      </c>
      <c r="C116" s="508"/>
      <c r="D116" s="508"/>
      <c r="E116" s="508"/>
      <c r="F116" s="508"/>
      <c r="G116" s="508"/>
      <c r="H116" s="537"/>
      <c r="I116" s="537"/>
      <c r="J116" s="537"/>
      <c r="K116" s="538"/>
      <c r="L116" s="539"/>
      <c r="M116" s="540"/>
      <c r="N116" s="1061"/>
      <c r="O116" s="1061"/>
      <c r="P116" s="2105"/>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5"/>
      <c r="Q117" s="458"/>
    </row>
    <row r="118" spans="1:17" ht="15" thickTop="1">
      <c r="A118" s="553"/>
      <c r="B118" s="492" t="s">
        <v>2415</v>
      </c>
      <c r="C118" s="537"/>
      <c r="D118" s="537"/>
      <c r="E118" s="537"/>
      <c r="F118" s="537"/>
      <c r="G118" s="537"/>
      <c r="H118" s="537"/>
      <c r="I118" s="537"/>
      <c r="J118" s="537"/>
      <c r="K118" s="538"/>
      <c r="L118" s="539"/>
      <c r="M118" s="540"/>
      <c r="N118" s="1061"/>
      <c r="O118" s="1061"/>
      <c r="P118" s="2105"/>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5"/>
      <c r="Q119" s="458"/>
    </row>
    <row r="120" spans="1:17" s="427" customFormat="1" ht="28.5" thickTop="1">
      <c r="A120" s="547"/>
      <c r="B120" s="492" t="s">
        <v>2370</v>
      </c>
      <c r="C120" s="508"/>
      <c r="D120" s="508"/>
      <c r="E120" s="508"/>
      <c r="F120" s="508"/>
      <c r="G120" s="508"/>
      <c r="H120" s="508"/>
      <c r="I120" s="508"/>
      <c r="J120" s="508"/>
      <c r="K120" s="508"/>
      <c r="L120" s="534"/>
      <c r="M120" s="535"/>
      <c r="N120" s="1063"/>
      <c r="O120" s="1063"/>
      <c r="P120" s="2106"/>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6"/>
      <c r="Q121" s="513"/>
    </row>
    <row r="122" spans="1:17" ht="15" thickTop="1">
      <c r="A122" s="553"/>
      <c r="B122" s="492" t="s">
        <v>2416</v>
      </c>
      <c r="C122" s="508"/>
      <c r="D122" s="508"/>
      <c r="E122" s="508"/>
      <c r="F122" s="537"/>
      <c r="G122" s="537"/>
      <c r="H122" s="537"/>
      <c r="I122" s="537"/>
      <c r="J122" s="537"/>
      <c r="K122" s="538"/>
      <c r="L122" s="539"/>
      <c r="M122" s="540"/>
      <c r="N122" s="1061"/>
      <c r="O122" s="1061"/>
      <c r="P122" s="2105"/>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5"/>
      <c r="Q123" s="458"/>
    </row>
    <row r="124" spans="1:17" ht="15" thickTop="1">
      <c r="A124" s="553"/>
      <c r="B124" s="492" t="s">
        <v>2417</v>
      </c>
      <c r="C124" s="532" t="s">
        <v>2393</v>
      </c>
      <c r="D124" s="532" t="s">
        <v>2394</v>
      </c>
      <c r="E124" s="532" t="s">
        <v>2395</v>
      </c>
      <c r="F124" s="532" t="s">
        <v>2396</v>
      </c>
      <c r="G124" s="532" t="s">
        <v>2397</v>
      </c>
      <c r="H124" s="493"/>
      <c r="I124" s="493"/>
      <c r="J124" s="493"/>
      <c r="K124" s="494"/>
      <c r="L124" s="495"/>
      <c r="M124" s="496"/>
      <c r="N124" s="1061"/>
      <c r="O124" s="1061"/>
      <c r="P124" s="2106"/>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5"/>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6"/>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6"/>
      <c r="Q127" s="513"/>
    </row>
    <row r="128" spans="1:17" ht="15" thickTop="1">
      <c r="A128" s="553"/>
      <c r="B128" s="492">
        <f>B45</f>
        <v>111</v>
      </c>
      <c r="C128" s="508"/>
      <c r="D128" s="508"/>
      <c r="E128" s="508"/>
      <c r="F128" s="508"/>
      <c r="G128" s="537"/>
      <c r="H128" s="537"/>
      <c r="I128" s="537"/>
      <c r="J128" s="537"/>
      <c r="K128" s="538"/>
      <c r="L128" s="539"/>
      <c r="M128" s="540"/>
      <c r="N128" s="1061"/>
      <c r="O128" s="1061"/>
      <c r="P128" s="2105"/>
      <c r="Q128" s="458"/>
    </row>
    <row r="129" spans="1:17" ht="15.75" thickBot="1">
      <c r="A129" s="488"/>
      <c r="B129" s="497"/>
      <c r="C129" s="514"/>
      <c r="D129" s="514"/>
      <c r="E129" s="514"/>
      <c r="F129" s="514"/>
      <c r="G129" s="490"/>
      <c r="H129" s="490"/>
      <c r="I129" s="490"/>
      <c r="J129" s="490"/>
      <c r="K129" s="490"/>
      <c r="L129" s="490"/>
      <c r="M129" s="491"/>
      <c r="N129" s="1062"/>
      <c r="O129" s="1062"/>
      <c r="P129" s="2105"/>
      <c r="Q129" s="458"/>
    </row>
    <row r="130" spans="1:17" ht="15" thickTop="1">
      <c r="A130" s="553"/>
      <c r="B130" s="500">
        <f>B46</f>
        <v>111</v>
      </c>
      <c r="C130" s="508"/>
      <c r="D130" s="508"/>
      <c r="E130" s="508"/>
      <c r="F130" s="508"/>
      <c r="G130" s="541"/>
      <c r="H130" s="541"/>
      <c r="I130" s="541"/>
      <c r="J130" s="541"/>
      <c r="K130" s="477"/>
      <c r="L130" s="478"/>
      <c r="M130" s="544"/>
      <c r="N130" s="1061"/>
      <c r="O130" s="1061"/>
      <c r="P130" s="2105"/>
      <c r="Q130" s="458"/>
    </row>
    <row r="131" spans="1:17" ht="15.75" thickBot="1">
      <c r="A131" s="2111"/>
      <c r="B131" s="523"/>
      <c r="C131" s="524"/>
      <c r="D131" s="524"/>
      <c r="E131" s="524"/>
      <c r="F131" s="524"/>
      <c r="G131" s="545"/>
      <c r="H131" s="545"/>
      <c r="I131" s="545"/>
      <c r="J131" s="545"/>
      <c r="K131" s="545"/>
      <c r="L131" s="545"/>
      <c r="M131" s="546"/>
      <c r="N131" s="1062"/>
      <c r="O131" s="1062"/>
      <c r="P131" s="2105"/>
      <c r="Q131" s="458"/>
    </row>
    <row r="136" spans="1:17" ht="15" thickBot="1">
      <c r="B136" s="2112" t="s">
        <v>2418</v>
      </c>
    </row>
    <row r="137" spans="1:17" ht="15">
      <c r="B137" s="2113" t="s">
        <v>2419</v>
      </c>
      <c r="C137" s="2114"/>
      <c r="D137" s="2114"/>
      <c r="E137" s="2114"/>
      <c r="F137" s="2114"/>
      <c r="G137" s="2115"/>
      <c r="H137" s="2116"/>
      <c r="I137" s="2117" t="s">
        <v>2420</v>
      </c>
      <c r="J137" s="2114"/>
      <c r="K137" s="2118"/>
    </row>
    <row r="138" spans="1:17" ht="15">
      <c r="B138" s="2119"/>
      <c r="C138" s="139" t="s">
        <v>2421</v>
      </c>
      <c r="D138" s="139" t="s">
        <v>2422</v>
      </c>
      <c r="E138" s="2120" t="s">
        <v>2423</v>
      </c>
      <c r="F138" s="2121" t="s">
        <v>2424</v>
      </c>
      <c r="G138" s="139" t="s">
        <v>2422</v>
      </c>
      <c r="H138" s="140" t="s">
        <v>2423</v>
      </c>
      <c r="I138" s="2122"/>
      <c r="J138" s="139" t="s">
        <v>2425</v>
      </c>
      <c r="K138" s="140" t="s">
        <v>2426</v>
      </c>
    </row>
    <row r="139" spans="1:17" ht="15">
      <c r="B139" s="995">
        <v>6</v>
      </c>
      <c r="C139" s="996">
        <v>96</v>
      </c>
      <c r="D139" s="2123" t="s">
        <v>2427</v>
      </c>
      <c r="E139" s="997">
        <v>100</v>
      </c>
      <c r="F139" s="998">
        <v>102.5</v>
      </c>
      <c r="G139" s="2123" t="s">
        <v>2427</v>
      </c>
      <c r="H139" s="999">
        <v>105</v>
      </c>
      <c r="I139" s="2124" t="s">
        <v>2428</v>
      </c>
      <c r="J139" s="996">
        <v>20</v>
      </c>
      <c r="K139" s="1000">
        <f>C145/(J139-2)</f>
        <v>4.0555555555555553E-3</v>
      </c>
    </row>
    <row r="140" spans="1:17" ht="15">
      <c r="B140" s="1001">
        <v>5</v>
      </c>
      <c r="C140" s="1002">
        <v>100</v>
      </c>
      <c r="D140" s="1002"/>
      <c r="E140" s="1003"/>
      <c r="F140" s="1004">
        <v>102</v>
      </c>
      <c r="G140" s="1002"/>
      <c r="H140" s="1005"/>
      <c r="I140" s="2125" t="s">
        <v>2429</v>
      </c>
      <c r="J140" s="274">
        <f>ROUNDUP((J139-1)/2,0)</f>
        <v>10</v>
      </c>
      <c r="K140" s="1006">
        <v>100</v>
      </c>
    </row>
    <row r="141" spans="1:17" ht="15">
      <c r="B141" s="1001">
        <v>4</v>
      </c>
      <c r="C141" s="1002">
        <v>102</v>
      </c>
      <c r="D141" s="1002"/>
      <c r="E141" s="1003"/>
      <c r="F141" s="1004">
        <v>101.5</v>
      </c>
      <c r="G141" s="1002"/>
      <c r="H141" s="1005"/>
      <c r="I141" s="2125" t="s">
        <v>2430</v>
      </c>
      <c r="J141" s="274">
        <v>1</v>
      </c>
      <c r="K141" s="1007">
        <f>ROUND(100+(J141-J140)*K139*100,1)</f>
        <v>96.4</v>
      </c>
    </row>
    <row r="142" spans="1:17" ht="15">
      <c r="B142" s="1001">
        <v>3</v>
      </c>
      <c r="C142" s="1002">
        <v>103</v>
      </c>
      <c r="D142" s="1002"/>
      <c r="E142" s="1003"/>
      <c r="F142" s="1004">
        <v>101</v>
      </c>
      <c r="G142" s="1002"/>
      <c r="H142" s="1005"/>
      <c r="I142" s="2125" t="s">
        <v>2431</v>
      </c>
      <c r="J142" s="274">
        <f>J139</f>
        <v>20</v>
      </c>
      <c r="K142" s="1008">
        <v>95</v>
      </c>
    </row>
    <row r="143" spans="1:17" ht="15">
      <c r="B143" s="1001">
        <v>2</v>
      </c>
      <c r="C143" s="1002">
        <v>100</v>
      </c>
      <c r="D143" s="1002"/>
      <c r="E143" s="1003"/>
      <c r="F143" s="1004">
        <v>100.5</v>
      </c>
      <c r="G143" s="1002"/>
      <c r="H143" s="1005"/>
      <c r="I143" s="2125" t="s">
        <v>2432</v>
      </c>
      <c r="J143" s="1002">
        <v>15</v>
      </c>
      <c r="K143" s="1007">
        <f>ROUND(100+(J143-J140)*K139*100,1)</f>
        <v>102</v>
      </c>
    </row>
    <row r="144" spans="1:17" ht="15">
      <c r="B144" s="1001">
        <v>1</v>
      </c>
      <c r="C144" s="1002">
        <v>98</v>
      </c>
      <c r="D144" s="2126" t="s">
        <v>2433</v>
      </c>
      <c r="E144" s="1003">
        <v>102</v>
      </c>
      <c r="F144" s="1009">
        <v>100</v>
      </c>
      <c r="G144" s="2126" t="s">
        <v>2433</v>
      </c>
      <c r="H144" s="1005">
        <v>105</v>
      </c>
      <c r="I144" s="2125" t="s">
        <v>2432</v>
      </c>
      <c r="J144" s="1002">
        <v>18</v>
      </c>
      <c r="K144" s="1007">
        <f>ROUND(100+(J144-J140)*K139*100,1)</f>
        <v>103.2</v>
      </c>
    </row>
    <row r="145" spans="2:11" ht="15.75" thickBot="1">
      <c r="B145" s="2127" t="s">
        <v>2434</v>
      </c>
      <c r="C145" s="1010">
        <f>ROUND(MAX(C139:C144)/MIN(C139:C144)-1,3)</f>
        <v>7.2999999999999995E-2</v>
      </c>
      <c r="D145" s="1011"/>
      <c r="E145" s="1011"/>
      <c r="F145" s="2128" t="s">
        <v>2435</v>
      </c>
      <c r="G145" s="2129"/>
      <c r="H145" s="2130"/>
      <c r="I145" s="2131" t="s">
        <v>2432</v>
      </c>
      <c r="J145" s="1012">
        <v>8</v>
      </c>
      <c r="K145" s="1013">
        <f>ROUND(100+(J145-J140)*K139*100,1)</f>
        <v>99.2</v>
      </c>
    </row>
    <row r="147" spans="2:11">
      <c r="B147" s="2112" t="s">
        <v>2436</v>
      </c>
    </row>
    <row r="148" spans="2:11">
      <c r="B148" s="2112" t="s">
        <v>2437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875" style="360" customWidth="1"/>
    <col min="3" max="3" width="15.125" style="360" customWidth="1"/>
    <col min="4" max="4" width="12.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2099"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1398" customFormat="1" ht="28.5" customHeight="1" thickBot="1">
      <c r="A1" s="1387" t="s">
        <v>2324</v>
      </c>
      <c r="B1" s="2061" t="s">
        <v>2438</v>
      </c>
      <c r="C1" s="1403" t="s">
        <v>2326</v>
      </c>
      <c r="D1" s="1390"/>
      <c r="E1" s="2540"/>
      <c r="F1" s="2062"/>
      <c r="G1" s="1400" t="s">
        <v>2439</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5" customFormat="1" ht="28.5" customHeight="1" thickTop="1">
      <c r="A2" s="1386" t="s">
        <v>2126</v>
      </c>
      <c r="B2" s="1323" t="e">
        <f ca="1">IF(C2="——",ROUND(C49*D3/10000,0),ROUND(C49*D3/10000,0)-D2)</f>
        <v>#DIV/0!</v>
      </c>
      <c r="C2" s="2064"/>
      <c r="D2" s="1272" t="e">
        <f ca="1">SUMIF(INDIRECT("'"&amp;F2&amp;"'"&amp;"!A:A"),"承租人权益价值",INDIRECT("'"&amp;F2&amp;"'"&amp;"!c:c"))</f>
        <v>#REF!</v>
      </c>
      <c r="E2" s="2065" t="s">
        <v>2127</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5" customFormat="1" ht="28.5" customHeight="1" thickBot="1">
      <c r="A3" s="206" t="s">
        <v>2128</v>
      </c>
      <c r="B3" s="563" t="e">
        <f ca="1">IF(C2="——",C49,ROUND(B2*10000/D3,0))</f>
        <v>#DIV/0!</v>
      </c>
      <c r="C3" s="357" t="s">
        <v>2440</v>
      </c>
      <c r="D3" s="356">
        <f>IF(D1="",'数据-汇总表'!E3,SUMIF('数据-汇总表'!$C19:$C33,D1,'数据-汇总表'!$E19:$E33))</f>
        <v>125203.41</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58" t="s">
        <v>2441</v>
      </c>
      <c r="B4" s="359"/>
      <c r="C4" s="3320" t="s">
        <v>2442</v>
      </c>
      <c r="D4" s="3321"/>
      <c r="E4" s="3322" t="s">
        <v>2443</v>
      </c>
      <c r="F4" s="3323"/>
      <c r="G4" s="3320" t="s">
        <v>2444</v>
      </c>
      <c r="H4" s="3321"/>
      <c r="I4" s="3320" t="s">
        <v>2445</v>
      </c>
      <c r="J4" s="3321"/>
      <c r="K4" s="564" t="s">
        <v>2446</v>
      </c>
      <c r="L4" s="2941"/>
      <c r="M4" s="2942"/>
      <c r="N4" s="2942"/>
      <c r="O4" s="2942"/>
      <c r="P4" s="3324" t="s">
        <v>2447</v>
      </c>
      <c r="Q4" s="3325"/>
      <c r="R4" s="3307" t="s">
        <v>2443</v>
      </c>
      <c r="S4" s="3308"/>
      <c r="T4" s="3307" t="s">
        <v>2444</v>
      </c>
      <c r="U4" s="3308"/>
      <c r="V4" s="3332" t="s">
        <v>2445</v>
      </c>
      <c r="W4" s="3332"/>
      <c r="X4" s="1537"/>
      <c r="Y4" s="3307" t="s">
        <v>2447</v>
      </c>
      <c r="Z4" s="3308"/>
      <c r="AA4" s="3302" t="s">
        <v>2443</v>
      </c>
      <c r="AB4" s="3332" t="s">
        <v>2444</v>
      </c>
      <c r="AC4" s="3302" t="s">
        <v>2445</v>
      </c>
    </row>
    <row r="5" spans="1:29" ht="15">
      <c r="A5" s="361"/>
      <c r="B5" s="362"/>
      <c r="C5" s="3313" t="s">
        <v>2338</v>
      </c>
      <c r="D5" s="3314"/>
      <c r="E5" s="3311" t="s">
        <v>2339</v>
      </c>
      <c r="F5" s="3312"/>
      <c r="G5" s="3313" t="s">
        <v>2340</v>
      </c>
      <c r="H5" s="3314"/>
      <c r="I5" s="3313" t="s">
        <v>2341</v>
      </c>
      <c r="J5" s="3314"/>
      <c r="K5" s="564"/>
      <c r="L5" s="2941"/>
      <c r="M5" s="2942"/>
      <c r="N5" s="2942"/>
      <c r="O5" s="2942"/>
      <c r="P5" s="3326"/>
      <c r="Q5" s="3327"/>
      <c r="R5" s="3309"/>
      <c r="S5" s="3310"/>
      <c r="T5" s="3309"/>
      <c r="U5" s="3310"/>
      <c r="V5" s="3332"/>
      <c r="W5" s="3332"/>
      <c r="X5" s="1537"/>
      <c r="Y5" s="3309"/>
      <c r="Z5" s="3310"/>
      <c r="AA5" s="3303"/>
      <c r="AB5" s="3332"/>
      <c r="AC5" s="3303"/>
    </row>
    <row r="6" spans="1:29" ht="15.75" thickBot="1">
      <c r="A6" s="363"/>
      <c r="B6" s="364"/>
      <c r="C6" s="3315" t="s">
        <v>2342</v>
      </c>
      <c r="D6" s="3316"/>
      <c r="E6" s="3317" t="s">
        <v>2342</v>
      </c>
      <c r="F6" s="3318"/>
      <c r="G6" s="3315" t="s">
        <v>2342</v>
      </c>
      <c r="H6" s="3316"/>
      <c r="I6" s="3315" t="s">
        <v>2342</v>
      </c>
      <c r="J6" s="3316"/>
      <c r="K6" s="564" t="s">
        <v>2343</v>
      </c>
      <c r="L6" s="2941"/>
      <c r="M6" s="2942"/>
      <c r="N6" s="2942"/>
      <c r="O6" s="2942"/>
      <c r="P6" s="3328"/>
      <c r="Q6" s="3329"/>
      <c r="R6" s="3309"/>
      <c r="S6" s="3310"/>
      <c r="T6" s="3330"/>
      <c r="U6" s="3331"/>
      <c r="V6" s="3332"/>
      <c r="W6" s="3332"/>
      <c r="X6" s="1537"/>
      <c r="Y6" s="3330"/>
      <c r="Z6" s="3331"/>
      <c r="AA6" s="3304"/>
      <c r="AB6" s="3332"/>
      <c r="AC6" s="3304"/>
    </row>
    <row r="7" spans="1:29" s="110" customFormat="1" ht="15.75" thickBot="1">
      <c r="A7" s="365" t="s">
        <v>2344</v>
      </c>
      <c r="B7" s="366"/>
      <c r="C7" s="367">
        <f>'数据-取费表'!B2</f>
        <v>44236</v>
      </c>
      <c r="D7" s="368">
        <v>100</v>
      </c>
      <c r="E7" s="369"/>
      <c r="F7" s="370">
        <f>SUMIF(58:58,YEAR(E7)&amp;"-"&amp;MONTH(E7),59:59)</f>
        <v>0</v>
      </c>
      <c r="G7" s="369"/>
      <c r="H7" s="368">
        <f>SUMIF(58:58,YEAR(G7)&amp;"-"&amp;MONTH(G7),59:59)</f>
        <v>0</v>
      </c>
      <c r="I7" s="369"/>
      <c r="J7" s="368">
        <f>SUMIF(58:58,YEAR(I7)&amp;"-"&amp;MONTH(I7),59:59)</f>
        <v>0</v>
      </c>
      <c r="K7" s="565"/>
      <c r="L7" s="2943"/>
      <c r="M7" s="2944"/>
      <c r="N7" s="2944"/>
      <c r="O7" s="2944"/>
      <c r="P7" s="3305" t="s">
        <v>2345</v>
      </c>
      <c r="Q7" s="3333"/>
      <c r="R7" s="707" t="s">
        <v>14</v>
      </c>
      <c r="S7" s="708">
        <f t="shared" ref="S7:S15" si="0">F7</f>
        <v>0</v>
      </c>
      <c r="T7" s="707" t="s">
        <v>14</v>
      </c>
      <c r="U7" s="708">
        <f t="shared" ref="U7:U15" si="1">H7</f>
        <v>0</v>
      </c>
      <c r="V7" s="707" t="s">
        <v>14</v>
      </c>
      <c r="W7" s="708">
        <f t="shared" ref="W7:W15" si="2">J7</f>
        <v>0</v>
      </c>
      <c r="X7" s="709"/>
      <c r="Y7" s="3305" t="s">
        <v>2345</v>
      </c>
      <c r="Z7" s="3306"/>
      <c r="AA7" s="710" t="e">
        <f>D7/F7</f>
        <v>#DIV/0!</v>
      </c>
      <c r="AB7" s="710" t="e">
        <f>D7/H7</f>
        <v>#DIV/0!</v>
      </c>
      <c r="AC7" s="710" t="e">
        <f>D7/J7</f>
        <v>#DIV/0!</v>
      </c>
    </row>
    <row r="8" spans="1:29" s="110" customFormat="1" ht="15.75" thickBot="1">
      <c r="A8" s="365" t="s">
        <v>2346</v>
      </c>
      <c r="B8" s="366"/>
      <c r="C8" s="371" t="s">
        <v>2448</v>
      </c>
      <c r="D8" s="368">
        <v>100</v>
      </c>
      <c r="E8" s="371"/>
      <c r="F8" s="370">
        <f>SUMIF(61:61,E8,62:62)-SUMIF(61:61,C8,62:62)+100</f>
        <v>0</v>
      </c>
      <c r="G8" s="371"/>
      <c r="H8" s="368">
        <f>SUMIF(61:61,G8,62:62)-SUMIF(61:61,C8,62:62)+100</f>
        <v>0</v>
      </c>
      <c r="I8" s="371"/>
      <c r="J8" s="368">
        <f>SUMIF(61:61,I8,62:62)-SUMIF(61:61,C8,62:62)+100</f>
        <v>0</v>
      </c>
      <c r="K8" s="565"/>
      <c r="L8" s="2943"/>
      <c r="M8" s="2944"/>
      <c r="N8" s="2944"/>
      <c r="O8" s="2944"/>
      <c r="P8" s="3305" t="s">
        <v>2348</v>
      </c>
      <c r="Q8" s="3306"/>
      <c r="R8" s="707" t="s">
        <v>14</v>
      </c>
      <c r="S8" s="708">
        <f t="shared" si="0"/>
        <v>0</v>
      </c>
      <c r="T8" s="707" t="s">
        <v>14</v>
      </c>
      <c r="U8" s="708">
        <f t="shared" si="1"/>
        <v>0</v>
      </c>
      <c r="V8" s="707" t="s">
        <v>14</v>
      </c>
      <c r="W8" s="708">
        <f t="shared" si="2"/>
        <v>0</v>
      </c>
      <c r="X8" s="709"/>
      <c r="Y8" s="3305" t="s">
        <v>2348</v>
      </c>
      <c r="Z8" s="3306"/>
      <c r="AA8" s="710" t="e">
        <f t="shared" ref="AA8:AA46" si="3">D8/F8</f>
        <v>#DIV/0!</v>
      </c>
      <c r="AB8" s="710" t="e">
        <f t="shared" ref="AB8:AB46" si="4">D8/H8</f>
        <v>#DIV/0!</v>
      </c>
      <c r="AC8" s="710" t="e">
        <f t="shared" ref="AC8:AC46" si="5">D8/J8</f>
        <v>#DIV/0!</v>
      </c>
    </row>
    <row r="9" spans="1:29" s="110" customFormat="1">
      <c r="A9" s="372" t="s">
        <v>2349</v>
      </c>
      <c r="B9" s="64" t="s">
        <v>2350</v>
      </c>
      <c r="C9" s="373"/>
      <c r="D9" s="128">
        <v>100</v>
      </c>
      <c r="E9" s="374"/>
      <c r="F9" s="375">
        <f>SUMIF(63:63,E9,64:64)-SUMIF(63:63,C9,64:64)+100</f>
        <v>100</v>
      </c>
      <c r="G9" s="374"/>
      <c r="H9" s="128">
        <f>SUMIF(63:63,G9,64:64)-SUMIF(63:63,C9,64:64)+100</f>
        <v>100</v>
      </c>
      <c r="I9" s="374"/>
      <c r="J9" s="128">
        <f>SUMIF(63:63,I9,64:64)-SUMIF(63:63,C9,64:64)+100</f>
        <v>100</v>
      </c>
      <c r="K9" s="565"/>
      <c r="L9" s="2943"/>
      <c r="M9" s="2944"/>
      <c r="N9" s="2944"/>
      <c r="O9" s="2944"/>
      <c r="P9" s="3343" t="s">
        <v>2351</v>
      </c>
      <c r="Q9" s="1525" t="str">
        <f t="shared" ref="Q9:Q15" si="6">B9</f>
        <v>用途</v>
      </c>
      <c r="R9" s="707" t="s">
        <v>14</v>
      </c>
      <c r="S9" s="708">
        <f t="shared" si="0"/>
        <v>100</v>
      </c>
      <c r="T9" s="707" t="s">
        <v>14</v>
      </c>
      <c r="U9" s="708">
        <f t="shared" si="1"/>
        <v>100</v>
      </c>
      <c r="V9" s="707" t="s">
        <v>14</v>
      </c>
      <c r="W9" s="708">
        <f t="shared" si="2"/>
        <v>100</v>
      </c>
      <c r="X9" s="709"/>
      <c r="Y9" s="3275" t="s">
        <v>2352</v>
      </c>
      <c r="Z9" s="52" t="str">
        <f t="shared" ref="Z9:Z15" si="7">Q9</f>
        <v>用途</v>
      </c>
      <c r="AA9" s="710">
        <f t="shared" si="3"/>
        <v>1</v>
      </c>
      <c r="AB9" s="710">
        <f t="shared" si="4"/>
        <v>1</v>
      </c>
      <c r="AC9" s="710">
        <f t="shared" si="5"/>
        <v>1</v>
      </c>
    </row>
    <row r="10" spans="1:29" s="383" customFormat="1" ht="27">
      <c r="A10" s="377"/>
      <c r="B10" s="378" t="s">
        <v>2353</v>
      </c>
      <c r="C10" s="379"/>
      <c r="D10" s="129">
        <v>100</v>
      </c>
      <c r="E10" s="380"/>
      <c r="F10" s="381">
        <f>SUMIF(65:65,E10,66:66)-SUMIF(65:65,C10,66:66)+100</f>
        <v>100</v>
      </c>
      <c r="G10" s="379"/>
      <c r="H10" s="129">
        <f>SUMIF(65:65,G10,66:66)-SUMIF(65:65,C10,66:66)+100</f>
        <v>100</v>
      </c>
      <c r="I10" s="379"/>
      <c r="J10" s="129">
        <f>SUMIF(65:65,I10,66:66)-SUMIF(65:65,C10,66:66)+100</f>
        <v>100</v>
      </c>
      <c r="K10" s="566"/>
      <c r="L10" s="2945"/>
      <c r="M10" s="2946"/>
      <c r="N10" s="2946"/>
      <c r="O10" s="2946"/>
      <c r="P10" s="3343"/>
      <c r="Q10" s="1525" t="str">
        <f t="shared" si="6"/>
        <v>土地使用年限（年）</v>
      </c>
      <c r="R10" s="707" t="s">
        <v>14</v>
      </c>
      <c r="S10" s="708">
        <f t="shared" si="0"/>
        <v>100</v>
      </c>
      <c r="T10" s="707" t="s">
        <v>14</v>
      </c>
      <c r="U10" s="708">
        <f t="shared" si="1"/>
        <v>100</v>
      </c>
      <c r="V10" s="707" t="s">
        <v>14</v>
      </c>
      <c r="W10" s="708">
        <f t="shared" si="2"/>
        <v>100</v>
      </c>
      <c r="X10" s="709"/>
      <c r="Y10" s="3275"/>
      <c r="Z10" s="52" t="str">
        <f t="shared" si="7"/>
        <v>土地使用年限（年）</v>
      </c>
      <c r="AA10" s="710">
        <f t="shared" si="3"/>
        <v>1</v>
      </c>
      <c r="AB10" s="710">
        <f t="shared" si="4"/>
        <v>1</v>
      </c>
      <c r="AC10" s="710">
        <f t="shared" si="5"/>
        <v>1</v>
      </c>
    </row>
    <row r="11" spans="1:29" ht="15">
      <c r="A11" s="384"/>
      <c r="B11" s="378" t="s">
        <v>2354</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7"/>
      <c r="M11" s="2942"/>
      <c r="N11" s="2942"/>
      <c r="O11" s="2942"/>
      <c r="P11" s="3343"/>
      <c r="Q11" s="1525" t="str">
        <f t="shared" si="6"/>
        <v>容积率</v>
      </c>
      <c r="R11" s="707" t="s">
        <v>14</v>
      </c>
      <c r="S11" s="708" t="e">
        <f t="shared" si="0"/>
        <v>#N/A</v>
      </c>
      <c r="T11" s="707" t="s">
        <v>14</v>
      </c>
      <c r="U11" s="708" t="e">
        <f t="shared" si="1"/>
        <v>#N/A</v>
      </c>
      <c r="V11" s="707" t="s">
        <v>14</v>
      </c>
      <c r="W11" s="708" t="e">
        <f t="shared" si="2"/>
        <v>#N/A</v>
      </c>
      <c r="X11" s="709"/>
      <c r="Y11" s="3275"/>
      <c r="Z11" s="52" t="str">
        <f t="shared" si="7"/>
        <v>容积率</v>
      </c>
      <c r="AA11" s="710" t="e">
        <f t="shared" si="3"/>
        <v>#N/A</v>
      </c>
      <c r="AB11" s="710" t="e">
        <f t="shared" si="4"/>
        <v>#N/A</v>
      </c>
      <c r="AC11" s="710" t="e">
        <f t="shared" si="5"/>
        <v>#N/A</v>
      </c>
    </row>
    <row r="12" spans="1:29" s="110" customFormat="1" ht="15">
      <c r="A12" s="387"/>
      <c r="B12" s="2076">
        <v>111</v>
      </c>
      <c r="C12" s="388"/>
      <c r="D12" s="389">
        <v>100</v>
      </c>
      <c r="E12" s="390"/>
      <c r="F12" s="381">
        <f>SUMIF(70:70,E12,71:71)-SUMIF(70:70,C12,71:71)+100</f>
        <v>100</v>
      </c>
      <c r="G12" s="390"/>
      <c r="H12" s="129">
        <f>SUMIF(70:70,G12,71:71)-SUMIF(70:70,C12,71:71)+100</f>
        <v>100</v>
      </c>
      <c r="I12" s="390"/>
      <c r="J12" s="129">
        <f>SUMIF(70:70,I12,71:71)-SUMIF(70:70,C12,71:71)+100</f>
        <v>100</v>
      </c>
      <c r="K12" s="567"/>
      <c r="L12" s="2943"/>
      <c r="M12" s="2944"/>
      <c r="N12" s="2944"/>
      <c r="O12" s="2944"/>
      <c r="P12" s="3343"/>
      <c r="Q12" s="1525">
        <f t="shared" si="6"/>
        <v>111</v>
      </c>
      <c r="R12" s="707" t="s">
        <v>14</v>
      </c>
      <c r="S12" s="708">
        <f t="shared" si="0"/>
        <v>100</v>
      </c>
      <c r="T12" s="707" t="s">
        <v>14</v>
      </c>
      <c r="U12" s="708">
        <f t="shared" si="1"/>
        <v>100</v>
      </c>
      <c r="V12" s="707" t="s">
        <v>14</v>
      </c>
      <c r="W12" s="708">
        <f t="shared" si="2"/>
        <v>100</v>
      </c>
      <c r="X12" s="709"/>
      <c r="Y12" s="3275"/>
      <c r="Z12" s="52">
        <f t="shared" si="7"/>
        <v>111</v>
      </c>
      <c r="AA12" s="710">
        <f>D12/F12</f>
        <v>1</v>
      </c>
      <c r="AB12" s="710">
        <f>D12/H12</f>
        <v>1</v>
      </c>
      <c r="AC12" s="710">
        <f>D12/J12</f>
        <v>1</v>
      </c>
    </row>
    <row r="13" spans="1:29" ht="15">
      <c r="A13" s="384"/>
      <c r="B13" s="2076">
        <v>111</v>
      </c>
      <c r="C13" s="390"/>
      <c r="D13" s="391">
        <v>100</v>
      </c>
      <c r="E13" s="390"/>
      <c r="F13" s="381">
        <f>SUMIF(72:72,E13,73:73)-SUMIF(72:72,C13,73:73)+100</f>
        <v>100</v>
      </c>
      <c r="G13" s="390"/>
      <c r="H13" s="391">
        <f>SUMIF(72:72,G13,73:73)-SUMIF(72:72,C13,73:73)+100</f>
        <v>100</v>
      </c>
      <c r="I13" s="390"/>
      <c r="J13" s="391">
        <f>SUMIF(72:72,I13,73:73)-SUMIF(72:72,C13,73:73)+100</f>
        <v>100</v>
      </c>
      <c r="K13" s="567"/>
      <c r="L13" s="2948"/>
      <c r="M13" s="2942"/>
      <c r="N13" s="2942"/>
      <c r="O13" s="2942"/>
      <c r="P13" s="3343"/>
      <c r="Q13" s="1525">
        <f t="shared" si="6"/>
        <v>111</v>
      </c>
      <c r="R13" s="707" t="s">
        <v>14</v>
      </c>
      <c r="S13" s="708">
        <f t="shared" si="0"/>
        <v>100</v>
      </c>
      <c r="T13" s="707" t="s">
        <v>14</v>
      </c>
      <c r="U13" s="708">
        <f t="shared" si="1"/>
        <v>100</v>
      </c>
      <c r="V13" s="707" t="s">
        <v>14</v>
      </c>
      <c r="W13" s="708">
        <f t="shared" si="2"/>
        <v>100</v>
      </c>
      <c r="X13" s="709"/>
      <c r="Y13" s="3275"/>
      <c r="Z13" s="52">
        <f t="shared" si="7"/>
        <v>111</v>
      </c>
      <c r="AA13" s="710">
        <f t="shared" si="3"/>
        <v>1</v>
      </c>
      <c r="AB13" s="710">
        <f t="shared" si="4"/>
        <v>1</v>
      </c>
      <c r="AC13" s="710">
        <f t="shared" si="5"/>
        <v>1</v>
      </c>
    </row>
    <row r="14" spans="1:29" ht="15.75" thickBot="1">
      <c r="A14" s="392"/>
      <c r="B14" s="2078">
        <v>111</v>
      </c>
      <c r="C14" s="393"/>
      <c r="D14" s="394">
        <v>100</v>
      </c>
      <c r="E14" s="390"/>
      <c r="F14" s="395">
        <f>SUMIF(74:74,E14,75:75)-SUMIF(74:74,C14,75:75)+100</f>
        <v>100</v>
      </c>
      <c r="G14" s="390"/>
      <c r="H14" s="394">
        <f>SUMIF(74:74,G14,75:75)-SUMIF(74:74,C14,75:75)+100</f>
        <v>100</v>
      </c>
      <c r="I14" s="390"/>
      <c r="J14" s="394">
        <f>SUMIF(74:74,I14,75:75)-SUMIF(74:74,C14,75:75)+100</f>
        <v>100</v>
      </c>
      <c r="K14" s="567"/>
      <c r="L14" s="2948"/>
      <c r="M14" s="2942"/>
      <c r="N14" s="2942"/>
      <c r="O14" s="2942"/>
      <c r="P14" s="3343"/>
      <c r="Q14" s="1525">
        <f t="shared" si="6"/>
        <v>111</v>
      </c>
      <c r="R14" s="707" t="s">
        <v>14</v>
      </c>
      <c r="S14" s="708">
        <f t="shared" si="0"/>
        <v>100</v>
      </c>
      <c r="T14" s="707" t="s">
        <v>14</v>
      </c>
      <c r="U14" s="708">
        <f t="shared" si="1"/>
        <v>100</v>
      </c>
      <c r="V14" s="707" t="s">
        <v>14</v>
      </c>
      <c r="W14" s="708">
        <f t="shared" si="2"/>
        <v>100</v>
      </c>
      <c r="X14" s="709"/>
      <c r="Y14" s="3275"/>
      <c r="Z14" s="52">
        <f t="shared" si="7"/>
        <v>111</v>
      </c>
      <c r="AA14" s="710">
        <f t="shared" si="3"/>
        <v>1</v>
      </c>
      <c r="AB14" s="710">
        <f t="shared" si="4"/>
        <v>1</v>
      </c>
      <c r="AC14" s="710">
        <f t="shared" si="5"/>
        <v>1</v>
      </c>
    </row>
    <row r="15" spans="1:29" ht="71.25">
      <c r="A15" s="396" t="s">
        <v>2355</v>
      </c>
      <c r="B15" s="62" t="s">
        <v>2449</v>
      </c>
      <c r="C15" s="2079"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8"/>
      <c r="M15" s="2942"/>
      <c r="N15" s="2942"/>
      <c r="O15" s="2942"/>
      <c r="P15" s="3379" t="s">
        <v>2356</v>
      </c>
      <c r="Q15" s="1534" t="str">
        <f t="shared" si="6"/>
        <v>商业繁华度</v>
      </c>
      <c r="R15" s="711" t="s">
        <v>14</v>
      </c>
      <c r="S15" s="712">
        <f t="shared" si="0"/>
        <v>100</v>
      </c>
      <c r="T15" s="711" t="s">
        <v>14</v>
      </c>
      <c r="U15" s="712">
        <f t="shared" si="1"/>
        <v>100</v>
      </c>
      <c r="V15" s="711" t="s">
        <v>14</v>
      </c>
      <c r="W15" s="712">
        <f t="shared" si="2"/>
        <v>100</v>
      </c>
      <c r="X15" s="1537"/>
      <c r="Y15" s="3334" t="s">
        <v>2356</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8"/>
      <c r="M16" s="2942"/>
      <c r="N16" s="2942"/>
      <c r="O16" s="2942"/>
      <c r="P16" s="3380"/>
      <c r="Q16" s="1534"/>
      <c r="R16" s="711"/>
      <c r="S16" s="712"/>
      <c r="T16" s="711"/>
      <c r="U16" s="712"/>
      <c r="V16" s="711"/>
      <c r="W16" s="712"/>
      <c r="X16" s="1537"/>
      <c r="Y16" s="3335"/>
      <c r="Z16" s="1538"/>
      <c r="AA16" s="1535">
        <v>1</v>
      </c>
      <c r="AB16" s="1535">
        <v>1</v>
      </c>
      <c r="AC16" s="1535">
        <v>1</v>
      </c>
    </row>
    <row r="17" spans="1:29" ht="85.5">
      <c r="A17" s="384"/>
      <c r="B17" s="407" t="s">
        <v>1923</v>
      </c>
      <c r="C17" s="2083"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8"/>
      <c r="M17" s="2942"/>
      <c r="N17" s="2942"/>
      <c r="O17" s="2942"/>
      <c r="P17" s="3380"/>
      <c r="Q17" s="1534" t="str">
        <f>B17</f>
        <v>交通便捷度</v>
      </c>
      <c r="R17" s="711" t="s">
        <v>14</v>
      </c>
      <c r="S17" s="712">
        <f>F17</f>
        <v>100</v>
      </c>
      <c r="T17" s="711" t="s">
        <v>14</v>
      </c>
      <c r="U17" s="712">
        <f>H17</f>
        <v>100</v>
      </c>
      <c r="V17" s="711" t="s">
        <v>14</v>
      </c>
      <c r="W17" s="712">
        <f>J17</f>
        <v>100</v>
      </c>
      <c r="X17" s="1537"/>
      <c r="Y17" s="3335"/>
      <c r="Z17" s="1538" t="str">
        <f>Q17</f>
        <v>交通便捷度</v>
      </c>
      <c r="AA17" s="1535">
        <f t="shared" si="3"/>
        <v>1</v>
      </c>
      <c r="AB17" s="1535">
        <f t="shared" si="4"/>
        <v>1</v>
      </c>
      <c r="AC17" s="1535">
        <f t="shared" si="5"/>
        <v>1</v>
      </c>
    </row>
    <row r="18" spans="1:29" ht="15">
      <c r="A18" s="384"/>
      <c r="B18" s="412"/>
      <c r="C18" s="2084"/>
      <c r="D18" s="406"/>
      <c r="E18" s="2086"/>
      <c r="F18" s="409"/>
      <c r="G18" s="2085"/>
      <c r="H18" s="404"/>
      <c r="I18" s="2086"/>
      <c r="J18" s="404"/>
      <c r="K18" s="569"/>
      <c r="L18" s="2948"/>
      <c r="M18" s="2942"/>
      <c r="N18" s="2942"/>
      <c r="O18" s="2942"/>
      <c r="P18" s="3380"/>
      <c r="Q18" s="1534"/>
      <c r="R18" s="711"/>
      <c r="S18" s="712"/>
      <c r="T18" s="711"/>
      <c r="U18" s="712"/>
      <c r="V18" s="711"/>
      <c r="W18" s="712"/>
      <c r="X18" s="1537"/>
      <c r="Y18" s="3335"/>
      <c r="Z18" s="1538"/>
      <c r="AA18" s="1535">
        <v>1</v>
      </c>
      <c r="AB18" s="1535">
        <v>1</v>
      </c>
      <c r="AC18" s="1535">
        <v>1</v>
      </c>
    </row>
    <row r="19" spans="1:29" ht="42.75">
      <c r="A19" s="384"/>
      <c r="B19" s="407" t="s">
        <v>2450</v>
      </c>
      <c r="C19" s="2083"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8"/>
      <c r="M19" s="2942"/>
      <c r="N19" s="2942"/>
      <c r="O19" s="2942"/>
      <c r="P19" s="3380"/>
      <c r="Q19" s="1534" t="str">
        <f>B19</f>
        <v>公共配套设施</v>
      </c>
      <c r="R19" s="711" t="s">
        <v>14</v>
      </c>
      <c r="S19" s="712">
        <f>F19</f>
        <v>100</v>
      </c>
      <c r="T19" s="711" t="s">
        <v>14</v>
      </c>
      <c r="U19" s="712">
        <f>H19</f>
        <v>100</v>
      </c>
      <c r="V19" s="711" t="s">
        <v>14</v>
      </c>
      <c r="W19" s="712">
        <f>J19</f>
        <v>100</v>
      </c>
      <c r="X19" s="1537"/>
      <c r="Y19" s="3335"/>
      <c r="Z19" s="1538" t="str">
        <f>Q19</f>
        <v>公共配套设施</v>
      </c>
      <c r="AA19" s="1535">
        <f t="shared" si="3"/>
        <v>1</v>
      </c>
      <c r="AB19" s="1535">
        <f t="shared" si="4"/>
        <v>1</v>
      </c>
      <c r="AC19" s="1535">
        <f t="shared" si="5"/>
        <v>1</v>
      </c>
    </row>
    <row r="20" spans="1:29" ht="15">
      <c r="A20" s="384"/>
      <c r="B20" s="412"/>
      <c r="C20" s="403"/>
      <c r="D20" s="404"/>
      <c r="E20" s="2081"/>
      <c r="F20" s="405"/>
      <c r="G20" s="2080"/>
      <c r="H20" s="404"/>
      <c r="I20" s="2081"/>
      <c r="J20" s="404"/>
      <c r="K20" s="569"/>
      <c r="L20" s="2948"/>
      <c r="M20" s="2942"/>
      <c r="N20" s="2942"/>
      <c r="O20" s="2942"/>
      <c r="P20" s="3380"/>
      <c r="Q20" s="1534"/>
      <c r="R20" s="711"/>
      <c r="S20" s="712"/>
      <c r="T20" s="711"/>
      <c r="U20" s="712"/>
      <c r="V20" s="711"/>
      <c r="W20" s="712"/>
      <c r="X20" s="1537"/>
      <c r="Y20" s="3335"/>
      <c r="Z20" s="1538"/>
      <c r="AA20" s="1535">
        <v>1</v>
      </c>
      <c r="AB20" s="1535">
        <v>1</v>
      </c>
      <c r="AC20" s="1535">
        <v>1</v>
      </c>
    </row>
    <row r="21" spans="1:29" ht="28.5">
      <c r="A21" s="384"/>
      <c r="B21" s="1290" t="s">
        <v>2451</v>
      </c>
      <c r="C21" s="2083"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8"/>
      <c r="M21" s="2942"/>
      <c r="N21" s="2942"/>
      <c r="O21" s="2942"/>
      <c r="P21" s="3380"/>
      <c r="Q21" s="1534" t="str">
        <f>B21</f>
        <v>基础设施水平</v>
      </c>
      <c r="R21" s="711" t="s">
        <v>14</v>
      </c>
      <c r="S21" s="712">
        <f>F21</f>
        <v>100</v>
      </c>
      <c r="T21" s="711" t="s">
        <v>14</v>
      </c>
      <c r="U21" s="712">
        <f>H21</f>
        <v>100</v>
      </c>
      <c r="V21" s="711" t="s">
        <v>14</v>
      </c>
      <c r="W21" s="712">
        <f>J21</f>
        <v>100</v>
      </c>
      <c r="X21" s="1537"/>
      <c r="Y21" s="3335"/>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5"/>
      <c r="G22" s="403"/>
      <c r="H22" s="404"/>
      <c r="I22" s="403"/>
      <c r="J22" s="404"/>
      <c r="K22" s="1289"/>
      <c r="L22" s="2948"/>
      <c r="M22" s="2942"/>
      <c r="N22" s="2942"/>
      <c r="O22" s="2942"/>
      <c r="P22" s="3380"/>
      <c r="Q22" s="1534"/>
      <c r="R22" s="711"/>
      <c r="S22" s="712"/>
      <c r="T22" s="711"/>
      <c r="U22" s="712"/>
      <c r="V22" s="711"/>
      <c r="W22" s="712"/>
      <c r="X22" s="1537"/>
      <c r="Y22" s="3335"/>
      <c r="Z22" s="1538"/>
      <c r="AA22" s="1535">
        <v>1</v>
      </c>
      <c r="AB22" s="1535">
        <v>1</v>
      </c>
      <c r="AC22" s="1535">
        <v>1</v>
      </c>
    </row>
    <row r="23" spans="1:29" ht="57">
      <c r="A23" s="384"/>
      <c r="B23" s="407" t="s">
        <v>1925</v>
      </c>
      <c r="C23" s="2138"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8"/>
      <c r="M23" s="2942"/>
      <c r="N23" s="2942"/>
      <c r="O23" s="2942"/>
      <c r="P23" s="3380"/>
      <c r="Q23" s="1534" t="str">
        <f>B23</f>
        <v>自然及人文环境</v>
      </c>
      <c r="R23" s="711" t="s">
        <v>14</v>
      </c>
      <c r="S23" s="712">
        <f>F23</f>
        <v>100</v>
      </c>
      <c r="T23" s="711" t="s">
        <v>14</v>
      </c>
      <c r="U23" s="712">
        <f>H23</f>
        <v>100</v>
      </c>
      <c r="V23" s="711" t="s">
        <v>14</v>
      </c>
      <c r="W23" s="712">
        <f>J23</f>
        <v>100</v>
      </c>
      <c r="X23" s="1537"/>
      <c r="Y23" s="3335"/>
      <c r="Z23" s="1538" t="str">
        <f>Q23</f>
        <v>自然及人文环境</v>
      </c>
      <c r="AA23" s="1535">
        <f t="shared" si="3"/>
        <v>1</v>
      </c>
      <c r="AB23" s="1535">
        <f t="shared" si="4"/>
        <v>1</v>
      </c>
      <c r="AC23" s="1535">
        <f t="shared" si="5"/>
        <v>1</v>
      </c>
    </row>
    <row r="24" spans="1:29" ht="15">
      <c r="A24" s="384"/>
      <c r="B24" s="412"/>
      <c r="C24" s="403"/>
      <c r="D24" s="404"/>
      <c r="E24" s="2081"/>
      <c r="F24" s="405"/>
      <c r="G24" s="2080"/>
      <c r="H24" s="404"/>
      <c r="I24" s="2081"/>
      <c r="J24" s="404"/>
      <c r="K24" s="569"/>
      <c r="L24" s="2948"/>
      <c r="M24" s="2942"/>
      <c r="N24" s="2942"/>
      <c r="O24" s="2942"/>
      <c r="P24" s="3380"/>
      <c r="Q24" s="1534"/>
      <c r="R24" s="711"/>
      <c r="S24" s="712"/>
      <c r="T24" s="711"/>
      <c r="U24" s="712"/>
      <c r="V24" s="711"/>
      <c r="W24" s="712"/>
      <c r="X24" s="1537"/>
      <c r="Y24" s="3335"/>
      <c r="Z24" s="1538"/>
      <c r="AA24" s="1535">
        <v>1</v>
      </c>
      <c r="AB24" s="1535">
        <v>1</v>
      </c>
      <c r="AC24" s="1535">
        <v>1</v>
      </c>
    </row>
    <row r="25" spans="1:29" ht="15">
      <c r="A25" s="384"/>
      <c r="B25" s="378" t="s">
        <v>2452</v>
      </c>
      <c r="C25" s="570"/>
      <c r="D25" s="391">
        <v>100</v>
      </c>
      <c r="E25" s="570"/>
      <c r="F25" s="417">
        <f>SUMIF(86:86,E25,87:87)-SUMIF(86:86,C25,87:87)+100</f>
        <v>100</v>
      </c>
      <c r="G25" s="570"/>
      <c r="H25" s="391">
        <f>SUMIF(86:86,G25,87:87)-SUMIF(86:86,C25,87:87)+100</f>
        <v>100</v>
      </c>
      <c r="I25" s="570"/>
      <c r="J25" s="391">
        <f>SUMIF(86:86,I25,87:87)-SUMIF(86:86,C25,87:87)+100</f>
        <v>100</v>
      </c>
      <c r="K25" s="566"/>
      <c r="L25" s="2948"/>
      <c r="M25" s="2942"/>
      <c r="N25" s="2942"/>
      <c r="O25" s="2942"/>
      <c r="P25" s="3380"/>
      <c r="Q25" s="1534" t="str">
        <f t="shared" ref="Q25:Q46" si="11">B25</f>
        <v>临街状况</v>
      </c>
      <c r="R25" s="711" t="s">
        <v>14</v>
      </c>
      <c r="S25" s="712">
        <f>F25</f>
        <v>100</v>
      </c>
      <c r="T25" s="711" t="s">
        <v>14</v>
      </c>
      <c r="U25" s="712">
        <f>H25</f>
        <v>100</v>
      </c>
      <c r="V25" s="711" t="s">
        <v>14</v>
      </c>
      <c r="W25" s="712">
        <f>J25</f>
        <v>100</v>
      </c>
      <c r="X25" s="1537"/>
      <c r="Y25" s="3335"/>
      <c r="Z25" s="1538" t="str">
        <f>Q25</f>
        <v>临街状况</v>
      </c>
      <c r="AA25" s="1535">
        <f t="shared" si="3"/>
        <v>1</v>
      </c>
      <c r="AB25" s="1535">
        <f t="shared" si="4"/>
        <v>1</v>
      </c>
      <c r="AC25" s="1535">
        <f t="shared" si="5"/>
        <v>1</v>
      </c>
    </row>
    <row r="26" spans="1:29" ht="15">
      <c r="A26" s="384"/>
      <c r="B26" s="1292" t="s">
        <v>2453</v>
      </c>
      <c r="C26" s="390"/>
      <c r="D26" s="391">
        <v>100</v>
      </c>
      <c r="E26" s="390"/>
      <c r="F26" s="417">
        <f>SUMIF(88:88,E26,89:89)-SUMIF(88:88,C26,89:89)+100</f>
        <v>100</v>
      </c>
      <c r="G26" s="390"/>
      <c r="H26" s="391">
        <f>SUMIF(88:88,G26,89:89)-SUMIF(88:88,C26,89:89)+100</f>
        <v>100</v>
      </c>
      <c r="I26" s="390"/>
      <c r="J26" s="391">
        <f>SUMIF(88:88,I26,89:89)-SUMIF(88:88,C26,89:89)+100</f>
        <v>100</v>
      </c>
      <c r="K26" s="567"/>
      <c r="L26" s="2948"/>
      <c r="M26" s="2942"/>
      <c r="N26" s="2942"/>
      <c r="O26" s="2942"/>
      <c r="P26" s="3380"/>
      <c r="Q26" s="1534" t="str">
        <f t="shared" si="11"/>
        <v>平面位置/可视性</v>
      </c>
      <c r="R26" s="711" t="s">
        <v>14</v>
      </c>
      <c r="S26" s="712">
        <f>F26</f>
        <v>100</v>
      </c>
      <c r="T26" s="711" t="s">
        <v>14</v>
      </c>
      <c r="U26" s="712">
        <f>H26</f>
        <v>100</v>
      </c>
      <c r="V26" s="711" t="s">
        <v>14</v>
      </c>
      <c r="W26" s="712">
        <f>J26</f>
        <v>100</v>
      </c>
      <c r="X26" s="1537"/>
      <c r="Y26" s="3335"/>
      <c r="Z26" s="1538" t="str">
        <f>Q26</f>
        <v>平面位置/可视性</v>
      </c>
      <c r="AA26" s="1535">
        <f t="shared" si="3"/>
        <v>1</v>
      </c>
      <c r="AB26" s="1535">
        <f t="shared" si="4"/>
        <v>1</v>
      </c>
      <c r="AC26" s="1535">
        <f t="shared" si="5"/>
        <v>1</v>
      </c>
    </row>
    <row r="27" spans="1:29" s="110" customFormat="1" ht="15">
      <c r="A27" s="387"/>
      <c r="B27" s="407" t="s">
        <v>2454</v>
      </c>
      <c r="C27" s="2139"/>
      <c r="D27" s="418">
        <v>100</v>
      </c>
      <c r="E27" s="2139"/>
      <c r="F27" s="420">
        <f>SUMIF(90:90,E27,91:91)-SUMIF(90:90,C27,91:91)+100</f>
        <v>100</v>
      </c>
      <c r="G27" s="2139"/>
      <c r="H27" s="418">
        <f>SUMIF(90:90,G27,91:91)-SUMIF(90:90,C27,91:91)+100</f>
        <v>100</v>
      </c>
      <c r="I27" s="2139"/>
      <c r="J27" s="418">
        <f>SUMIF(90:90,I27,91:91)-SUMIF(90:90,C27,91:91)+100</f>
        <v>100</v>
      </c>
      <c r="K27" s="566"/>
      <c r="L27" s="2943"/>
      <c r="M27" s="2944"/>
      <c r="N27" s="2944"/>
      <c r="O27" s="2944"/>
      <c r="P27" s="3380"/>
      <c r="Q27" s="1525" t="str">
        <f t="shared" si="11"/>
        <v>人流量</v>
      </c>
      <c r="R27" s="707" t="s">
        <v>14</v>
      </c>
      <c r="S27" s="708">
        <f>F27</f>
        <v>100</v>
      </c>
      <c r="T27" s="707" t="s">
        <v>14</v>
      </c>
      <c r="U27" s="708">
        <f>H27</f>
        <v>100</v>
      </c>
      <c r="V27" s="707" t="s">
        <v>14</v>
      </c>
      <c r="W27" s="708">
        <f>J27</f>
        <v>100</v>
      </c>
      <c r="X27" s="709"/>
      <c r="Y27" s="3335"/>
      <c r="Z27" s="52" t="str">
        <f>Q27</f>
        <v>人流量</v>
      </c>
      <c r="AA27" s="1535">
        <f>D27/F27</f>
        <v>1</v>
      </c>
      <c r="AB27" s="1535">
        <f>D27/H27</f>
        <v>1</v>
      </c>
      <c r="AC27" s="1535">
        <f>D27/J27</f>
        <v>1</v>
      </c>
    </row>
    <row r="28" spans="1:29" ht="15">
      <c r="A28" s="384"/>
      <c r="B28" s="378" t="s">
        <v>2455</v>
      </c>
      <c r="C28" s="570"/>
      <c r="D28" s="391">
        <v>100</v>
      </c>
      <c r="E28" s="570"/>
      <c r="F28" s="417">
        <f>SUMIF(92:92,E28,93:93)-SUMIF(92:92,C28,93:93)+100</f>
        <v>100</v>
      </c>
      <c r="G28" s="570"/>
      <c r="H28" s="391">
        <f>SUMIF(92:92,G28,93:93)-SUMIF(92:92,C28,93:93)+100</f>
        <v>100</v>
      </c>
      <c r="I28" s="570"/>
      <c r="J28" s="391">
        <f>SUMIF(92:92,I28,93:93)-SUMIF(92:92,C28,93:93)+100</f>
        <v>100</v>
      </c>
      <c r="K28" s="567"/>
      <c r="L28" s="2948"/>
      <c r="M28" s="2942"/>
      <c r="N28" s="2942"/>
      <c r="O28" s="2942"/>
      <c r="P28" s="3380"/>
      <c r="Q28" s="1534" t="str">
        <f t="shared" si="11"/>
        <v>楼层</v>
      </c>
      <c r="R28" s="711" t="s">
        <v>14</v>
      </c>
      <c r="S28" s="712">
        <f t="shared" ref="S28:S46" si="12">F28</f>
        <v>100</v>
      </c>
      <c r="T28" s="711" t="s">
        <v>14</v>
      </c>
      <c r="U28" s="712">
        <f t="shared" ref="U28:U46" si="13">H28</f>
        <v>100</v>
      </c>
      <c r="V28" s="711" t="s">
        <v>14</v>
      </c>
      <c r="W28" s="712">
        <f t="shared" ref="W28:W46" si="14">J28</f>
        <v>100</v>
      </c>
      <c r="X28" s="1537"/>
      <c r="Y28" s="3335"/>
      <c r="Z28" s="1538" t="str">
        <f t="shared" ref="Z28:Z46" si="15">Q28</f>
        <v>楼层</v>
      </c>
      <c r="AA28" s="1535">
        <f t="shared" si="3"/>
        <v>1</v>
      </c>
      <c r="AB28" s="1535">
        <f t="shared" si="4"/>
        <v>1</v>
      </c>
      <c r="AC28" s="1535">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8"/>
      <c r="M29" s="2942"/>
      <c r="N29" s="2942"/>
      <c r="O29" s="2942"/>
      <c r="P29" s="3380"/>
      <c r="Q29" s="1534">
        <f t="shared" si="11"/>
        <v>111</v>
      </c>
      <c r="R29" s="711" t="s">
        <v>14</v>
      </c>
      <c r="S29" s="712">
        <f t="shared" si="12"/>
        <v>100</v>
      </c>
      <c r="T29" s="711" t="s">
        <v>14</v>
      </c>
      <c r="U29" s="712">
        <f t="shared" si="13"/>
        <v>100</v>
      </c>
      <c r="V29" s="711" t="s">
        <v>14</v>
      </c>
      <c r="W29" s="712">
        <f t="shared" si="14"/>
        <v>100</v>
      </c>
      <c r="X29" s="1537"/>
      <c r="Y29" s="3335"/>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8"/>
      <c r="M30" s="2942"/>
      <c r="N30" s="2942"/>
      <c r="O30" s="2942"/>
      <c r="P30" s="3380"/>
      <c r="Q30" s="1534">
        <f t="shared" si="11"/>
        <v>111</v>
      </c>
      <c r="R30" s="711" t="s">
        <v>14</v>
      </c>
      <c r="S30" s="712">
        <f t="shared" si="12"/>
        <v>100</v>
      </c>
      <c r="T30" s="711" t="s">
        <v>14</v>
      </c>
      <c r="U30" s="712">
        <f t="shared" si="13"/>
        <v>100</v>
      </c>
      <c r="V30" s="711" t="s">
        <v>14</v>
      </c>
      <c r="W30" s="712">
        <f t="shared" si="14"/>
        <v>100</v>
      </c>
      <c r="X30" s="1537"/>
      <c r="Y30" s="3335"/>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8"/>
      <c r="M31" s="2942"/>
      <c r="N31" s="2942"/>
      <c r="O31" s="2942"/>
      <c r="P31" s="3380"/>
      <c r="Q31" s="1534">
        <f t="shared" si="11"/>
        <v>111</v>
      </c>
      <c r="R31" s="711" t="s">
        <v>14</v>
      </c>
      <c r="S31" s="712">
        <f t="shared" si="12"/>
        <v>100</v>
      </c>
      <c r="T31" s="711" t="s">
        <v>14</v>
      </c>
      <c r="U31" s="712">
        <f t="shared" si="13"/>
        <v>100</v>
      </c>
      <c r="V31" s="711" t="s">
        <v>14</v>
      </c>
      <c r="W31" s="712">
        <f t="shared" si="14"/>
        <v>100</v>
      </c>
      <c r="X31" s="1537"/>
      <c r="Y31" s="3335"/>
      <c r="Z31" s="1538">
        <f t="shared" si="15"/>
        <v>111</v>
      </c>
      <c r="AA31" s="1535">
        <f t="shared" si="3"/>
        <v>1</v>
      </c>
      <c r="AB31" s="1535">
        <f t="shared" si="4"/>
        <v>1</v>
      </c>
      <c r="AC31" s="1535">
        <f t="shared" si="5"/>
        <v>1</v>
      </c>
    </row>
    <row r="32" spans="1:29" ht="15">
      <c r="A32" s="396" t="s">
        <v>2359</v>
      </c>
      <c r="B32" s="64" t="s">
        <v>2456</v>
      </c>
      <c r="C32" s="2093"/>
      <c r="D32" s="423">
        <v>100</v>
      </c>
      <c r="E32" s="2093"/>
      <c r="F32" s="417">
        <f>SUMIF(100:100,E32,101:101)-SUMIF(100:100,C32,101:101)+100</f>
        <v>100</v>
      </c>
      <c r="G32" s="2093"/>
      <c r="H32" s="391">
        <f>SUMIF(100:100,G32,101:101)-SUMIF(100:100,C32,101:101)+100</f>
        <v>100</v>
      </c>
      <c r="I32" s="2093"/>
      <c r="J32" s="423">
        <f>SUMIF(100:100,I32,101:101)-SUMIF(100:100,C32,101:101)+100</f>
        <v>100</v>
      </c>
      <c r="K32" s="566"/>
      <c r="L32" s="2948"/>
      <c r="M32" s="2942"/>
      <c r="N32" s="2942"/>
      <c r="O32" s="2942"/>
      <c r="P32" s="3375" t="s">
        <v>2361</v>
      </c>
      <c r="Q32" s="1534" t="str">
        <f t="shared" si="11"/>
        <v>商业类型</v>
      </c>
      <c r="R32" s="711" t="s">
        <v>14</v>
      </c>
      <c r="S32" s="712">
        <f t="shared" si="12"/>
        <v>100</v>
      </c>
      <c r="T32" s="711" t="s">
        <v>14</v>
      </c>
      <c r="U32" s="712">
        <f t="shared" si="13"/>
        <v>100</v>
      </c>
      <c r="V32" s="711" t="s">
        <v>14</v>
      </c>
      <c r="W32" s="712">
        <f t="shared" si="14"/>
        <v>100</v>
      </c>
      <c r="X32" s="1537"/>
      <c r="Y32" s="3337" t="s">
        <v>2361</v>
      </c>
      <c r="Z32" s="1538" t="str">
        <f t="shared" si="15"/>
        <v>商业类型</v>
      </c>
      <c r="AA32" s="1535">
        <f t="shared" si="3"/>
        <v>1</v>
      </c>
      <c r="AB32" s="1535">
        <f t="shared" si="4"/>
        <v>1</v>
      </c>
      <c r="AC32" s="1535">
        <f t="shared" si="5"/>
        <v>1</v>
      </c>
    </row>
    <row r="33" spans="1:29" s="427" customFormat="1" ht="15">
      <c r="A33" s="424"/>
      <c r="B33" s="378" t="s">
        <v>2362</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7"/>
      <c r="M33" s="2949"/>
      <c r="N33" s="2949"/>
      <c r="O33" s="2949"/>
      <c r="P33" s="3376"/>
      <c r="Q33" s="713" t="str">
        <f t="shared" si="11"/>
        <v>项目建筑规模</v>
      </c>
      <c r="R33" s="714" t="s">
        <v>14</v>
      </c>
      <c r="S33" s="715" t="e">
        <f t="shared" si="12"/>
        <v>#N/A</v>
      </c>
      <c r="T33" s="714" t="s">
        <v>14</v>
      </c>
      <c r="U33" s="715" t="e">
        <f t="shared" si="13"/>
        <v>#N/A</v>
      </c>
      <c r="V33" s="714" t="s">
        <v>14</v>
      </c>
      <c r="W33" s="715" t="e">
        <f t="shared" si="14"/>
        <v>#N/A</v>
      </c>
      <c r="X33" s="716"/>
      <c r="Y33" s="3337"/>
      <c r="Z33" s="717" t="str">
        <f t="shared" si="15"/>
        <v>项目建筑规模</v>
      </c>
      <c r="AA33" s="1535" t="e">
        <f t="shared" si="3"/>
        <v>#N/A</v>
      </c>
      <c r="AB33" s="1535" t="e">
        <f t="shared" si="4"/>
        <v>#N/A</v>
      </c>
      <c r="AC33" s="1535" t="e">
        <f t="shared" si="5"/>
        <v>#N/A</v>
      </c>
    </row>
    <row r="34" spans="1:29" ht="15">
      <c r="A34" s="428"/>
      <c r="B34" s="378" t="s">
        <v>2363</v>
      </c>
      <c r="C34" s="2095"/>
      <c r="D34" s="391">
        <v>100</v>
      </c>
      <c r="E34" s="2095"/>
      <c r="F34" s="417">
        <f>SUMIF(105:105,E34,106:106)-SUMIF(105:105,C34,106:106)+100</f>
        <v>100</v>
      </c>
      <c r="G34" s="2095"/>
      <c r="H34" s="391">
        <f>SUMIF(105:105,G34,106:106)-SUMIF(105:105,C34,106:106)+100</f>
        <v>100</v>
      </c>
      <c r="I34" s="2095"/>
      <c r="J34" s="391">
        <f>SUMIF(105:105,I34,106:106)-SUMIF(105:105,C34,106:106)+100</f>
        <v>100</v>
      </c>
      <c r="K34" s="566"/>
      <c r="L34" s="2948"/>
      <c r="M34" s="2942"/>
      <c r="N34" s="2942"/>
      <c r="O34" s="2942"/>
      <c r="P34" s="3376"/>
      <c r="Q34" s="1534" t="str">
        <f t="shared" si="11"/>
        <v>建筑结构</v>
      </c>
      <c r="R34" s="711" t="s">
        <v>14</v>
      </c>
      <c r="S34" s="712">
        <f t="shared" si="12"/>
        <v>100</v>
      </c>
      <c r="T34" s="711" t="s">
        <v>14</v>
      </c>
      <c r="U34" s="712">
        <f t="shared" si="13"/>
        <v>100</v>
      </c>
      <c r="V34" s="711" t="s">
        <v>14</v>
      </c>
      <c r="W34" s="712">
        <f t="shared" si="14"/>
        <v>100</v>
      </c>
      <c r="X34" s="1537"/>
      <c r="Y34" s="3337"/>
      <c r="Z34" s="1538" t="str">
        <f t="shared" si="15"/>
        <v>建筑结构</v>
      </c>
      <c r="AA34" s="1535">
        <f t="shared" si="3"/>
        <v>1</v>
      </c>
      <c r="AB34" s="1535">
        <f t="shared" si="4"/>
        <v>1</v>
      </c>
      <c r="AC34" s="1535">
        <f t="shared" si="5"/>
        <v>1</v>
      </c>
    </row>
    <row r="35" spans="1:29" ht="15">
      <c r="A35" s="428"/>
      <c r="B35" s="378" t="s">
        <v>2457</v>
      </c>
      <c r="C35" s="2089"/>
      <c r="D35" s="391">
        <v>100</v>
      </c>
      <c r="E35" s="2089"/>
      <c r="F35" s="417">
        <f>SUMIF(107:107,E35,108:108)-SUMIF(107:107,C35,108:108)+100</f>
        <v>100</v>
      </c>
      <c r="G35" s="2089"/>
      <c r="H35" s="391">
        <f>SUMIF(107:107,G35,108:108)-SUMIF(107:107,C35,108:108)+100</f>
        <v>100</v>
      </c>
      <c r="I35" s="2089"/>
      <c r="J35" s="391">
        <f>SUMIF(107:107,I35,108:108)-SUMIF(107:107,C35,108:108)+100</f>
        <v>100</v>
      </c>
      <c r="K35" s="566"/>
      <c r="L35" s="2948"/>
      <c r="M35" s="2942"/>
      <c r="N35" s="2942"/>
      <c r="O35" s="2942"/>
      <c r="P35" s="3376"/>
      <c r="Q35" s="1534" t="str">
        <f t="shared" si="11"/>
        <v>公共部分装修</v>
      </c>
      <c r="R35" s="711" t="s">
        <v>14</v>
      </c>
      <c r="S35" s="712">
        <f t="shared" si="12"/>
        <v>100</v>
      </c>
      <c r="T35" s="711" t="s">
        <v>14</v>
      </c>
      <c r="U35" s="712">
        <f t="shared" si="13"/>
        <v>100</v>
      </c>
      <c r="V35" s="711" t="s">
        <v>14</v>
      </c>
      <c r="W35" s="712">
        <f t="shared" si="14"/>
        <v>100</v>
      </c>
      <c r="X35" s="1537"/>
      <c r="Y35" s="3337"/>
      <c r="Z35" s="1538" t="str">
        <f t="shared" si="15"/>
        <v>公共部分装修</v>
      </c>
      <c r="AA35" s="1535">
        <f t="shared" si="3"/>
        <v>1</v>
      </c>
      <c r="AB35" s="1535">
        <f t="shared" si="4"/>
        <v>1</v>
      </c>
      <c r="AC35" s="1535">
        <f t="shared" si="5"/>
        <v>1</v>
      </c>
    </row>
    <row r="36" spans="1:29" ht="15">
      <c r="A36" s="428"/>
      <c r="B36" s="378" t="s">
        <v>2458</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8"/>
      <c r="M36" s="2942"/>
      <c r="N36" s="2942"/>
      <c r="O36" s="2942"/>
      <c r="P36" s="3376"/>
      <c r="Q36" s="1534" t="str">
        <f t="shared" si="11"/>
        <v>成新度</v>
      </c>
      <c r="R36" s="711" t="s">
        <v>14</v>
      </c>
      <c r="S36" s="712" t="e">
        <f t="shared" si="12"/>
        <v>#N/A</v>
      </c>
      <c r="T36" s="711" t="s">
        <v>14</v>
      </c>
      <c r="U36" s="712" t="e">
        <f t="shared" si="13"/>
        <v>#N/A</v>
      </c>
      <c r="V36" s="711" t="s">
        <v>14</v>
      </c>
      <c r="W36" s="712" t="e">
        <f t="shared" si="14"/>
        <v>#N/A</v>
      </c>
      <c r="X36" s="1537"/>
      <c r="Y36" s="3337"/>
      <c r="Z36" s="1538" t="str">
        <f t="shared" si="15"/>
        <v>成新度</v>
      </c>
      <c r="AA36" s="1535" t="e">
        <f t="shared" si="3"/>
        <v>#N/A</v>
      </c>
      <c r="AB36" s="1535" t="e">
        <f t="shared" si="4"/>
        <v>#N/A</v>
      </c>
      <c r="AC36" s="1535" t="e">
        <f t="shared" si="5"/>
        <v>#N/A</v>
      </c>
    </row>
    <row r="37" spans="1:29" s="110" customFormat="1" ht="15">
      <c r="A37" s="429"/>
      <c r="B37" s="378" t="s">
        <v>2459</v>
      </c>
      <c r="C37" s="2089"/>
      <c r="D37" s="129">
        <v>100</v>
      </c>
      <c r="E37" s="2089"/>
      <c r="F37" s="417">
        <f>SUMIF(112:112,E37,113:113)-SUMIF(112:112,C37,113:113)+100</f>
        <v>100</v>
      </c>
      <c r="G37" s="2089"/>
      <c r="H37" s="391">
        <f>SUMIF(112:112,G37,113:113)-SUMIF(112:112,C37,113:113)+100</f>
        <v>100</v>
      </c>
      <c r="I37" s="2089"/>
      <c r="J37" s="391">
        <f>SUMIF(112:112,I37,113:113)-SUMIF(112:112,C37,113:113)+100</f>
        <v>100</v>
      </c>
      <c r="K37" s="566"/>
      <c r="L37" s="2943"/>
      <c r="M37" s="2944"/>
      <c r="N37" s="2944"/>
      <c r="O37" s="2944"/>
      <c r="P37" s="3376"/>
      <c r="Q37" s="1525" t="str">
        <f t="shared" si="11"/>
        <v>市政基础设施</v>
      </c>
      <c r="R37" s="707" t="s">
        <v>14</v>
      </c>
      <c r="S37" s="708">
        <f t="shared" si="12"/>
        <v>100</v>
      </c>
      <c r="T37" s="707" t="s">
        <v>14</v>
      </c>
      <c r="U37" s="708">
        <f t="shared" si="13"/>
        <v>100</v>
      </c>
      <c r="V37" s="707" t="s">
        <v>14</v>
      </c>
      <c r="W37" s="708">
        <f t="shared" si="14"/>
        <v>100</v>
      </c>
      <c r="X37" s="709"/>
      <c r="Y37" s="3337"/>
      <c r="Z37" s="52" t="str">
        <f t="shared" si="15"/>
        <v>市政基础设施</v>
      </c>
      <c r="AA37" s="710">
        <f t="shared" si="3"/>
        <v>1</v>
      </c>
      <c r="AB37" s="710">
        <f t="shared" si="4"/>
        <v>1</v>
      </c>
      <c r="AC37" s="710">
        <f t="shared" si="5"/>
        <v>1</v>
      </c>
    </row>
    <row r="38" spans="1:29" ht="15">
      <c r="A38" s="428"/>
      <c r="B38" s="378" t="s">
        <v>2460</v>
      </c>
      <c r="C38" s="2089"/>
      <c r="D38" s="391">
        <v>100</v>
      </c>
      <c r="E38" s="2089"/>
      <c r="F38" s="417">
        <f>SUMIF(114:114,E38,115:115)-SUMIF(114:114,C38,115:115)+100</f>
        <v>100</v>
      </c>
      <c r="G38" s="2089"/>
      <c r="H38" s="391">
        <f>SUMIF(114:114,G38,115:115)-SUMIF(114:114,C38,115:115)+100</f>
        <v>100</v>
      </c>
      <c r="I38" s="2089"/>
      <c r="J38" s="391">
        <f>SUMIF(114:114,I38,115:115)-SUMIF(114:114,C38,115:115)+100</f>
        <v>100</v>
      </c>
      <c r="K38" s="566"/>
      <c r="L38" s="2948"/>
      <c r="M38" s="2942"/>
      <c r="N38" s="2942"/>
      <c r="O38" s="2942"/>
      <c r="P38" s="3376" t="s">
        <v>2361</v>
      </c>
      <c r="Q38" s="1534" t="str">
        <f t="shared" si="11"/>
        <v>业态</v>
      </c>
      <c r="R38" s="711" t="s">
        <v>14</v>
      </c>
      <c r="S38" s="712">
        <f t="shared" si="12"/>
        <v>100</v>
      </c>
      <c r="T38" s="711" t="s">
        <v>14</v>
      </c>
      <c r="U38" s="712">
        <f t="shared" si="13"/>
        <v>100</v>
      </c>
      <c r="V38" s="711" t="s">
        <v>14</v>
      </c>
      <c r="W38" s="712">
        <f t="shared" si="14"/>
        <v>100</v>
      </c>
      <c r="X38" s="1537"/>
      <c r="Y38" s="3337" t="s">
        <v>2361</v>
      </c>
      <c r="Z38" s="1538" t="str">
        <f t="shared" si="15"/>
        <v>业态</v>
      </c>
      <c r="AA38" s="1535">
        <f t="shared" si="3"/>
        <v>1</v>
      </c>
      <c r="AB38" s="1535">
        <f t="shared" si="4"/>
        <v>1</v>
      </c>
      <c r="AC38" s="1535">
        <f t="shared" si="5"/>
        <v>1</v>
      </c>
    </row>
    <row r="39" spans="1:29" ht="15">
      <c r="A39" s="428"/>
      <c r="B39" s="378" t="s">
        <v>2461</v>
      </c>
      <c r="C39" s="2089"/>
      <c r="D39" s="391">
        <v>100</v>
      </c>
      <c r="E39" s="2089"/>
      <c r="F39" s="417">
        <f>SUMIF(116:116,E39,117:117)-SUMIF(116:116,C39,117:117)+100</f>
        <v>100</v>
      </c>
      <c r="G39" s="2089"/>
      <c r="H39" s="391">
        <f>SUMIF(116:116,G39,117:117)-SUMIF(116:116,C39,117:117)+100</f>
        <v>100</v>
      </c>
      <c r="I39" s="2089"/>
      <c r="J39" s="391">
        <f>SUMIF(116:116,I39,117:117)-SUMIF(116:116,C39,117:117)+100</f>
        <v>100</v>
      </c>
      <c r="K39" s="566"/>
      <c r="L39" s="2948"/>
      <c r="M39" s="2942"/>
      <c r="N39" s="2942"/>
      <c r="O39" s="2942"/>
      <c r="P39" s="3376"/>
      <c r="Q39" s="1534" t="str">
        <f t="shared" si="11"/>
        <v>层高</v>
      </c>
      <c r="R39" s="711" t="s">
        <v>14</v>
      </c>
      <c r="S39" s="712">
        <f t="shared" si="12"/>
        <v>100</v>
      </c>
      <c r="T39" s="711" t="s">
        <v>14</v>
      </c>
      <c r="U39" s="712">
        <f t="shared" si="13"/>
        <v>100</v>
      </c>
      <c r="V39" s="711" t="s">
        <v>14</v>
      </c>
      <c r="W39" s="712">
        <f t="shared" si="14"/>
        <v>100</v>
      </c>
      <c r="X39" s="1537"/>
      <c r="Y39" s="3337"/>
      <c r="Z39" s="1538" t="str">
        <f t="shared" si="15"/>
        <v>层高</v>
      </c>
      <c r="AA39" s="1535">
        <f t="shared" si="3"/>
        <v>1</v>
      </c>
      <c r="AB39" s="1535">
        <f t="shared" si="4"/>
        <v>1</v>
      </c>
      <c r="AC39" s="1535">
        <f t="shared" si="5"/>
        <v>1</v>
      </c>
    </row>
    <row r="40" spans="1:29" ht="15">
      <c r="A40" s="428"/>
      <c r="B40" s="378" t="s">
        <v>2462</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8"/>
      <c r="M40" s="2942"/>
      <c r="N40" s="2942"/>
      <c r="O40" s="2942"/>
      <c r="P40" s="3376"/>
      <c r="Q40" s="1534" t="str">
        <f t="shared" si="11"/>
        <v>单套建筑面积</v>
      </c>
      <c r="R40" s="711" t="s">
        <v>14</v>
      </c>
      <c r="S40" s="712">
        <f t="shared" si="12"/>
        <v>100</v>
      </c>
      <c r="T40" s="711" t="s">
        <v>14</v>
      </c>
      <c r="U40" s="712">
        <f t="shared" si="13"/>
        <v>100</v>
      </c>
      <c r="V40" s="711" t="s">
        <v>14</v>
      </c>
      <c r="W40" s="712">
        <f t="shared" si="14"/>
        <v>100</v>
      </c>
      <c r="X40" s="1537"/>
      <c r="Y40" s="3337"/>
      <c r="Z40" s="1538" t="str">
        <f t="shared" si="15"/>
        <v>单套建筑面积</v>
      </c>
      <c r="AA40" s="1535">
        <f t="shared" si="3"/>
        <v>1</v>
      </c>
      <c r="AB40" s="1535">
        <f t="shared" si="4"/>
        <v>1</v>
      </c>
      <c r="AC40" s="1535">
        <f t="shared" si="5"/>
        <v>1</v>
      </c>
    </row>
    <row r="41" spans="1:29" s="427" customFormat="1" ht="15">
      <c r="A41" s="424"/>
      <c r="B41" s="1536" t="s">
        <v>2463</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7"/>
      <c r="M41" s="2949"/>
      <c r="N41" s="2949"/>
      <c r="O41" s="2949"/>
      <c r="P41" s="3376"/>
      <c r="Q41" s="713" t="str">
        <f t="shared" si="11"/>
        <v>进深比</v>
      </c>
      <c r="R41" s="714" t="s">
        <v>14</v>
      </c>
      <c r="S41" s="715">
        <f t="shared" si="12"/>
        <v>100</v>
      </c>
      <c r="T41" s="714" t="s">
        <v>14</v>
      </c>
      <c r="U41" s="715">
        <f t="shared" si="13"/>
        <v>100</v>
      </c>
      <c r="V41" s="714" t="s">
        <v>14</v>
      </c>
      <c r="W41" s="715">
        <f t="shared" si="14"/>
        <v>100</v>
      </c>
      <c r="X41" s="716"/>
      <c r="Y41" s="3337"/>
      <c r="Z41" s="717" t="str">
        <f t="shared" si="15"/>
        <v>进深比</v>
      </c>
      <c r="AA41" s="1535">
        <f t="shared" si="3"/>
        <v>1</v>
      </c>
      <c r="AB41" s="1535">
        <f t="shared" si="4"/>
        <v>1</v>
      </c>
      <c r="AC41" s="1535">
        <f t="shared" si="5"/>
        <v>1</v>
      </c>
    </row>
    <row r="42" spans="1:29" ht="15">
      <c r="A42" s="428"/>
      <c r="B42" s="378" t="s">
        <v>2464</v>
      </c>
      <c r="C42" s="2089"/>
      <c r="D42" s="391">
        <v>100</v>
      </c>
      <c r="E42" s="2089"/>
      <c r="F42" s="417">
        <f>SUMIF(122:122,E42,123:123)-SUMIF(122:122,C42,123:123)+100</f>
        <v>100</v>
      </c>
      <c r="G42" s="2089"/>
      <c r="H42" s="391">
        <f>SUMIF(122:122,G42,123:123)-SUMIF(122:122,C42,123:123)+100</f>
        <v>100</v>
      </c>
      <c r="I42" s="2089"/>
      <c r="J42" s="391">
        <f>SUMIF(122:122,I42,123:123)-SUMIF(122:122,C42,123:123)+100</f>
        <v>100</v>
      </c>
      <c r="K42" s="566"/>
      <c r="L42" s="2948"/>
      <c r="M42" s="2942"/>
      <c r="N42" s="2942"/>
      <c r="O42" s="2942"/>
      <c r="P42" s="3376"/>
      <c r="Q42" s="1534" t="str">
        <f t="shared" si="11"/>
        <v>内部装修</v>
      </c>
      <c r="R42" s="711" t="s">
        <v>14</v>
      </c>
      <c r="S42" s="712">
        <f t="shared" si="12"/>
        <v>100</v>
      </c>
      <c r="T42" s="711" t="s">
        <v>14</v>
      </c>
      <c r="U42" s="712">
        <f t="shared" si="13"/>
        <v>100</v>
      </c>
      <c r="V42" s="711" t="s">
        <v>14</v>
      </c>
      <c r="W42" s="712">
        <f t="shared" si="14"/>
        <v>100</v>
      </c>
      <c r="X42" s="1537"/>
      <c r="Y42" s="3337"/>
      <c r="Z42" s="1538" t="str">
        <f t="shared" si="15"/>
        <v>内部装修</v>
      </c>
      <c r="AA42" s="1535">
        <f t="shared" si="3"/>
        <v>1</v>
      </c>
      <c r="AB42" s="1535">
        <f t="shared" si="4"/>
        <v>1</v>
      </c>
      <c r="AC42" s="1535">
        <f t="shared" si="5"/>
        <v>1</v>
      </c>
    </row>
    <row r="43" spans="1:29" ht="15">
      <c r="A43" s="428"/>
      <c r="B43" s="378" t="s">
        <v>2372</v>
      </c>
      <c r="C43" s="2089"/>
      <c r="D43" s="391">
        <v>100</v>
      </c>
      <c r="E43" s="2089"/>
      <c r="F43" s="417">
        <f>SUMIF(124:124,E43,125:125)-SUMIF(124:124,C43,125:125)+100</f>
        <v>100</v>
      </c>
      <c r="G43" s="2089"/>
      <c r="H43" s="391">
        <f>SUMIF(124:124,G43,125:125)-SUMIF(124:124,C43,125:125)+100</f>
        <v>100</v>
      </c>
      <c r="I43" s="2089"/>
      <c r="J43" s="391">
        <f>SUMIF(124:124,I43,125:125)-SUMIF(124:124,C43,125:125)+100</f>
        <v>100</v>
      </c>
      <c r="K43" s="566"/>
      <c r="L43" s="2948"/>
      <c r="M43" s="2942"/>
      <c r="N43" s="2942"/>
      <c r="O43" s="2942"/>
      <c r="P43" s="3376"/>
      <c r="Q43" s="1534" t="str">
        <f t="shared" si="11"/>
        <v>内部装修维护情况</v>
      </c>
      <c r="R43" s="711" t="s">
        <v>14</v>
      </c>
      <c r="S43" s="712">
        <f t="shared" si="12"/>
        <v>100</v>
      </c>
      <c r="T43" s="711" t="s">
        <v>14</v>
      </c>
      <c r="U43" s="712">
        <f t="shared" si="13"/>
        <v>100</v>
      </c>
      <c r="V43" s="711" t="s">
        <v>14</v>
      </c>
      <c r="W43" s="712">
        <f t="shared" si="14"/>
        <v>100</v>
      </c>
      <c r="X43" s="1537"/>
      <c r="Y43" s="3337"/>
      <c r="Z43" s="1538" t="str">
        <f t="shared" si="15"/>
        <v>内部装修维护情况</v>
      </c>
      <c r="AA43" s="1535">
        <f t="shared" si="3"/>
        <v>1</v>
      </c>
      <c r="AB43" s="1535">
        <f t="shared" si="4"/>
        <v>1</v>
      </c>
      <c r="AC43" s="1535">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3"/>
      <c r="M44" s="2944"/>
      <c r="N44" s="2944"/>
      <c r="O44" s="2944"/>
      <c r="P44" s="3376"/>
      <c r="Q44" s="1525">
        <f t="shared" si="11"/>
        <v>111</v>
      </c>
      <c r="R44" s="707" t="s">
        <v>14</v>
      </c>
      <c r="S44" s="708">
        <f t="shared" si="12"/>
        <v>100</v>
      </c>
      <c r="T44" s="707" t="s">
        <v>14</v>
      </c>
      <c r="U44" s="708">
        <f t="shared" si="13"/>
        <v>100</v>
      </c>
      <c r="V44" s="707" t="s">
        <v>14</v>
      </c>
      <c r="W44" s="708">
        <f t="shared" si="14"/>
        <v>100</v>
      </c>
      <c r="X44" s="709"/>
      <c r="Y44" s="3337"/>
      <c r="Z44" s="52">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8"/>
      <c r="M45" s="2942"/>
      <c r="N45" s="2942"/>
      <c r="O45" s="2942"/>
      <c r="P45" s="3376"/>
      <c r="Q45" s="1534">
        <f t="shared" si="11"/>
        <v>111</v>
      </c>
      <c r="R45" s="711" t="s">
        <v>14</v>
      </c>
      <c r="S45" s="712">
        <f t="shared" si="12"/>
        <v>100</v>
      </c>
      <c r="T45" s="711" t="s">
        <v>14</v>
      </c>
      <c r="U45" s="712">
        <f t="shared" si="13"/>
        <v>100</v>
      </c>
      <c r="V45" s="711" t="s">
        <v>14</v>
      </c>
      <c r="W45" s="712">
        <f t="shared" si="14"/>
        <v>100</v>
      </c>
      <c r="X45" s="1537"/>
      <c r="Y45" s="3337"/>
      <c r="Z45" s="1538">
        <f t="shared" si="15"/>
        <v>111</v>
      </c>
      <c r="AA45" s="1535">
        <f t="shared" si="3"/>
        <v>1</v>
      </c>
      <c r="AB45" s="1535">
        <f t="shared" si="4"/>
        <v>1</v>
      </c>
      <c r="AC45" s="1535">
        <f t="shared" si="5"/>
        <v>1</v>
      </c>
    </row>
    <row r="46" spans="1:29" ht="15.75" thickBot="1">
      <c r="A46" s="434"/>
      <c r="B46" s="2078">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8"/>
      <c r="M46" s="2942"/>
      <c r="N46" s="2942"/>
      <c r="O46" s="2942"/>
      <c r="P46" s="3377"/>
      <c r="Q46" s="1534">
        <f t="shared" si="11"/>
        <v>111</v>
      </c>
      <c r="R46" s="711" t="s">
        <v>14</v>
      </c>
      <c r="S46" s="712">
        <f t="shared" si="12"/>
        <v>100</v>
      </c>
      <c r="T46" s="711" t="s">
        <v>14</v>
      </c>
      <c r="U46" s="712">
        <f t="shared" si="13"/>
        <v>100</v>
      </c>
      <c r="V46" s="711" t="s">
        <v>14</v>
      </c>
      <c r="W46" s="712">
        <f t="shared" si="14"/>
        <v>100</v>
      </c>
      <c r="X46" s="1537"/>
      <c r="Y46" s="3378"/>
      <c r="Z46" s="1538">
        <f t="shared" si="15"/>
        <v>111</v>
      </c>
      <c r="AA46" s="1535">
        <f t="shared" si="3"/>
        <v>1</v>
      </c>
      <c r="AB46" s="1535">
        <f t="shared" si="4"/>
        <v>1</v>
      </c>
      <c r="AC46" s="1535">
        <f t="shared" si="5"/>
        <v>1</v>
      </c>
    </row>
    <row r="47" spans="1:29" ht="15">
      <c r="A47" s="435" t="s">
        <v>2373</v>
      </c>
      <c r="B47" s="436"/>
      <c r="C47" s="1313" t="s">
        <v>0</v>
      </c>
      <c r="D47" s="1314"/>
      <c r="E47" s="1315"/>
      <c r="F47" s="1316"/>
      <c r="G47" s="1317"/>
      <c r="H47" s="1318"/>
      <c r="I47" s="1315"/>
      <c r="J47" s="1318"/>
      <c r="K47" s="720"/>
      <c r="L47" s="2950"/>
      <c r="M47" s="2951"/>
      <c r="N47" s="2942"/>
      <c r="O47" s="2951"/>
      <c r="P47" s="3319" t="str">
        <f>A47</f>
        <v>成交单价（元/平方米）</v>
      </c>
      <c r="Q47" s="3319"/>
      <c r="R47" s="3332">
        <f>E47</f>
        <v>0</v>
      </c>
      <c r="S47" s="3332"/>
      <c r="T47" s="3332">
        <f>G47</f>
        <v>0</v>
      </c>
      <c r="U47" s="3332"/>
      <c r="V47" s="3332">
        <f>I47</f>
        <v>0</v>
      </c>
      <c r="W47" s="3332"/>
      <c r="X47" s="696"/>
      <c r="Y47" s="718"/>
      <c r="Z47" s="696"/>
      <c r="AA47" s="696"/>
      <c r="AB47" s="696"/>
      <c r="AC47" s="696"/>
    </row>
    <row r="48" spans="1:29" ht="15.75" thickBot="1">
      <c r="A48" s="442" t="s">
        <v>2465</v>
      </c>
      <c r="B48" s="443"/>
      <c r="C48" s="1319" t="e">
        <f>R49</f>
        <v>#DIV/0!</v>
      </c>
      <c r="D48" s="2535" t="s">
        <v>2856</v>
      </c>
      <c r="E48" s="1320" t="e">
        <f>R48</f>
        <v>#DIV/0!</v>
      </c>
      <c r="F48" s="2536"/>
      <c r="G48" s="1319" t="e">
        <f>T48</f>
        <v>#DIV/0!</v>
      </c>
      <c r="H48" s="2536"/>
      <c r="I48" s="1320" t="e">
        <f>V48</f>
        <v>#DIV/0!</v>
      </c>
      <c r="J48" s="2536"/>
      <c r="K48" s="2538">
        <f>F48+H48+J48</f>
        <v>0</v>
      </c>
      <c r="L48" s="2950"/>
      <c r="M48" s="2951"/>
      <c r="N48" s="2942"/>
      <c r="O48" s="2951"/>
      <c r="P48" s="3319" t="str">
        <f>A48</f>
        <v>比较价值（元/平方米）</v>
      </c>
      <c r="Q48" s="331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696"/>
      <c r="Y48" s="696"/>
      <c r="Z48" s="696"/>
      <c r="AA48" s="696"/>
      <c r="AB48" s="696"/>
      <c r="AC48" s="696"/>
    </row>
    <row r="49" spans="1:29" ht="15.75" thickBot="1">
      <c r="A49" s="446" t="s">
        <v>2466</v>
      </c>
      <c r="B49" s="447"/>
      <c r="C49" s="1322" t="e">
        <f>R49</f>
        <v>#DIV/0!</v>
      </c>
      <c r="D49" s="1322"/>
      <c r="E49" s="1322"/>
      <c r="F49" s="1322"/>
      <c r="G49" s="1322"/>
      <c r="H49" s="1322"/>
      <c r="I49" s="1322"/>
      <c r="J49" s="1322"/>
      <c r="K49" s="721"/>
      <c r="L49" s="2950"/>
      <c r="M49" s="2951"/>
      <c r="N49" s="2942"/>
      <c r="O49" s="2951"/>
      <c r="P49" s="3339" t="str">
        <f>A49</f>
        <v>估价对象XX用房的比较价值（楼面单价，元/平方米）</v>
      </c>
      <c r="Q49" s="3340"/>
      <c r="R49" s="3373" t="e">
        <f>IF(F1="售价",ROUND(IF(D48="简单平均",AVERAGE(R48:V48),R48*F48+T48*H48+V48*J48),0),ROUND(IF(D48="简单平均",AVERAGE(R48:V48),R48*F48+T48*H48+V48*J48),1))</f>
        <v>#DIV/0!</v>
      </c>
      <c r="S49" s="3373"/>
      <c r="T49" s="3373"/>
      <c r="U49" s="3373"/>
      <c r="V49" s="3373"/>
      <c r="W49" s="3373"/>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1" t="s">
        <v>2467</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1" t="s">
        <v>2468</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6" customFormat="1" ht="13.5" customHeight="1">
      <c r="A54" s="2954"/>
      <c r="B54" s="2954"/>
      <c r="C54" s="451" t="s">
        <v>2469</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6"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0" t="s">
        <v>2470</v>
      </c>
      <c r="B57" s="696"/>
      <c r="C57" s="701"/>
      <c r="D57" s="701"/>
      <c r="E57" s="701"/>
      <c r="F57" s="702"/>
      <c r="G57" s="702"/>
      <c r="H57" s="701"/>
      <c r="I57" s="701"/>
      <c r="J57" s="701"/>
      <c r="K57" s="703"/>
      <c r="L57" s="1070"/>
      <c r="M57" s="1068"/>
      <c r="N57" s="1068"/>
      <c r="O57" s="1068"/>
      <c r="P57" s="2964"/>
      <c r="Q57" s="2965"/>
      <c r="R57" s="2951"/>
      <c r="S57" s="2951"/>
      <c r="T57" s="2951"/>
      <c r="U57" s="2951"/>
      <c r="V57" s="2951"/>
      <c r="W57" s="2951"/>
      <c r="X57" s="2951"/>
      <c r="Y57" s="2951"/>
      <c r="Z57" s="2951"/>
      <c r="AA57" s="2951"/>
      <c r="AB57" s="2951"/>
      <c r="AC57" s="2951"/>
    </row>
    <row r="58" spans="1:29" s="462" customFormat="1" ht="15">
      <c r="A58" s="459" t="s">
        <v>2344</v>
      </c>
      <c r="B58" s="460"/>
      <c r="C58" s="1343" t="str">
        <f>YEAR(C7)&amp;"-"&amp;MONTH(C7)</f>
        <v>2021-2</v>
      </c>
      <c r="D58" s="1344">
        <f>EDATE(C58,-1)</f>
        <v>44197</v>
      </c>
      <c r="E58" s="1344">
        <f t="shared" ref="E58:N58" si="16">EDATE(D58,-1)</f>
        <v>44166</v>
      </c>
      <c r="F58" s="1344">
        <f t="shared" si="16"/>
        <v>44136</v>
      </c>
      <c r="G58" s="1344">
        <f t="shared" si="16"/>
        <v>44105</v>
      </c>
      <c r="H58" s="1344">
        <f t="shared" si="16"/>
        <v>44075</v>
      </c>
      <c r="I58" s="1344">
        <f t="shared" si="16"/>
        <v>44044</v>
      </c>
      <c r="J58" s="1344">
        <f t="shared" si="16"/>
        <v>44013</v>
      </c>
      <c r="K58" s="1344">
        <f t="shared" si="16"/>
        <v>43983</v>
      </c>
      <c r="L58" s="1344">
        <f t="shared" si="16"/>
        <v>43952</v>
      </c>
      <c r="M58" s="1344">
        <f t="shared" si="16"/>
        <v>43922</v>
      </c>
      <c r="N58" s="1344">
        <f t="shared" si="16"/>
        <v>43891</v>
      </c>
      <c r="O58" s="1344">
        <f>EDATE(N58,-1)</f>
        <v>43862</v>
      </c>
      <c r="P58" s="2966"/>
      <c r="Q58" s="2967"/>
      <c r="R58" s="2967"/>
      <c r="S58" s="2967"/>
      <c r="T58" s="2967"/>
      <c r="U58" s="2967"/>
      <c r="V58" s="2967"/>
      <c r="W58" s="2967"/>
      <c r="X58" s="2967"/>
      <c r="Y58" s="2967"/>
      <c r="Z58" s="2967"/>
      <c r="AA58" s="2967"/>
      <c r="AB58" s="2967"/>
      <c r="AC58" s="2967"/>
    </row>
    <row r="59" spans="1:29" s="110" customFormat="1" ht="15">
      <c r="A59" s="463"/>
      <c r="B59" s="464"/>
      <c r="C59" s="1342">
        <v>100</v>
      </c>
      <c r="D59" s="466"/>
      <c r="E59" s="466"/>
      <c r="F59" s="466"/>
      <c r="G59" s="466"/>
      <c r="H59" s="466"/>
      <c r="I59" s="466"/>
      <c r="J59" s="466"/>
      <c r="K59" s="466"/>
      <c r="L59" s="466"/>
      <c r="M59" s="467"/>
      <c r="N59" s="466"/>
      <c r="O59" s="467"/>
      <c r="P59" s="2968"/>
      <c r="Q59" s="2885"/>
      <c r="R59" s="2885"/>
      <c r="S59" s="2885"/>
      <c r="T59" s="2885"/>
      <c r="U59" s="2885"/>
      <c r="V59" s="2885"/>
      <c r="W59" s="2885"/>
      <c r="X59" s="2885"/>
      <c r="Y59" s="2885"/>
      <c r="Z59" s="2885"/>
      <c r="AA59" s="2885"/>
      <c r="AB59" s="2885"/>
      <c r="AC59" s="2885"/>
    </row>
    <row r="60" spans="1:29" s="110" customFormat="1" ht="15.75" thickBot="1">
      <c r="A60" s="469" t="s">
        <v>2381</v>
      </c>
      <c r="B60" s="470"/>
      <c r="C60" s="471"/>
      <c r="D60" s="472"/>
      <c r="E60" s="472"/>
      <c r="F60" s="472"/>
      <c r="G60" s="472"/>
      <c r="H60" s="472"/>
      <c r="I60" s="472"/>
      <c r="J60" s="472"/>
      <c r="K60" s="472"/>
      <c r="L60" s="472"/>
      <c r="M60" s="473"/>
      <c r="N60" s="472"/>
      <c r="O60" s="473"/>
      <c r="P60" s="2968"/>
      <c r="Q60" s="2965"/>
      <c r="R60" s="2885"/>
      <c r="S60" s="2885"/>
      <c r="T60" s="2885"/>
      <c r="U60" s="2885"/>
      <c r="V60" s="2885"/>
      <c r="W60" s="2885"/>
      <c r="X60" s="2885"/>
      <c r="Y60" s="2885"/>
      <c r="Z60" s="2885"/>
      <c r="AA60" s="2885"/>
      <c r="AB60" s="2885"/>
      <c r="AC60" s="2885"/>
    </row>
    <row r="61" spans="1:29" s="110" customFormat="1" ht="15">
      <c r="A61" s="475" t="s">
        <v>2346</v>
      </c>
      <c r="B61" s="464"/>
      <c r="C61" s="476" t="s">
        <v>2448</v>
      </c>
      <c r="D61" s="477"/>
      <c r="E61" s="477"/>
      <c r="F61" s="477"/>
      <c r="G61" s="477"/>
      <c r="H61" s="477"/>
      <c r="I61" s="477"/>
      <c r="J61" s="477"/>
      <c r="K61" s="477"/>
      <c r="L61" s="478"/>
      <c r="M61" s="479"/>
      <c r="N61" s="2978"/>
      <c r="O61" s="2978"/>
      <c r="P61" s="2969"/>
      <c r="Q61" s="2965"/>
      <c r="R61" s="2885"/>
      <c r="S61" s="2885"/>
      <c r="T61" s="2885"/>
      <c r="U61" s="2885"/>
      <c r="V61" s="2885"/>
      <c r="W61" s="2885"/>
      <c r="X61" s="2885"/>
      <c r="Y61" s="2885"/>
      <c r="Z61" s="2885"/>
      <c r="AA61" s="2885"/>
      <c r="AB61" s="2885"/>
      <c r="AC61" s="2885"/>
    </row>
    <row r="62" spans="1:29" s="110" customFormat="1" ht="15.75" thickBot="1">
      <c r="A62" s="475"/>
      <c r="B62" s="464"/>
      <c r="C62" s="465">
        <v>100</v>
      </c>
      <c r="D62" s="466"/>
      <c r="E62" s="466"/>
      <c r="F62" s="466"/>
      <c r="G62" s="466"/>
      <c r="H62" s="466"/>
      <c r="I62" s="466"/>
      <c r="J62" s="466"/>
      <c r="K62" s="466"/>
      <c r="L62" s="466"/>
      <c r="M62" s="468"/>
      <c r="N62" s="2978"/>
      <c r="O62" s="2978"/>
      <c r="P62" s="2968"/>
      <c r="Q62" s="2965"/>
      <c r="R62" s="2885"/>
      <c r="S62" s="2885"/>
      <c r="T62" s="2885"/>
      <c r="U62" s="2885"/>
      <c r="V62" s="2885"/>
      <c r="W62" s="2885"/>
      <c r="X62" s="2885"/>
      <c r="Y62" s="2885"/>
      <c r="Z62" s="2885"/>
      <c r="AA62" s="2885"/>
      <c r="AB62" s="2885"/>
      <c r="AC62" s="2885"/>
    </row>
    <row r="63" spans="1:29">
      <c r="A63" s="481" t="s">
        <v>2384</v>
      </c>
      <c r="B63" s="482" t="s">
        <v>2350</v>
      </c>
      <c r="C63" s="483">
        <f>C9</f>
        <v>0</v>
      </c>
      <c r="D63" s="484"/>
      <c r="E63" s="484"/>
      <c r="F63" s="484"/>
      <c r="G63" s="484"/>
      <c r="H63" s="484"/>
      <c r="I63" s="484"/>
      <c r="J63" s="484"/>
      <c r="K63" s="485"/>
      <c r="L63" s="486"/>
      <c r="M63" s="487"/>
      <c r="N63" s="2979"/>
      <c r="O63" s="2979"/>
      <c r="P63" s="2970"/>
      <c r="Q63" s="2965"/>
      <c r="R63" s="2951"/>
      <c r="S63" s="2951"/>
      <c r="T63" s="2951"/>
      <c r="U63" s="2951"/>
      <c r="V63" s="2951"/>
      <c r="W63" s="2951"/>
      <c r="X63" s="2951"/>
      <c r="Y63" s="2951"/>
      <c r="Z63" s="2951"/>
      <c r="AA63" s="2951"/>
      <c r="AB63" s="2951"/>
      <c r="AC63" s="2951"/>
    </row>
    <row r="64" spans="1:29" ht="15.75" thickBot="1">
      <c r="A64" s="488"/>
      <c r="B64" s="489"/>
      <c r="C64" s="490">
        <v>100</v>
      </c>
      <c r="D64" s="490"/>
      <c r="E64" s="490"/>
      <c r="F64" s="490"/>
      <c r="G64" s="490"/>
      <c r="H64" s="490"/>
      <c r="I64" s="490"/>
      <c r="J64" s="490"/>
      <c r="K64" s="490"/>
      <c r="L64" s="490"/>
      <c r="M64" s="491"/>
      <c r="N64" s="2980"/>
      <c r="O64" s="2980"/>
      <c r="P64" s="2970"/>
      <c r="Q64" s="2965"/>
      <c r="R64" s="2951"/>
      <c r="S64" s="2951"/>
      <c r="T64" s="2951"/>
      <c r="U64" s="2951"/>
      <c r="V64" s="2951"/>
      <c r="W64" s="2951"/>
      <c r="X64" s="2951"/>
      <c r="Y64" s="2951"/>
      <c r="Z64" s="2951"/>
      <c r="AA64" s="2951"/>
      <c r="AB64" s="2951"/>
      <c r="AC64" s="2951"/>
    </row>
    <row r="65" spans="1:29" ht="27.75" thickTop="1">
      <c r="A65" s="488"/>
      <c r="B65" s="492" t="s">
        <v>2353</v>
      </c>
      <c r="C65" s="493" t="s">
        <v>2385</v>
      </c>
      <c r="D65" s="493" t="s">
        <v>2386</v>
      </c>
      <c r="E65" s="493" t="s">
        <v>2387</v>
      </c>
      <c r="F65" s="493" t="s">
        <v>2388</v>
      </c>
      <c r="G65" s="493" t="s">
        <v>2389</v>
      </c>
      <c r="H65" s="493" t="s">
        <v>2390</v>
      </c>
      <c r="I65" s="493" t="s">
        <v>2391</v>
      </c>
      <c r="J65" s="493"/>
      <c r="K65" s="494"/>
      <c r="L65" s="495"/>
      <c r="M65" s="496"/>
      <c r="N65" s="2979"/>
      <c r="O65" s="2979"/>
      <c r="P65" s="2970"/>
      <c r="Q65" s="2965"/>
      <c r="R65" s="2951"/>
      <c r="S65" s="2951"/>
      <c r="T65" s="2951"/>
      <c r="U65" s="2951"/>
      <c r="V65" s="2951"/>
      <c r="W65" s="2951"/>
      <c r="X65" s="2951"/>
      <c r="Y65" s="2951"/>
      <c r="Z65" s="2951"/>
      <c r="AA65" s="2951"/>
      <c r="AB65" s="2951"/>
      <c r="AC65" s="2951"/>
    </row>
    <row r="66" spans="1:29" ht="15.75" thickBot="1">
      <c r="A66" s="488"/>
      <c r="B66" s="497"/>
      <c r="C66" s="498" t="s">
        <v>21</v>
      </c>
      <c r="D66" s="498" t="s">
        <v>22</v>
      </c>
      <c r="E66" s="498" t="s">
        <v>23</v>
      </c>
      <c r="F66" s="498">
        <v>100</v>
      </c>
      <c r="G66" s="498">
        <f>F66-$K10</f>
        <v>100</v>
      </c>
      <c r="H66" s="498">
        <f>G66-$K10</f>
        <v>100</v>
      </c>
      <c r="I66" s="498">
        <f>H66-$K10</f>
        <v>100</v>
      </c>
      <c r="J66" s="498"/>
      <c r="K66" s="498"/>
      <c r="L66" s="498"/>
      <c r="M66" s="499"/>
      <c r="N66" s="2980"/>
      <c r="O66" s="2980"/>
      <c r="P66" s="2970"/>
      <c r="Q66" s="2965"/>
      <c r="R66" s="2951"/>
      <c r="S66" s="2951"/>
      <c r="T66" s="2951"/>
      <c r="U66" s="2951"/>
      <c r="V66" s="2951"/>
      <c r="W66" s="2951"/>
      <c r="X66" s="2951"/>
      <c r="Y66" s="2951"/>
      <c r="Z66" s="2951"/>
      <c r="AA66" s="2951"/>
      <c r="AB66" s="2951"/>
      <c r="AC66" s="2951"/>
    </row>
    <row r="67" spans="1:29" ht="15.75" thickTop="1">
      <c r="A67" s="488"/>
      <c r="B67" s="500" t="s">
        <v>2354</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8"/>
      <c r="B68" s="502"/>
      <c r="C68" s="503"/>
      <c r="D68" s="503"/>
      <c r="E68" s="503"/>
      <c r="F68" s="503"/>
      <c r="G68" s="503"/>
      <c r="H68" s="503"/>
      <c r="I68" s="503"/>
      <c r="J68" s="503"/>
      <c r="K68" s="504"/>
      <c r="L68" s="505"/>
      <c r="M68" s="506"/>
      <c r="N68" s="2979"/>
      <c r="O68" s="2979"/>
      <c r="P68" s="2970"/>
      <c r="Q68" s="2965"/>
      <c r="R68" s="2951"/>
      <c r="S68" s="2951"/>
      <c r="T68" s="2951"/>
      <c r="U68" s="2951"/>
      <c r="V68" s="2951"/>
      <c r="W68" s="2951"/>
      <c r="X68" s="2951"/>
      <c r="Y68" s="2951"/>
      <c r="Z68" s="2951"/>
      <c r="AA68" s="2951"/>
      <c r="AB68" s="2951"/>
      <c r="AC68" s="2951"/>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0"/>
      <c r="O69" s="2980"/>
      <c r="P69" s="2970"/>
      <c r="Q69" s="2965"/>
      <c r="R69" s="2951"/>
      <c r="S69" s="2951"/>
      <c r="T69" s="2951"/>
      <c r="U69" s="2951"/>
      <c r="V69" s="2951"/>
      <c r="W69" s="2951"/>
      <c r="X69" s="2951"/>
      <c r="Y69" s="2951"/>
      <c r="Z69" s="2951"/>
      <c r="AA69" s="2951"/>
      <c r="AB69" s="2951"/>
      <c r="AC69" s="2951"/>
    </row>
    <row r="70" spans="1:29" s="427" customFormat="1" ht="15.75" thickTop="1">
      <c r="A70" s="507"/>
      <c r="B70" s="492">
        <f>B12</f>
        <v>111</v>
      </c>
      <c r="C70" s="508"/>
      <c r="D70" s="508"/>
      <c r="E70" s="508"/>
      <c r="F70" s="508"/>
      <c r="G70" s="508"/>
      <c r="H70" s="509"/>
      <c r="I70" s="509"/>
      <c r="J70" s="509"/>
      <c r="K70" s="509"/>
      <c r="L70" s="510"/>
      <c r="M70" s="511"/>
      <c r="N70" s="2981"/>
      <c r="O70" s="2981"/>
      <c r="P70" s="2971"/>
      <c r="Q70" s="2972"/>
      <c r="R70" s="2973"/>
      <c r="S70" s="2973"/>
      <c r="T70" s="2973"/>
      <c r="U70" s="2973"/>
      <c r="V70" s="2973"/>
      <c r="W70" s="2973"/>
      <c r="X70" s="2973"/>
      <c r="Y70" s="2973"/>
      <c r="Z70" s="2973"/>
      <c r="AA70" s="2973"/>
      <c r="AB70" s="2973"/>
      <c r="AC70" s="2973"/>
    </row>
    <row r="71" spans="1:29" s="427" customFormat="1" ht="15.75" thickBot="1">
      <c r="A71" s="507"/>
      <c r="B71" s="497"/>
      <c r="C71" s="514"/>
      <c r="D71" s="490"/>
      <c r="E71" s="490"/>
      <c r="F71" s="490"/>
      <c r="G71" s="490"/>
      <c r="H71" s="490"/>
      <c r="I71" s="490"/>
      <c r="J71" s="490"/>
      <c r="K71" s="490"/>
      <c r="L71" s="490"/>
      <c r="M71" s="491"/>
      <c r="N71" s="2980"/>
      <c r="O71" s="2980"/>
      <c r="P71" s="2971"/>
      <c r="Q71" s="2972"/>
      <c r="R71" s="2973"/>
      <c r="S71" s="2973"/>
      <c r="T71" s="2973"/>
      <c r="U71" s="2973"/>
      <c r="V71" s="2973"/>
      <c r="W71" s="2973"/>
      <c r="X71" s="2973"/>
      <c r="Y71" s="2973"/>
      <c r="Z71" s="2973"/>
      <c r="AA71" s="2973"/>
      <c r="AB71" s="2973"/>
      <c r="AC71" s="2973"/>
    </row>
    <row r="72" spans="1:29" s="427" customFormat="1" ht="15.75" thickTop="1">
      <c r="A72" s="507"/>
      <c r="B72" s="492">
        <f>B13</f>
        <v>111</v>
      </c>
      <c r="C72" s="508"/>
      <c r="D72" s="508"/>
      <c r="E72" s="508"/>
      <c r="F72" s="508"/>
      <c r="G72" s="508"/>
      <c r="H72" s="509"/>
      <c r="I72" s="509"/>
      <c r="J72" s="509"/>
      <c r="K72" s="509"/>
      <c r="L72" s="510"/>
      <c r="M72" s="511"/>
      <c r="N72" s="2981"/>
      <c r="O72" s="2981"/>
      <c r="P72" s="2974"/>
      <c r="Q72" s="2975"/>
      <c r="R72" s="2973"/>
      <c r="S72" s="2973"/>
      <c r="T72" s="2973"/>
      <c r="U72" s="2973"/>
      <c r="V72" s="2973"/>
      <c r="W72" s="2973"/>
      <c r="X72" s="2973"/>
      <c r="Y72" s="2973"/>
      <c r="Z72" s="2973"/>
      <c r="AA72" s="2973"/>
      <c r="AB72" s="2973"/>
      <c r="AC72" s="2973"/>
    </row>
    <row r="73" spans="1:29" s="427" customFormat="1" ht="15.75" thickBot="1">
      <c r="A73" s="507"/>
      <c r="B73" s="497"/>
      <c r="C73" s="514"/>
      <c r="D73" s="490"/>
      <c r="E73" s="490"/>
      <c r="F73" s="490"/>
      <c r="G73" s="514"/>
      <c r="H73" s="516"/>
      <c r="I73" s="516"/>
      <c r="J73" s="516"/>
      <c r="K73" s="516"/>
      <c r="L73" s="516"/>
      <c r="M73" s="517"/>
      <c r="N73" s="2981"/>
      <c r="O73" s="2981"/>
      <c r="P73" s="2971"/>
      <c r="Q73" s="2972"/>
      <c r="R73" s="2973"/>
      <c r="S73" s="2973"/>
      <c r="T73" s="2973"/>
      <c r="U73" s="2973"/>
      <c r="V73" s="2973"/>
      <c r="W73" s="2973"/>
      <c r="X73" s="2973"/>
      <c r="Y73" s="2973"/>
      <c r="Z73" s="2973"/>
      <c r="AA73" s="2973"/>
      <c r="AB73" s="2973"/>
      <c r="AC73" s="2973"/>
    </row>
    <row r="74" spans="1:29" s="427" customFormat="1" ht="15.75" thickTop="1">
      <c r="A74" s="507"/>
      <c r="B74" s="500">
        <f>B14</f>
        <v>111</v>
      </c>
      <c r="C74" s="508"/>
      <c r="D74" s="508"/>
      <c r="E74" s="508"/>
      <c r="F74" s="508"/>
      <c r="G74" s="477"/>
      <c r="H74" s="518"/>
      <c r="I74" s="518"/>
      <c r="J74" s="518"/>
      <c r="K74" s="518"/>
      <c r="L74" s="519"/>
      <c r="M74" s="520"/>
      <c r="N74" s="2981"/>
      <c r="O74" s="2981"/>
      <c r="P74" s="2976"/>
      <c r="Q74" s="2972"/>
      <c r="R74" s="2973"/>
      <c r="S74" s="2973"/>
      <c r="T74" s="2973"/>
      <c r="U74" s="2973"/>
      <c r="V74" s="2973"/>
      <c r="W74" s="2973"/>
      <c r="X74" s="2973"/>
      <c r="Y74" s="2973"/>
      <c r="Z74" s="2973"/>
      <c r="AA74" s="2973"/>
      <c r="AB74" s="2973"/>
      <c r="AC74" s="2973"/>
    </row>
    <row r="75" spans="1:29" s="427" customFormat="1" ht="15.75" thickBot="1">
      <c r="A75" s="522"/>
      <c r="B75" s="523"/>
      <c r="C75" s="524"/>
      <c r="D75" s="524"/>
      <c r="E75" s="524"/>
      <c r="F75" s="524"/>
      <c r="G75" s="524"/>
      <c r="H75" s="525"/>
      <c r="I75" s="525"/>
      <c r="J75" s="525"/>
      <c r="K75" s="525"/>
      <c r="L75" s="525"/>
      <c r="M75" s="526"/>
      <c r="N75" s="2981"/>
      <c r="O75" s="2981"/>
      <c r="P75" s="2971"/>
      <c r="Q75" s="2972"/>
      <c r="R75" s="2973"/>
      <c r="S75" s="2973"/>
      <c r="T75" s="2973"/>
      <c r="U75" s="2973"/>
      <c r="V75" s="2973"/>
      <c r="W75" s="2973"/>
      <c r="X75" s="2973"/>
      <c r="Y75" s="2973"/>
      <c r="Z75" s="2973"/>
      <c r="AA75" s="2973"/>
      <c r="AB75" s="2973"/>
      <c r="AC75" s="2973"/>
    </row>
    <row r="76" spans="1:29">
      <c r="A76" s="481" t="s">
        <v>2355</v>
      </c>
      <c r="B76" s="482" t="s">
        <v>2392</v>
      </c>
      <c r="C76" s="527" t="s">
        <v>2393</v>
      </c>
      <c r="D76" s="527" t="s">
        <v>2394</v>
      </c>
      <c r="E76" s="527" t="s">
        <v>2395</v>
      </c>
      <c r="F76" s="527" t="s">
        <v>2396</v>
      </c>
      <c r="G76" s="527" t="s">
        <v>2397</v>
      </c>
      <c r="H76" s="483"/>
      <c r="I76" s="483"/>
      <c r="J76" s="483"/>
      <c r="K76" s="528"/>
      <c r="L76" s="529"/>
      <c r="M76" s="530"/>
      <c r="N76" s="2979"/>
      <c r="O76" s="2979"/>
      <c r="P76" s="2977"/>
      <c r="Q76" s="2965"/>
      <c r="R76" s="2951"/>
      <c r="S76" s="2951"/>
      <c r="T76" s="2951"/>
      <c r="U76" s="2951"/>
      <c r="V76" s="2951"/>
      <c r="W76" s="2951"/>
      <c r="X76" s="2951"/>
      <c r="Y76" s="2951"/>
      <c r="Z76" s="2951"/>
      <c r="AA76" s="2951"/>
      <c r="AB76" s="2951"/>
      <c r="AC76" s="2951"/>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0"/>
      <c r="O77" s="2980"/>
      <c r="P77" s="2970"/>
      <c r="Q77" s="2965"/>
      <c r="R77" s="2951"/>
      <c r="S77" s="2951"/>
      <c r="T77" s="2951"/>
      <c r="U77" s="2951"/>
      <c r="V77" s="2951"/>
      <c r="W77" s="2951"/>
      <c r="X77" s="2951"/>
      <c r="Y77" s="2951"/>
      <c r="Z77" s="2951"/>
      <c r="AA77" s="2951"/>
      <c r="AB77" s="2951"/>
      <c r="AC77" s="2951"/>
    </row>
    <row r="78" spans="1:29" ht="15.75" thickTop="1">
      <c r="A78" s="488"/>
      <c r="B78" s="492" t="s">
        <v>2398</v>
      </c>
      <c r="C78" s="532" t="s">
        <v>2393</v>
      </c>
      <c r="D78" s="532" t="s">
        <v>2394</v>
      </c>
      <c r="E78" s="532" t="s">
        <v>2395</v>
      </c>
      <c r="F78" s="532" t="s">
        <v>2396</v>
      </c>
      <c r="G78" s="532" t="s">
        <v>2397</v>
      </c>
      <c r="H78" s="493"/>
      <c r="I78" s="493"/>
      <c r="J78" s="493"/>
      <c r="K78" s="494"/>
      <c r="L78" s="495"/>
      <c r="M78" s="496"/>
      <c r="N78" s="2979"/>
      <c r="O78" s="2979"/>
      <c r="P78" s="2970"/>
      <c r="Q78" s="2965"/>
      <c r="R78" s="2951"/>
      <c r="S78" s="2951"/>
      <c r="T78" s="2951"/>
      <c r="U78" s="2951"/>
      <c r="V78" s="2951"/>
      <c r="W78" s="2951"/>
      <c r="X78" s="2951"/>
      <c r="Y78" s="2951"/>
      <c r="Z78" s="2951"/>
      <c r="AA78" s="2951"/>
      <c r="AB78" s="2951"/>
      <c r="AC78" s="2951"/>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0"/>
      <c r="O79" s="2980"/>
      <c r="P79" s="2970"/>
      <c r="Q79" s="2965"/>
      <c r="R79" s="2951"/>
      <c r="S79" s="2951"/>
      <c r="T79" s="2951"/>
      <c r="U79" s="2951"/>
      <c r="V79" s="2951"/>
      <c r="W79" s="2951"/>
      <c r="X79" s="2951"/>
      <c r="Y79" s="2951"/>
      <c r="Z79" s="2951"/>
      <c r="AA79" s="2951"/>
      <c r="AB79" s="2951"/>
      <c r="AC79" s="2951"/>
    </row>
    <row r="80" spans="1:29" ht="15.75" thickTop="1">
      <c r="A80" s="488"/>
      <c r="B80" s="492" t="s">
        <v>2399</v>
      </c>
      <c r="C80" s="532" t="s">
        <v>2393</v>
      </c>
      <c r="D80" s="532" t="s">
        <v>2394</v>
      </c>
      <c r="E80" s="532" t="s">
        <v>2395</v>
      </c>
      <c r="F80" s="532" t="s">
        <v>2396</v>
      </c>
      <c r="G80" s="532" t="s">
        <v>2397</v>
      </c>
      <c r="H80" s="493"/>
      <c r="I80" s="493"/>
      <c r="J80" s="493"/>
      <c r="K80" s="494"/>
      <c r="L80" s="495"/>
      <c r="M80" s="496"/>
      <c r="N80" s="2979"/>
      <c r="O80" s="2979"/>
      <c r="P80" s="2970"/>
      <c r="Q80" s="2965"/>
      <c r="R80" s="2951"/>
      <c r="S80" s="2951"/>
      <c r="T80" s="2951"/>
      <c r="U80" s="2951"/>
      <c r="V80" s="2951"/>
      <c r="W80" s="2951"/>
      <c r="X80" s="2951"/>
      <c r="Y80" s="2951"/>
      <c r="Z80" s="2951"/>
      <c r="AA80" s="2951"/>
      <c r="AB80" s="2951"/>
      <c r="AC80" s="2951"/>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0"/>
      <c r="O81" s="2980"/>
      <c r="P81" s="2970"/>
      <c r="Q81" s="2965"/>
      <c r="R81" s="2951"/>
      <c r="S81" s="2951"/>
      <c r="T81" s="2951"/>
      <c r="U81" s="2951"/>
      <c r="V81" s="2951"/>
      <c r="W81" s="2951"/>
      <c r="X81" s="2951"/>
      <c r="Y81" s="2951"/>
      <c r="Z81" s="2951"/>
      <c r="AA81" s="2951"/>
      <c r="AB81" s="2951"/>
      <c r="AC81" s="2951"/>
    </row>
    <row r="82" spans="1:29" ht="15.75" thickTop="1">
      <c r="A82" s="488"/>
      <c r="B82" s="500" t="s">
        <v>2451</v>
      </c>
      <c r="C82" s="613" t="s">
        <v>2471</v>
      </c>
      <c r="D82" s="613" t="s">
        <v>2472</v>
      </c>
      <c r="E82" s="613" t="s">
        <v>2473</v>
      </c>
      <c r="F82" s="613" t="s">
        <v>2474</v>
      </c>
      <c r="G82" s="613" t="s">
        <v>2475</v>
      </c>
      <c r="H82" s="493"/>
      <c r="I82" s="493"/>
      <c r="J82" s="493"/>
      <c r="K82" s="493"/>
      <c r="L82" s="493"/>
      <c r="M82" s="1288"/>
      <c r="N82" s="2980"/>
      <c r="O82" s="2980"/>
      <c r="P82" s="2970"/>
      <c r="Q82" s="2965"/>
      <c r="R82" s="2951"/>
      <c r="S82" s="2951"/>
      <c r="T82" s="2951"/>
      <c r="U82" s="2951"/>
      <c r="V82" s="2951"/>
      <c r="W82" s="2951"/>
      <c r="X82" s="2951"/>
      <c r="Y82" s="2951"/>
      <c r="Z82" s="2951"/>
      <c r="AA82" s="2951"/>
      <c r="AB82" s="2951"/>
      <c r="AC82" s="2951"/>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0"/>
      <c r="O83" s="2980"/>
      <c r="P83" s="2970"/>
      <c r="Q83" s="2965"/>
      <c r="R83" s="2951"/>
      <c r="S83" s="2951"/>
      <c r="T83" s="2951"/>
      <c r="U83" s="2951"/>
      <c r="V83" s="2951"/>
      <c r="W83" s="2951"/>
      <c r="X83" s="2951"/>
      <c r="Y83" s="2951"/>
      <c r="Z83" s="2951"/>
      <c r="AA83" s="2951"/>
      <c r="AB83" s="2951"/>
      <c r="AC83" s="2951"/>
    </row>
    <row r="84" spans="1:29" ht="15.75" thickTop="1">
      <c r="A84" s="488"/>
      <c r="B84" s="492" t="s">
        <v>2405</v>
      </c>
      <c r="C84" s="532" t="s">
        <v>2393</v>
      </c>
      <c r="D84" s="532" t="s">
        <v>2394</v>
      </c>
      <c r="E84" s="532" t="s">
        <v>2395</v>
      </c>
      <c r="F84" s="532" t="s">
        <v>2396</v>
      </c>
      <c r="G84" s="532" t="s">
        <v>2397</v>
      </c>
      <c r="H84" s="493"/>
      <c r="I84" s="493"/>
      <c r="J84" s="493"/>
      <c r="K84" s="494"/>
      <c r="L84" s="495"/>
      <c r="M84" s="496"/>
      <c r="N84" s="2979"/>
      <c r="O84" s="2979"/>
      <c r="P84" s="2970"/>
      <c r="Q84" s="2965"/>
      <c r="R84" s="2951"/>
      <c r="S84" s="2951"/>
      <c r="T84" s="2951"/>
      <c r="U84" s="2951"/>
      <c r="V84" s="2951"/>
      <c r="W84" s="2951"/>
      <c r="X84" s="2951"/>
      <c r="Y84" s="2951"/>
      <c r="Z84" s="2951"/>
      <c r="AA84" s="2951"/>
      <c r="AB84" s="2951"/>
      <c r="AC84" s="2951"/>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0"/>
      <c r="O85" s="2980"/>
      <c r="P85" s="2970"/>
      <c r="Q85" s="2965"/>
      <c r="R85" s="2951"/>
      <c r="S85" s="2951"/>
      <c r="T85" s="2951"/>
      <c r="U85" s="2951"/>
      <c r="V85" s="2951"/>
      <c r="W85" s="2951"/>
      <c r="X85" s="2951"/>
      <c r="Y85" s="2951"/>
      <c r="Z85" s="2951"/>
      <c r="AA85" s="2951"/>
      <c r="AB85" s="2951"/>
      <c r="AC85" s="2951"/>
    </row>
    <row r="86" spans="1:29" s="110" customFormat="1" ht="15.75" thickTop="1">
      <c r="A86" s="533"/>
      <c r="B86" s="492" t="s">
        <v>2476</v>
      </c>
      <c r="C86" s="508"/>
      <c r="D86" s="508"/>
      <c r="E86" s="508"/>
      <c r="F86" s="508"/>
      <c r="G86" s="508"/>
      <c r="H86" s="508"/>
      <c r="I86" s="508"/>
      <c r="J86" s="508"/>
      <c r="K86" s="508"/>
      <c r="L86" s="534"/>
      <c r="M86" s="535"/>
      <c r="N86" s="2978"/>
      <c r="O86" s="2978"/>
      <c r="P86" s="2970"/>
      <c r="Q86" s="2965"/>
      <c r="R86" s="2885"/>
      <c r="S86" s="2885"/>
      <c r="T86" s="2885"/>
      <c r="U86" s="2885"/>
      <c r="V86" s="2885"/>
      <c r="W86" s="2885"/>
      <c r="X86" s="2885"/>
      <c r="Y86" s="2885"/>
      <c r="Z86" s="2885"/>
      <c r="AA86" s="2885"/>
      <c r="AB86" s="2885"/>
      <c r="AC86" s="2885"/>
    </row>
    <row r="87" spans="1:29" s="110"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0"/>
      <c r="O87" s="2980"/>
      <c r="P87" s="2970"/>
      <c r="Q87" s="2965"/>
      <c r="R87" s="2885"/>
      <c r="S87" s="2885"/>
      <c r="T87" s="2885"/>
      <c r="U87" s="2885"/>
      <c r="V87" s="2885"/>
      <c r="W87" s="2885"/>
      <c r="X87" s="2885"/>
      <c r="Y87" s="2885"/>
      <c r="Z87" s="2885"/>
      <c r="AA87" s="2885"/>
      <c r="AB87" s="2885"/>
      <c r="AC87" s="2885"/>
    </row>
    <row r="88" spans="1:29" s="110" customFormat="1" ht="15.75" thickTop="1">
      <c r="A88" s="533"/>
      <c r="B88" s="492" t="str">
        <f>B26</f>
        <v>平面位置/可视性</v>
      </c>
      <c r="C88" s="508"/>
      <c r="D88" s="508"/>
      <c r="E88" s="508"/>
      <c r="F88" s="2110"/>
      <c r="G88" s="508"/>
      <c r="H88" s="508"/>
      <c r="I88" s="508"/>
      <c r="J88" s="508"/>
      <c r="K88" s="508"/>
      <c r="L88" s="508"/>
      <c r="M88" s="535"/>
      <c r="N88" s="2978"/>
      <c r="O88" s="2978"/>
      <c r="P88" s="2970"/>
      <c r="Q88" s="2965"/>
      <c r="R88" s="2885"/>
      <c r="S88" s="2885"/>
      <c r="T88" s="2885"/>
      <c r="U88" s="2885"/>
      <c r="V88" s="2885"/>
      <c r="W88" s="2885"/>
      <c r="X88" s="2885"/>
      <c r="Y88" s="2885"/>
      <c r="Z88" s="2885"/>
      <c r="AA88" s="2885"/>
      <c r="AB88" s="2885"/>
      <c r="AC88" s="2885"/>
    </row>
    <row r="89" spans="1:29" s="110" customFormat="1" ht="15.75" thickBot="1">
      <c r="A89" s="533"/>
      <c r="B89" s="497"/>
      <c r="C89" s="514"/>
      <c r="D89" s="490"/>
      <c r="E89" s="490"/>
      <c r="F89" s="490"/>
      <c r="G89" s="490"/>
      <c r="H89" s="490"/>
      <c r="I89" s="490"/>
      <c r="J89" s="490"/>
      <c r="K89" s="490"/>
      <c r="L89" s="490"/>
      <c r="M89" s="490"/>
      <c r="N89" s="2980"/>
      <c r="O89" s="2980"/>
      <c r="P89" s="2970"/>
      <c r="Q89" s="2965"/>
      <c r="R89" s="2885"/>
      <c r="S89" s="2885"/>
      <c r="T89" s="2885"/>
      <c r="U89" s="2885"/>
      <c r="V89" s="2885"/>
      <c r="W89" s="2885"/>
      <c r="X89" s="2885"/>
      <c r="Y89" s="2885"/>
      <c r="Z89" s="2885"/>
      <c r="AA89" s="2885"/>
      <c r="AB89" s="2885"/>
      <c r="AC89" s="2885"/>
    </row>
    <row r="90" spans="1:29" s="427" customFormat="1" ht="15.75" thickTop="1">
      <c r="A90" s="507"/>
      <c r="B90" s="492" t="str">
        <f>B27</f>
        <v>人流量</v>
      </c>
      <c r="C90" s="508"/>
      <c r="D90" s="508"/>
      <c r="E90" s="508"/>
      <c r="F90" s="508"/>
      <c r="G90" s="508"/>
      <c r="H90" s="509"/>
      <c r="I90" s="509"/>
      <c r="J90" s="509"/>
      <c r="K90" s="509"/>
      <c r="L90" s="510"/>
      <c r="M90" s="511"/>
      <c r="N90" s="2981"/>
      <c r="O90" s="2981"/>
      <c r="P90" s="2971"/>
      <c r="Q90" s="2972"/>
      <c r="R90" s="2973"/>
      <c r="S90" s="2973"/>
      <c r="T90" s="2973"/>
      <c r="U90" s="2973"/>
      <c r="V90" s="2973"/>
      <c r="W90" s="2973"/>
      <c r="X90" s="2973"/>
      <c r="Y90" s="2973"/>
      <c r="Z90" s="2973"/>
      <c r="AA90" s="2973"/>
      <c r="AB90" s="2973"/>
      <c r="AC90" s="2973"/>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88"/>
      <c r="B92" s="492" t="str">
        <f>B28</f>
        <v>楼层</v>
      </c>
      <c r="C92" s="508"/>
      <c r="D92" s="508"/>
      <c r="E92" s="508"/>
      <c r="F92" s="508"/>
      <c r="G92" s="508"/>
      <c r="H92" s="508"/>
      <c r="I92" s="508"/>
      <c r="J92" s="508"/>
      <c r="K92" s="508"/>
      <c r="L92" s="534"/>
      <c r="M92" s="535"/>
      <c r="N92" s="2979"/>
      <c r="O92" s="2979"/>
      <c r="P92" s="2970"/>
      <c r="Q92" s="2965"/>
      <c r="R92" s="2951"/>
      <c r="S92" s="2951"/>
      <c r="T92" s="2951"/>
      <c r="U92" s="2951"/>
      <c r="V92" s="2951"/>
      <c r="W92" s="2951"/>
      <c r="X92" s="2951"/>
      <c r="Y92" s="2951"/>
      <c r="Z92" s="2951"/>
      <c r="AA92" s="2951"/>
      <c r="AB92" s="2951"/>
      <c r="AC92" s="2951"/>
    </row>
    <row r="93" spans="1:29" ht="15.75" thickBot="1">
      <c r="A93" s="488"/>
      <c r="B93" s="497"/>
      <c r="C93" s="490"/>
      <c r="D93" s="490"/>
      <c r="E93" s="490"/>
      <c r="F93" s="490"/>
      <c r="G93" s="490"/>
      <c r="H93" s="490"/>
      <c r="I93" s="490"/>
      <c r="J93" s="490"/>
      <c r="K93" s="490"/>
      <c r="L93" s="490"/>
      <c r="M93" s="491"/>
      <c r="N93" s="2980"/>
      <c r="O93" s="2980"/>
      <c r="P93" s="2970"/>
      <c r="Q93" s="2965"/>
      <c r="R93" s="2951"/>
      <c r="S93" s="2951"/>
      <c r="T93" s="2951"/>
      <c r="U93" s="2951"/>
      <c r="V93" s="2951"/>
      <c r="W93" s="2951"/>
      <c r="X93" s="2951"/>
      <c r="Y93" s="2951"/>
      <c r="Z93" s="2951"/>
      <c r="AA93" s="2951"/>
      <c r="AB93" s="2951"/>
      <c r="AC93" s="2951"/>
    </row>
    <row r="94" spans="1:29" ht="15.75" thickTop="1">
      <c r="A94" s="488"/>
      <c r="B94" s="492">
        <f>B29</f>
        <v>111</v>
      </c>
      <c r="C94" s="508"/>
      <c r="D94" s="508"/>
      <c r="E94" s="508"/>
      <c r="F94" s="508"/>
      <c r="G94" s="537"/>
      <c r="H94" s="537"/>
      <c r="I94" s="537"/>
      <c r="J94" s="537"/>
      <c r="K94" s="538"/>
      <c r="L94" s="539"/>
      <c r="M94" s="540"/>
      <c r="N94" s="2979"/>
      <c r="O94" s="2979"/>
      <c r="P94" s="2970"/>
      <c r="Q94" s="2965"/>
      <c r="R94" s="2951"/>
      <c r="S94" s="2951"/>
      <c r="T94" s="2951"/>
      <c r="U94" s="2951"/>
      <c r="V94" s="2951"/>
      <c r="W94" s="2951"/>
      <c r="X94" s="2951"/>
      <c r="Y94" s="2951"/>
      <c r="Z94" s="2951"/>
      <c r="AA94" s="2951"/>
      <c r="AB94" s="2951"/>
      <c r="AC94" s="2951"/>
    </row>
    <row r="95" spans="1:29" ht="15.75" thickBot="1">
      <c r="A95" s="488"/>
      <c r="B95" s="497"/>
      <c r="C95" s="514"/>
      <c r="D95" s="490"/>
      <c r="E95" s="490"/>
      <c r="F95" s="490"/>
      <c r="G95" s="490"/>
      <c r="H95" s="490"/>
      <c r="I95" s="490"/>
      <c r="J95" s="490"/>
      <c r="K95" s="490"/>
      <c r="L95" s="490"/>
      <c r="M95" s="491"/>
      <c r="N95" s="2980"/>
      <c r="O95" s="2980"/>
      <c r="P95" s="2970"/>
      <c r="Q95" s="2965"/>
      <c r="R95" s="2951"/>
      <c r="S95" s="2951"/>
      <c r="T95" s="2951"/>
      <c r="U95" s="2951"/>
      <c r="V95" s="2951"/>
      <c r="W95" s="2951"/>
      <c r="X95" s="2951"/>
      <c r="Y95" s="2951"/>
      <c r="Z95" s="2951"/>
      <c r="AA95" s="2951"/>
      <c r="AB95" s="2951"/>
      <c r="AC95" s="2951"/>
    </row>
    <row r="96" spans="1:29" ht="15.75" thickTop="1">
      <c r="A96" s="488"/>
      <c r="B96" s="492">
        <f>B30</f>
        <v>111</v>
      </c>
      <c r="C96" s="508"/>
      <c r="D96" s="508"/>
      <c r="E96" s="508"/>
      <c r="F96" s="508"/>
      <c r="G96" s="537"/>
      <c r="H96" s="537"/>
      <c r="I96" s="537"/>
      <c r="J96" s="537"/>
      <c r="K96" s="538"/>
      <c r="L96" s="539"/>
      <c r="M96" s="540"/>
      <c r="N96" s="2979"/>
      <c r="O96" s="2979"/>
      <c r="P96" s="2970"/>
      <c r="Q96" s="2965"/>
      <c r="R96" s="2951"/>
      <c r="S96" s="2951"/>
      <c r="T96" s="2951"/>
      <c r="U96" s="2951"/>
      <c r="V96" s="2951"/>
      <c r="W96" s="2951"/>
      <c r="X96" s="2951"/>
      <c r="Y96" s="2951"/>
      <c r="Z96" s="2951"/>
      <c r="AA96" s="2951"/>
      <c r="AB96" s="2951"/>
      <c r="AC96" s="2951"/>
    </row>
    <row r="97" spans="1:29" ht="15.75" thickBot="1">
      <c r="A97" s="488"/>
      <c r="B97" s="497"/>
      <c r="C97" s="514"/>
      <c r="D97" s="490"/>
      <c r="E97" s="490"/>
      <c r="F97" s="490"/>
      <c r="G97" s="490"/>
      <c r="H97" s="490"/>
      <c r="I97" s="490"/>
      <c r="J97" s="490"/>
      <c r="K97" s="490"/>
      <c r="L97" s="490"/>
      <c r="M97" s="491"/>
      <c r="N97" s="2980"/>
      <c r="O97" s="2980"/>
      <c r="P97" s="2970"/>
      <c r="Q97" s="2965"/>
      <c r="R97" s="2951"/>
      <c r="S97" s="2951"/>
      <c r="T97" s="2951"/>
      <c r="U97" s="2951"/>
      <c r="V97" s="2951"/>
      <c r="W97" s="2951"/>
      <c r="X97" s="2951"/>
      <c r="Y97" s="2951"/>
      <c r="Z97" s="2951"/>
      <c r="AA97" s="2951"/>
      <c r="AB97" s="2951"/>
      <c r="AC97" s="2951"/>
    </row>
    <row r="98" spans="1:29" ht="15.75" thickTop="1">
      <c r="A98" s="488"/>
      <c r="B98" s="500">
        <f>B31</f>
        <v>111</v>
      </c>
      <c r="C98" s="508"/>
      <c r="D98" s="508"/>
      <c r="E98" s="508"/>
      <c r="F98" s="508"/>
      <c r="G98" s="541"/>
      <c r="H98" s="541"/>
      <c r="I98" s="541"/>
      <c r="J98" s="541"/>
      <c r="K98" s="542"/>
      <c r="L98" s="543"/>
      <c r="M98" s="544"/>
      <c r="N98" s="2979"/>
      <c r="O98" s="2979"/>
      <c r="P98" s="2970"/>
      <c r="Q98" s="2965"/>
      <c r="R98" s="2951"/>
      <c r="S98" s="2951"/>
      <c r="T98" s="2951"/>
      <c r="U98" s="2951"/>
      <c r="V98" s="2951"/>
      <c r="W98" s="2951"/>
      <c r="X98" s="2951"/>
      <c r="Y98" s="2951"/>
      <c r="Z98" s="2951"/>
      <c r="AA98" s="2951"/>
      <c r="AB98" s="2951"/>
      <c r="AC98" s="2951"/>
    </row>
    <row r="99" spans="1:29" ht="15.75" thickBot="1">
      <c r="A99" s="2111"/>
      <c r="B99" s="523"/>
      <c r="C99" s="524"/>
      <c r="D99" s="524"/>
      <c r="E99" s="524"/>
      <c r="F99" s="524"/>
      <c r="G99" s="545"/>
      <c r="H99" s="545"/>
      <c r="I99" s="545"/>
      <c r="J99" s="545"/>
      <c r="K99" s="545"/>
      <c r="L99" s="545"/>
      <c r="M99" s="546"/>
      <c r="N99" s="2980"/>
      <c r="O99" s="2980"/>
      <c r="P99" s="2970"/>
      <c r="Q99" s="2965"/>
      <c r="R99" s="2951"/>
      <c r="S99" s="2951"/>
      <c r="T99" s="2951"/>
      <c r="U99" s="2951"/>
      <c r="V99" s="2951"/>
      <c r="W99" s="2951"/>
      <c r="X99" s="2951"/>
      <c r="Y99" s="2951"/>
      <c r="Z99" s="2951"/>
      <c r="AA99" s="2951"/>
      <c r="AB99" s="2951"/>
      <c r="AC99" s="2951"/>
    </row>
    <row r="100" spans="1:29">
      <c r="A100" s="481" t="s">
        <v>2359</v>
      </c>
      <c r="B100" s="482" t="s">
        <v>2477</v>
      </c>
      <c r="C100" s="484"/>
      <c r="D100" s="484"/>
      <c r="E100" s="484"/>
      <c r="F100" s="484"/>
      <c r="G100" s="484"/>
      <c r="H100" s="484"/>
      <c r="I100" s="484"/>
      <c r="J100" s="484"/>
      <c r="K100" s="485"/>
      <c r="L100" s="486"/>
      <c r="M100" s="487"/>
      <c r="N100" s="2979"/>
      <c r="O100" s="2979"/>
      <c r="P100" s="2970"/>
      <c r="Q100" s="2965"/>
      <c r="R100" s="2951"/>
      <c r="S100" s="2951"/>
      <c r="T100" s="2951"/>
      <c r="U100" s="2951"/>
      <c r="V100" s="2951"/>
      <c r="W100" s="2951"/>
      <c r="X100" s="2951"/>
      <c r="Y100" s="2951"/>
      <c r="Z100" s="2951"/>
      <c r="AA100" s="2951"/>
      <c r="AB100" s="2951"/>
      <c r="AC100" s="2951"/>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8"/>
      <c r="B102" s="492" t="s">
        <v>2409</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7" customFormat="1">
      <c r="A103" s="547"/>
      <c r="B103" s="548"/>
      <c r="C103" s="549"/>
      <c r="D103" s="549"/>
      <c r="E103" s="549"/>
      <c r="F103" s="549"/>
      <c r="G103" s="549"/>
      <c r="H103" s="549"/>
      <c r="I103" s="549"/>
      <c r="J103" s="550"/>
      <c r="K103" s="550"/>
      <c r="L103" s="551"/>
      <c r="M103" s="552"/>
      <c r="N103" s="2981"/>
      <c r="O103" s="2981"/>
      <c r="P103" s="2971"/>
      <c r="Q103" s="2972"/>
      <c r="R103" s="2973"/>
      <c r="S103" s="2973"/>
      <c r="T103" s="2973"/>
      <c r="U103" s="2973"/>
      <c r="V103" s="2973"/>
      <c r="W103" s="2973"/>
      <c r="X103" s="2973"/>
      <c r="Y103" s="2973"/>
      <c r="Z103" s="2973"/>
      <c r="AA103" s="2973"/>
      <c r="AB103" s="2973"/>
      <c r="AC103" s="2973"/>
    </row>
    <row r="104" spans="1:29" s="427" customFormat="1" ht="15.75" thickBot="1">
      <c r="A104" s="507"/>
      <c r="B104" s="497"/>
      <c r="C104" s="514"/>
      <c r="D104" s="490"/>
      <c r="E104" s="490"/>
      <c r="F104" s="490"/>
      <c r="G104" s="490"/>
      <c r="H104" s="490"/>
      <c r="I104" s="490"/>
      <c r="J104" s="490"/>
      <c r="K104" s="490"/>
      <c r="L104" s="490"/>
      <c r="M104" s="491"/>
      <c r="N104" s="2980"/>
      <c r="O104" s="2980"/>
      <c r="P104" s="2971"/>
      <c r="Q104" s="2972"/>
      <c r="R104" s="2973"/>
      <c r="S104" s="2973"/>
      <c r="T104" s="2973"/>
      <c r="U104" s="2973"/>
      <c r="V104" s="2973"/>
      <c r="W104" s="2973"/>
      <c r="X104" s="2973"/>
      <c r="Y104" s="2973"/>
      <c r="Z104" s="2973"/>
      <c r="AA104" s="2973"/>
      <c r="AB104" s="2973"/>
      <c r="AC104" s="2973"/>
    </row>
    <row r="105" spans="1:29" ht="15" thickTop="1">
      <c r="A105" s="553"/>
      <c r="B105" s="492" t="s">
        <v>2410</v>
      </c>
      <c r="C105" s="508"/>
      <c r="D105" s="508"/>
      <c r="E105" s="537"/>
      <c r="F105" s="537"/>
      <c r="G105" s="537"/>
      <c r="H105" s="537"/>
      <c r="I105" s="537"/>
      <c r="J105" s="537"/>
      <c r="K105" s="538"/>
      <c r="L105" s="539"/>
      <c r="M105" s="540"/>
      <c r="N105" s="2979"/>
      <c r="O105" s="2979"/>
      <c r="P105" s="2970"/>
      <c r="Q105" s="2965"/>
      <c r="R105" s="2951"/>
      <c r="S105" s="2951"/>
      <c r="T105" s="2951"/>
      <c r="U105" s="2951"/>
      <c r="V105" s="2951"/>
      <c r="W105" s="2951"/>
      <c r="X105" s="2951"/>
      <c r="Y105" s="2951"/>
      <c r="Z105" s="2951"/>
      <c r="AA105" s="2951"/>
      <c r="AB105" s="2951"/>
      <c r="AC105" s="2951"/>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3"/>
      <c r="B107" s="492" t="s">
        <v>2412</v>
      </c>
      <c r="C107" s="508"/>
      <c r="D107" s="508"/>
      <c r="E107" s="508"/>
      <c r="F107" s="537"/>
      <c r="G107" s="537"/>
      <c r="H107" s="537"/>
      <c r="I107" s="537"/>
      <c r="J107" s="537"/>
      <c r="K107" s="538"/>
      <c r="L107" s="539"/>
      <c r="M107" s="540"/>
      <c r="N107" s="2979"/>
      <c r="O107" s="2979"/>
      <c r="P107" s="2970"/>
      <c r="Q107" s="2965"/>
      <c r="R107" s="2951"/>
      <c r="S107" s="2951"/>
      <c r="T107" s="2951"/>
      <c r="U107" s="2951"/>
      <c r="V107" s="2951"/>
      <c r="W107" s="2951"/>
      <c r="X107" s="2951"/>
      <c r="Y107" s="2951"/>
      <c r="Z107" s="2951"/>
      <c r="AA107" s="2951"/>
      <c r="AB107" s="2951"/>
      <c r="AC107" s="2951"/>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3"/>
      <c r="B109" s="492" t="s">
        <v>1854</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9"/>
      <c r="O109" s="2979"/>
      <c r="P109" s="2970"/>
      <c r="Q109" s="2965"/>
      <c r="R109" s="2951"/>
      <c r="S109" s="2951"/>
      <c r="T109" s="2951"/>
      <c r="U109" s="2951"/>
      <c r="V109" s="2951"/>
      <c r="W109" s="2951"/>
      <c r="X109" s="2951"/>
      <c r="Y109" s="2951"/>
      <c r="Z109" s="2951"/>
      <c r="AA109" s="2951"/>
      <c r="AB109" s="2951"/>
      <c r="AC109" s="2951"/>
    </row>
    <row r="110" spans="1:29">
      <c r="A110" s="553"/>
      <c r="B110" s="500"/>
      <c r="C110" s="557">
        <v>0.5</v>
      </c>
      <c r="D110" s="557">
        <v>0.6</v>
      </c>
      <c r="E110" s="557">
        <v>0.7</v>
      </c>
      <c r="F110" s="557">
        <v>0.8</v>
      </c>
      <c r="G110" s="557">
        <v>0.9</v>
      </c>
      <c r="H110" s="557">
        <v>1.0001</v>
      </c>
      <c r="I110" s="576"/>
      <c r="J110" s="576"/>
      <c r="K110" s="577"/>
      <c r="L110" s="578"/>
      <c r="M110" s="579"/>
      <c r="N110" s="2979"/>
      <c r="O110" s="2979"/>
      <c r="P110" s="2970"/>
      <c r="Q110" s="2965"/>
      <c r="R110" s="2951"/>
      <c r="S110" s="2951"/>
      <c r="T110" s="2951"/>
      <c r="U110" s="2951"/>
      <c r="V110" s="2951"/>
      <c r="W110" s="2951"/>
      <c r="X110" s="2951"/>
      <c r="Y110" s="2951"/>
      <c r="Z110" s="2951"/>
      <c r="AA110" s="2951"/>
      <c r="AB110" s="2951"/>
      <c r="AC110" s="2951"/>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0"/>
      <c r="O111" s="2980"/>
      <c r="P111" s="2970"/>
      <c r="Q111" s="2965"/>
      <c r="R111" s="2951"/>
      <c r="S111" s="2951"/>
      <c r="T111" s="2951"/>
      <c r="U111" s="2951"/>
      <c r="V111" s="2951"/>
      <c r="W111" s="2951"/>
      <c r="X111" s="2951"/>
      <c r="Y111" s="2951"/>
      <c r="Z111" s="2951"/>
      <c r="AA111" s="2951"/>
      <c r="AB111" s="2951"/>
      <c r="AC111" s="2951"/>
    </row>
    <row r="112" spans="1:29" s="427" customFormat="1" ht="15" thickTop="1">
      <c r="A112" s="547"/>
      <c r="B112" s="492" t="s">
        <v>2414</v>
      </c>
      <c r="C112" s="508"/>
      <c r="D112" s="508"/>
      <c r="E112" s="508"/>
      <c r="F112" s="508"/>
      <c r="G112" s="508"/>
      <c r="H112" s="537"/>
      <c r="I112" s="537"/>
      <c r="J112" s="537"/>
      <c r="K112" s="538"/>
      <c r="L112" s="539"/>
      <c r="M112" s="540"/>
      <c r="N112" s="2981"/>
      <c r="O112" s="2981"/>
      <c r="P112" s="2971"/>
      <c r="Q112" s="2972"/>
      <c r="R112" s="2973"/>
      <c r="S112" s="2973"/>
      <c r="T112" s="2973"/>
      <c r="U112" s="2973"/>
      <c r="V112" s="2973"/>
      <c r="W112" s="2973"/>
      <c r="X112" s="2973"/>
      <c r="Y112" s="2973"/>
      <c r="Z112" s="2973"/>
      <c r="AA112" s="2973"/>
      <c r="AB112" s="2973"/>
      <c r="AC112" s="2973"/>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3"/>
      <c r="B114" s="492" t="s">
        <v>2478</v>
      </c>
      <c r="C114" s="508"/>
      <c r="D114" s="508"/>
      <c r="E114" s="537"/>
      <c r="F114" s="537"/>
      <c r="G114" s="537"/>
      <c r="H114" s="537"/>
      <c r="I114" s="537"/>
      <c r="J114" s="537"/>
      <c r="K114" s="538"/>
      <c r="L114" s="539"/>
      <c r="M114" s="540"/>
      <c r="N114" s="2979"/>
      <c r="O114" s="2979"/>
      <c r="P114" s="2970"/>
      <c r="Q114" s="2965"/>
      <c r="R114" s="2951"/>
      <c r="S114" s="2951"/>
      <c r="T114" s="2951"/>
      <c r="U114" s="2951"/>
      <c r="V114" s="2951"/>
      <c r="W114" s="2951"/>
      <c r="X114" s="2951"/>
      <c r="Y114" s="2951"/>
      <c r="Z114" s="2951"/>
      <c r="AA114" s="2951"/>
      <c r="AB114" s="2951"/>
      <c r="AC114" s="2951"/>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3"/>
      <c r="B116" s="492" t="s">
        <v>2479</v>
      </c>
      <c r="C116" s="508"/>
      <c r="D116" s="508"/>
      <c r="E116" s="508"/>
      <c r="F116" s="508"/>
      <c r="G116" s="508"/>
      <c r="H116" s="537"/>
      <c r="I116" s="537"/>
      <c r="J116" s="537"/>
      <c r="K116" s="538"/>
      <c r="L116" s="539"/>
      <c r="M116" s="540"/>
      <c r="N116" s="2979"/>
      <c r="O116" s="2979"/>
      <c r="P116" s="2970"/>
      <c r="Q116" s="2965"/>
      <c r="R116" s="2951"/>
      <c r="S116" s="2951"/>
      <c r="T116" s="2951"/>
      <c r="U116" s="2951"/>
      <c r="V116" s="2951"/>
      <c r="W116" s="2951"/>
      <c r="X116" s="2951"/>
      <c r="Y116" s="2951"/>
      <c r="Z116" s="2951"/>
      <c r="AA116" s="2951"/>
      <c r="AB116" s="2951"/>
      <c r="AC116" s="2951"/>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0"/>
      <c r="O117" s="2980"/>
      <c r="P117" s="2970"/>
      <c r="Q117" s="2965"/>
      <c r="R117" s="2951"/>
      <c r="S117" s="2951"/>
      <c r="T117" s="2951"/>
      <c r="U117" s="2951"/>
      <c r="V117" s="2951"/>
      <c r="W117" s="2951"/>
      <c r="X117" s="2951"/>
      <c r="Y117" s="2951"/>
      <c r="Z117" s="2951"/>
      <c r="AA117" s="2951"/>
      <c r="AB117" s="2951"/>
      <c r="AC117" s="2951"/>
    </row>
    <row r="118" spans="1:29" ht="15" thickTop="1">
      <c r="A118" s="553"/>
      <c r="B118" s="492" t="s">
        <v>2480</v>
      </c>
      <c r="C118" s="580"/>
      <c r="D118" s="580"/>
      <c r="E118" s="580"/>
      <c r="F118" s="580"/>
      <c r="G118" s="580"/>
      <c r="H118" s="509"/>
      <c r="I118" s="509"/>
      <c r="J118" s="509"/>
      <c r="K118" s="509"/>
      <c r="L118" s="510"/>
      <c r="M118" s="511"/>
      <c r="N118" s="2979"/>
      <c r="O118" s="2979"/>
      <c r="P118" s="2970"/>
      <c r="Q118" s="2965"/>
      <c r="R118" s="2951"/>
      <c r="S118" s="2951"/>
      <c r="T118" s="2951"/>
      <c r="U118" s="2951"/>
      <c r="V118" s="2951"/>
      <c r="W118" s="2951"/>
      <c r="X118" s="2951"/>
      <c r="Y118" s="2951"/>
      <c r="Z118" s="2951"/>
      <c r="AA118" s="2951"/>
      <c r="AB118" s="2951"/>
      <c r="AC118" s="2951"/>
    </row>
    <row r="119" spans="1:29" ht="15.75" thickBot="1">
      <c r="A119" s="488"/>
      <c r="B119" s="497"/>
      <c r="C119" s="514"/>
      <c r="D119" s="490"/>
      <c r="E119" s="490"/>
      <c r="F119" s="490"/>
      <c r="G119" s="490"/>
      <c r="H119" s="490"/>
      <c r="I119" s="490"/>
      <c r="J119" s="490"/>
      <c r="K119" s="490"/>
      <c r="L119" s="490"/>
      <c r="M119" s="491"/>
      <c r="N119" s="2980"/>
      <c r="O119" s="2980"/>
      <c r="P119" s="2970"/>
      <c r="Q119" s="2965"/>
      <c r="R119" s="2951"/>
      <c r="S119" s="2951"/>
      <c r="T119" s="2951"/>
      <c r="U119" s="2951"/>
      <c r="V119" s="2951"/>
      <c r="W119" s="2951"/>
      <c r="X119" s="2951"/>
      <c r="Y119" s="2951"/>
      <c r="Z119" s="2951"/>
      <c r="AA119" s="2951"/>
      <c r="AB119" s="2951"/>
      <c r="AC119" s="2951"/>
    </row>
    <row r="120" spans="1:29" s="427" customFormat="1" ht="15" thickTop="1">
      <c r="A120" s="547"/>
      <c r="B120" s="492" t="s">
        <v>2481</v>
      </c>
      <c r="C120" s="537"/>
      <c r="D120" s="537"/>
      <c r="E120" s="537"/>
      <c r="F120" s="537"/>
      <c r="G120" s="509"/>
      <c r="H120" s="509"/>
      <c r="I120" s="509"/>
      <c r="J120" s="509"/>
      <c r="K120" s="509"/>
      <c r="L120" s="510"/>
      <c r="M120" s="511"/>
      <c r="N120" s="2981"/>
      <c r="O120" s="2981"/>
      <c r="P120" s="2971"/>
      <c r="Q120" s="2972"/>
      <c r="R120" s="2973"/>
      <c r="S120" s="2973"/>
      <c r="T120" s="2973"/>
      <c r="U120" s="2973"/>
      <c r="V120" s="2973"/>
      <c r="W120" s="2973"/>
      <c r="X120" s="2973"/>
      <c r="Y120" s="2973"/>
      <c r="Z120" s="2973"/>
      <c r="AA120" s="2973"/>
      <c r="AB120" s="2973"/>
      <c r="AC120" s="2973"/>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3"/>
      <c r="B122" s="492" t="s">
        <v>2416</v>
      </c>
      <c r="C122" s="508"/>
      <c r="D122" s="508"/>
      <c r="E122" s="508"/>
      <c r="F122" s="537"/>
      <c r="G122" s="537"/>
      <c r="H122" s="537"/>
      <c r="I122" s="537"/>
      <c r="J122" s="537"/>
      <c r="K122" s="538"/>
      <c r="L122" s="539"/>
      <c r="M122" s="540"/>
      <c r="N122" s="2979"/>
      <c r="O122" s="2979"/>
      <c r="P122" s="2970"/>
      <c r="Q122" s="2965"/>
      <c r="R122" s="2951"/>
      <c r="S122" s="2951"/>
      <c r="T122" s="2951"/>
      <c r="U122" s="2951"/>
      <c r="V122" s="2951"/>
      <c r="W122" s="2951"/>
      <c r="X122" s="2951"/>
      <c r="Y122" s="2951"/>
      <c r="Z122" s="2951"/>
      <c r="AA122" s="2951"/>
      <c r="AB122" s="2951"/>
      <c r="AC122" s="2951"/>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3"/>
      <c r="B124" s="492" t="s">
        <v>2417</v>
      </c>
      <c r="C124" s="532" t="s">
        <v>2393</v>
      </c>
      <c r="D124" s="532" t="s">
        <v>2394</v>
      </c>
      <c r="E124" s="532" t="s">
        <v>2395</v>
      </c>
      <c r="F124" s="532" t="s">
        <v>2396</v>
      </c>
      <c r="G124" s="532" t="s">
        <v>2397</v>
      </c>
      <c r="H124" s="493"/>
      <c r="I124" s="493"/>
      <c r="J124" s="493"/>
      <c r="K124" s="494"/>
      <c r="L124" s="495"/>
      <c r="M124" s="496"/>
      <c r="N124" s="2979"/>
      <c r="O124" s="2979"/>
      <c r="P124" s="2971"/>
      <c r="Q124" s="2965"/>
      <c r="R124" s="2951"/>
      <c r="S124" s="2951"/>
      <c r="T124" s="2951"/>
      <c r="U124" s="2951"/>
      <c r="V124" s="2951"/>
      <c r="W124" s="2951"/>
      <c r="X124" s="2951"/>
      <c r="Y124" s="2951"/>
      <c r="Z124" s="2951"/>
      <c r="AA124" s="2951"/>
      <c r="AB124" s="2951"/>
      <c r="AC124" s="2951"/>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0"/>
      <c r="O125" s="2980"/>
      <c r="P125" s="2970"/>
      <c r="Q125" s="2965"/>
      <c r="R125" s="2951"/>
      <c r="S125" s="2951"/>
      <c r="T125" s="2951"/>
      <c r="U125" s="2951"/>
      <c r="V125" s="2951"/>
      <c r="W125" s="2951"/>
      <c r="X125" s="2951"/>
      <c r="Y125" s="2951"/>
      <c r="Z125" s="2951"/>
      <c r="AA125" s="2951"/>
      <c r="AB125" s="2951"/>
      <c r="AC125" s="2951"/>
    </row>
    <row r="126" spans="1:29" s="427" customFormat="1" ht="15" thickTop="1">
      <c r="A126" s="547"/>
      <c r="B126" s="492">
        <f>B44</f>
        <v>111</v>
      </c>
      <c r="C126" s="508"/>
      <c r="D126" s="508"/>
      <c r="E126" s="508"/>
      <c r="F126" s="508"/>
      <c r="G126" s="508"/>
      <c r="H126" s="509"/>
      <c r="I126" s="509"/>
      <c r="J126" s="509"/>
      <c r="K126" s="509"/>
      <c r="L126" s="510"/>
      <c r="M126" s="511"/>
      <c r="N126" s="2981"/>
      <c r="O126" s="2981"/>
      <c r="P126" s="2971"/>
      <c r="Q126" s="2972"/>
      <c r="R126" s="2973"/>
      <c r="S126" s="2973"/>
      <c r="T126" s="2973"/>
      <c r="U126" s="2973"/>
      <c r="V126" s="2973"/>
      <c r="W126" s="2973"/>
      <c r="X126" s="2973"/>
      <c r="Y126" s="2973"/>
      <c r="Z126" s="2973"/>
      <c r="AA126" s="2973"/>
      <c r="AB126" s="2973"/>
      <c r="AC126" s="2973"/>
    </row>
    <row r="127" spans="1:29" s="427" customFormat="1" ht="15.75" thickBot="1">
      <c r="A127" s="507"/>
      <c r="B127" s="497"/>
      <c r="C127" s="514"/>
      <c r="D127" s="490"/>
      <c r="E127" s="490"/>
      <c r="F127" s="490"/>
      <c r="G127" s="514"/>
      <c r="H127" s="516"/>
      <c r="I127" s="516"/>
      <c r="J127" s="516"/>
      <c r="K127" s="516"/>
      <c r="L127" s="516"/>
      <c r="M127" s="517"/>
      <c r="N127" s="2981"/>
      <c r="O127" s="2981"/>
      <c r="P127" s="2971"/>
      <c r="Q127" s="2972"/>
      <c r="R127" s="2973"/>
      <c r="S127" s="2973"/>
      <c r="T127" s="2973"/>
      <c r="U127" s="2973"/>
      <c r="V127" s="2973"/>
      <c r="W127" s="2973"/>
      <c r="X127" s="2973"/>
      <c r="Y127" s="2973"/>
      <c r="Z127" s="2973"/>
      <c r="AA127" s="2973"/>
      <c r="AB127" s="2973"/>
      <c r="AC127" s="2973"/>
    </row>
    <row r="128" spans="1:29" ht="15" thickTop="1">
      <c r="A128" s="553"/>
      <c r="B128" s="492">
        <f>B45</f>
        <v>111</v>
      </c>
      <c r="C128" s="508"/>
      <c r="D128" s="508"/>
      <c r="E128" s="508"/>
      <c r="F128" s="508"/>
      <c r="G128" s="537"/>
      <c r="H128" s="537"/>
      <c r="I128" s="537"/>
      <c r="J128" s="537"/>
      <c r="K128" s="538"/>
      <c r="L128" s="539"/>
      <c r="M128" s="540"/>
      <c r="N128" s="2979"/>
      <c r="O128" s="2979"/>
      <c r="P128" s="2970"/>
      <c r="Q128" s="2965"/>
      <c r="R128" s="2951"/>
      <c r="S128" s="2951"/>
      <c r="T128" s="2951"/>
      <c r="U128" s="2951"/>
      <c r="V128" s="2951"/>
      <c r="W128" s="2951"/>
      <c r="X128" s="2951"/>
      <c r="Y128" s="2951"/>
      <c r="Z128" s="2951"/>
      <c r="AA128" s="2951"/>
      <c r="AB128" s="2951"/>
      <c r="AC128" s="2951"/>
    </row>
    <row r="129" spans="1:29" ht="15.75" thickBot="1">
      <c r="A129" s="488"/>
      <c r="B129" s="497"/>
      <c r="C129" s="514"/>
      <c r="D129" s="490"/>
      <c r="E129" s="490"/>
      <c r="F129" s="490"/>
      <c r="G129" s="490"/>
      <c r="H129" s="490"/>
      <c r="I129" s="490"/>
      <c r="J129" s="490"/>
      <c r="K129" s="490"/>
      <c r="L129" s="490"/>
      <c r="M129" s="491"/>
      <c r="N129" s="2980"/>
      <c r="O129" s="2980"/>
      <c r="P129" s="2970"/>
      <c r="Q129" s="2965"/>
      <c r="R129" s="2951"/>
      <c r="S129" s="2951"/>
      <c r="T129" s="2951"/>
      <c r="U129" s="2951"/>
      <c r="V129" s="2951"/>
      <c r="W129" s="2951"/>
      <c r="X129" s="2951"/>
      <c r="Y129" s="2951"/>
      <c r="Z129" s="2951"/>
      <c r="AA129" s="2951"/>
      <c r="AB129" s="2951"/>
      <c r="AC129" s="2951"/>
    </row>
    <row r="130" spans="1:29" ht="15" thickTop="1">
      <c r="A130" s="553"/>
      <c r="B130" s="500">
        <f>B46</f>
        <v>111</v>
      </c>
      <c r="C130" s="508"/>
      <c r="D130" s="508"/>
      <c r="E130" s="508"/>
      <c r="F130" s="508"/>
      <c r="G130" s="541"/>
      <c r="H130" s="541"/>
      <c r="I130" s="541"/>
      <c r="J130" s="541"/>
      <c r="K130" s="477"/>
      <c r="L130" s="478"/>
      <c r="M130" s="544"/>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3"/>
      <c r="C131" s="524"/>
      <c r="D131" s="524"/>
      <c r="E131" s="524"/>
      <c r="F131" s="524"/>
      <c r="G131" s="545"/>
      <c r="H131" s="545"/>
      <c r="I131" s="545"/>
      <c r="J131" s="545"/>
      <c r="K131" s="545"/>
      <c r="L131" s="545"/>
      <c r="M131" s="546"/>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0" customWidth="1"/>
    <col min="2" max="2" width="15.875" style="360" customWidth="1"/>
    <col min="3" max="3" width="15.625" style="360" customWidth="1"/>
    <col min="4" max="4" width="12.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1034"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1398" customFormat="1" ht="28.5" customHeight="1" thickBot="1">
      <c r="A1" s="1387" t="s">
        <v>2324</v>
      </c>
      <c r="B1" s="2140" t="s">
        <v>2482</v>
      </c>
      <c r="C1" s="1389" t="s">
        <v>2326</v>
      </c>
      <c r="D1" s="1390"/>
      <c r="E1" s="1399"/>
      <c r="F1" s="2062"/>
      <c r="G1" s="1400" t="s">
        <v>2439</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2126</v>
      </c>
      <c r="B2" s="1323" t="e">
        <f ca="1">IF(C2="——",ROUND(C50*D3/10000,0),ROUND(C50*D3/10000,0)-D2)</f>
        <v>#DIV/0!</v>
      </c>
      <c r="C2" s="2064"/>
      <c r="D2" s="1272" t="e">
        <f ca="1">SUMIF(INDIRECT("'"&amp;F2&amp;"'"&amp;"!A:A"),"承租人权益价值",INDIRECT("'"&amp;F2&amp;"'"&amp;"!c:c"))</f>
        <v>#REF!</v>
      </c>
      <c r="E2" s="2065" t="s">
        <v>2127</v>
      </c>
      <c r="F2" s="2066"/>
      <c r="G2" s="1036"/>
      <c r="H2" s="1036"/>
      <c r="I2" s="1036"/>
      <c r="J2" s="1036"/>
      <c r="K2" s="1036"/>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2128</v>
      </c>
      <c r="B3" s="563" t="e">
        <f ca="1">IF(C2="——",C50,ROUND(B2*10000/D3,0))</f>
        <v>#DIV/0!</v>
      </c>
      <c r="C3" s="357" t="s">
        <v>2440</v>
      </c>
      <c r="D3" s="356">
        <f>IF(D1="",'数据-汇总表'!E3,SUMIF('数据-汇总表'!$C19:$C33,D1,'数据-汇总表'!$E19:$E33))</f>
        <v>125203.41</v>
      </c>
      <c r="E3" s="2137"/>
      <c r="F3" s="1037"/>
      <c r="G3" s="1036"/>
      <c r="H3" s="1036"/>
      <c r="I3" s="1036"/>
      <c r="J3" s="1036"/>
      <c r="K3" s="1038"/>
      <c r="L3" s="2960"/>
      <c r="M3" s="2961"/>
      <c r="N3" s="2961"/>
      <c r="O3" s="2961"/>
      <c r="P3" s="705"/>
      <c r="Q3" s="705"/>
      <c r="R3" s="705"/>
      <c r="S3" s="705"/>
      <c r="T3" s="705"/>
      <c r="U3" s="705"/>
      <c r="V3" s="705"/>
      <c r="W3" s="705"/>
      <c r="X3" s="705"/>
      <c r="Y3" s="705"/>
      <c r="Z3" s="705"/>
      <c r="AA3" s="705"/>
      <c r="AB3" s="705"/>
      <c r="AC3" s="706"/>
    </row>
    <row r="4" spans="1:29" ht="15">
      <c r="A4" s="358" t="s">
        <v>2441</v>
      </c>
      <c r="B4" s="359"/>
      <c r="C4" s="3320" t="s">
        <v>2442</v>
      </c>
      <c r="D4" s="3321"/>
      <c r="E4" s="3322" t="s">
        <v>2443</v>
      </c>
      <c r="F4" s="3323"/>
      <c r="G4" s="3320" t="s">
        <v>2444</v>
      </c>
      <c r="H4" s="3321"/>
      <c r="I4" s="3320" t="s">
        <v>2445</v>
      </c>
      <c r="J4" s="3321"/>
      <c r="K4" s="564" t="s">
        <v>2446</v>
      </c>
      <c r="L4" s="2941"/>
      <c r="M4" s="2942"/>
      <c r="N4" s="2942"/>
      <c r="O4" s="2942"/>
      <c r="P4" s="3387" t="s">
        <v>2447</v>
      </c>
      <c r="Q4" s="3388"/>
      <c r="R4" s="3382" t="s">
        <v>2443</v>
      </c>
      <c r="S4" s="3383"/>
      <c r="T4" s="3382" t="s">
        <v>2444</v>
      </c>
      <c r="U4" s="3383"/>
      <c r="V4" s="3391" t="s">
        <v>2445</v>
      </c>
      <c r="W4" s="3391"/>
      <c r="X4" s="2141"/>
      <c r="Y4" s="3382" t="s">
        <v>2447</v>
      </c>
      <c r="Z4" s="3383"/>
      <c r="AA4" s="3381" t="s">
        <v>2443</v>
      </c>
      <c r="AB4" s="3381" t="s">
        <v>2444</v>
      </c>
      <c r="AC4" s="3384" t="s">
        <v>2445</v>
      </c>
    </row>
    <row r="5" spans="1:29" ht="15">
      <c r="A5" s="361"/>
      <c r="B5" s="362"/>
      <c r="C5" s="3313" t="s">
        <v>2338</v>
      </c>
      <c r="D5" s="3314"/>
      <c r="E5" s="3311" t="s">
        <v>2339</v>
      </c>
      <c r="F5" s="3312"/>
      <c r="G5" s="3313" t="s">
        <v>2340</v>
      </c>
      <c r="H5" s="3314"/>
      <c r="I5" s="3313" t="s">
        <v>2341</v>
      </c>
      <c r="J5" s="3314"/>
      <c r="K5" s="564"/>
      <c r="L5" s="2941"/>
      <c r="M5" s="2942"/>
      <c r="N5" s="2942"/>
      <c r="O5" s="2942"/>
      <c r="P5" s="3389"/>
      <c r="Q5" s="3327"/>
      <c r="R5" s="3309"/>
      <c r="S5" s="3310"/>
      <c r="T5" s="3309"/>
      <c r="U5" s="3310"/>
      <c r="V5" s="3332"/>
      <c r="W5" s="3332"/>
      <c r="X5" s="1537"/>
      <c r="Y5" s="3309"/>
      <c r="Z5" s="3310"/>
      <c r="AA5" s="3303"/>
      <c r="AB5" s="3303"/>
      <c r="AC5" s="3385"/>
    </row>
    <row r="6" spans="1:29" ht="15.75" thickBot="1">
      <c r="A6" s="363"/>
      <c r="B6" s="364"/>
      <c r="C6" s="3315" t="s">
        <v>2342</v>
      </c>
      <c r="D6" s="3316"/>
      <c r="E6" s="3317" t="s">
        <v>2342</v>
      </c>
      <c r="F6" s="3318"/>
      <c r="G6" s="3315" t="s">
        <v>2342</v>
      </c>
      <c r="H6" s="3316"/>
      <c r="I6" s="3315" t="s">
        <v>2342</v>
      </c>
      <c r="J6" s="3316"/>
      <c r="K6" s="564" t="s">
        <v>2343</v>
      </c>
      <c r="L6" s="2941"/>
      <c r="M6" s="2942"/>
      <c r="N6" s="2942"/>
      <c r="O6" s="2942"/>
      <c r="P6" s="3390"/>
      <c r="Q6" s="3329"/>
      <c r="R6" s="3309"/>
      <c r="S6" s="3310"/>
      <c r="T6" s="3330"/>
      <c r="U6" s="3331"/>
      <c r="V6" s="3332"/>
      <c r="W6" s="3332"/>
      <c r="X6" s="1537"/>
      <c r="Y6" s="3330"/>
      <c r="Z6" s="3331"/>
      <c r="AA6" s="3304"/>
      <c r="AB6" s="3304"/>
      <c r="AC6" s="3386"/>
    </row>
    <row r="7" spans="1:29" s="110" customFormat="1" ht="15.75" thickBot="1">
      <c r="A7" s="365" t="s">
        <v>2344</v>
      </c>
      <c r="B7" s="366"/>
      <c r="C7" s="367">
        <f>'数据-取费表'!B2</f>
        <v>44236</v>
      </c>
      <c r="D7" s="368">
        <v>100</v>
      </c>
      <c r="E7" s="369"/>
      <c r="F7" s="370">
        <f>SUMIF(59:59,YEAR(E7)&amp;"-"&amp;MONTH(E7),60:60)</f>
        <v>0</v>
      </c>
      <c r="G7" s="369"/>
      <c r="H7" s="368">
        <f>SUMIF(59:59,YEAR(G7)&amp;"-"&amp;MONTH(G7),60:60)</f>
        <v>0</v>
      </c>
      <c r="I7" s="369"/>
      <c r="J7" s="368">
        <f>SUMIF(59:59,YEAR(I7)&amp;"-"&amp;MONTH(I7),60:60)</f>
        <v>0</v>
      </c>
      <c r="K7" s="565"/>
      <c r="L7" s="2943"/>
      <c r="M7" s="2944"/>
      <c r="N7" s="2944"/>
      <c r="O7" s="2944"/>
      <c r="P7" s="3392" t="s">
        <v>2345</v>
      </c>
      <c r="Q7" s="3333"/>
      <c r="R7" s="707" t="s">
        <v>14</v>
      </c>
      <c r="S7" s="708">
        <f t="shared" ref="S7:S15" si="0">F7</f>
        <v>0</v>
      </c>
      <c r="T7" s="707" t="s">
        <v>14</v>
      </c>
      <c r="U7" s="708">
        <f t="shared" ref="U7:U15" si="1">H7</f>
        <v>0</v>
      </c>
      <c r="V7" s="707" t="s">
        <v>14</v>
      </c>
      <c r="W7" s="708">
        <f t="shared" ref="W7:W15" si="2">J7</f>
        <v>0</v>
      </c>
      <c r="X7" s="709"/>
      <c r="Y7" s="3305" t="s">
        <v>2345</v>
      </c>
      <c r="Z7" s="3306"/>
      <c r="AA7" s="710" t="e">
        <f>D7/F7</f>
        <v>#DIV/0!</v>
      </c>
      <c r="AB7" s="710" t="e">
        <f>D7/H7</f>
        <v>#DIV/0!</v>
      </c>
      <c r="AC7" s="2142" t="e">
        <f>D7/J7</f>
        <v>#DIV/0!</v>
      </c>
    </row>
    <row r="8" spans="1:29" s="110" customFormat="1" ht="15.75" thickBot="1">
      <c r="A8" s="365" t="s">
        <v>2346</v>
      </c>
      <c r="B8" s="366"/>
      <c r="C8" s="371" t="s">
        <v>2448</v>
      </c>
      <c r="D8" s="368">
        <v>100</v>
      </c>
      <c r="E8" s="371"/>
      <c r="F8" s="370">
        <f>SUMIF(62:62,E8,63:63)-SUMIF(62:62,C8,63:63)+100</f>
        <v>0</v>
      </c>
      <c r="G8" s="371"/>
      <c r="H8" s="368">
        <f>SUMIF(62:62,G8,63:63)-SUMIF(62:62,C8,63:63)+100</f>
        <v>0</v>
      </c>
      <c r="I8" s="371"/>
      <c r="J8" s="368">
        <f>SUMIF(62:62,I8,63:63)-SUMIF(62:62,C8,63:63)+100</f>
        <v>0</v>
      </c>
      <c r="K8" s="565"/>
      <c r="L8" s="2943"/>
      <c r="M8" s="2944"/>
      <c r="N8" s="2944"/>
      <c r="O8" s="2944"/>
      <c r="P8" s="3392" t="s">
        <v>2348</v>
      </c>
      <c r="Q8" s="3306"/>
      <c r="R8" s="707" t="s">
        <v>14</v>
      </c>
      <c r="S8" s="708">
        <f t="shared" si="0"/>
        <v>0</v>
      </c>
      <c r="T8" s="707" t="s">
        <v>14</v>
      </c>
      <c r="U8" s="708">
        <f t="shared" si="1"/>
        <v>0</v>
      </c>
      <c r="V8" s="707" t="s">
        <v>14</v>
      </c>
      <c r="W8" s="708">
        <f t="shared" si="2"/>
        <v>0</v>
      </c>
      <c r="X8" s="709"/>
      <c r="Y8" s="3305" t="s">
        <v>2348</v>
      </c>
      <c r="Z8" s="3306"/>
      <c r="AA8" s="710" t="e">
        <f t="shared" ref="AA8:AA47" si="3">D8/F8</f>
        <v>#DIV/0!</v>
      </c>
      <c r="AB8" s="710" t="e">
        <f t="shared" ref="AB8:AB47" si="4">D8/H8</f>
        <v>#DIV/0!</v>
      </c>
      <c r="AC8" s="2142" t="e">
        <f t="shared" ref="AC8:AC47" si="5">D8/J8</f>
        <v>#DIV/0!</v>
      </c>
    </row>
    <row r="9" spans="1:29" s="110" customFormat="1">
      <c r="A9" s="372" t="s">
        <v>2349</v>
      </c>
      <c r="B9" s="64" t="s">
        <v>2350</v>
      </c>
      <c r="C9" s="373"/>
      <c r="D9" s="128">
        <v>100</v>
      </c>
      <c r="E9" s="376"/>
      <c r="F9" s="128">
        <f>SUMIF(64:64,E9,65:65)-SUMIF(64:64,C9,65:65)+100</f>
        <v>100</v>
      </c>
      <c r="G9" s="374"/>
      <c r="H9" s="128">
        <f>SUMIF(64:64,G9,65:65)-SUMIF(64:64,C9,65:65)+100</f>
        <v>100</v>
      </c>
      <c r="I9" s="374"/>
      <c r="J9" s="128">
        <f>SUMIF(64:64,I9,65:65)-SUMIF(64:64,C9,65:65)+100</f>
        <v>100</v>
      </c>
      <c r="K9" s="565"/>
      <c r="L9" s="2943"/>
      <c r="M9" s="2944"/>
      <c r="N9" s="2944"/>
      <c r="O9" s="2944"/>
      <c r="P9" s="3343" t="s">
        <v>2351</v>
      </c>
      <c r="Q9" s="1525" t="str">
        <f t="shared" ref="Q9:Q15" si="6">B9</f>
        <v>用途</v>
      </c>
      <c r="R9" s="707" t="s">
        <v>14</v>
      </c>
      <c r="S9" s="708">
        <f t="shared" si="0"/>
        <v>100</v>
      </c>
      <c r="T9" s="707" t="s">
        <v>14</v>
      </c>
      <c r="U9" s="708">
        <f t="shared" si="1"/>
        <v>100</v>
      </c>
      <c r="V9" s="707" t="s">
        <v>14</v>
      </c>
      <c r="W9" s="708">
        <f t="shared" si="2"/>
        <v>100</v>
      </c>
      <c r="X9" s="709"/>
      <c r="Y9" s="3275" t="s">
        <v>2352</v>
      </c>
      <c r="Z9" s="52" t="str">
        <f t="shared" ref="Z9:Z15" si="7">Q9</f>
        <v>用途</v>
      </c>
      <c r="AA9" s="710">
        <f t="shared" si="3"/>
        <v>1</v>
      </c>
      <c r="AB9" s="710">
        <f t="shared" si="4"/>
        <v>1</v>
      </c>
      <c r="AC9" s="2142">
        <f t="shared" si="5"/>
        <v>1</v>
      </c>
    </row>
    <row r="10" spans="1:29" s="383" customFormat="1" ht="27">
      <c r="A10" s="377"/>
      <c r="B10" s="378" t="s">
        <v>2353</v>
      </c>
      <c r="C10" s="379"/>
      <c r="D10" s="129">
        <v>100</v>
      </c>
      <c r="E10" s="379"/>
      <c r="F10" s="129">
        <f>SUMIF(66:66,E10,67:67)-SUMIF(66:66,C10,67:67)+100</f>
        <v>100</v>
      </c>
      <c r="G10" s="380"/>
      <c r="H10" s="129">
        <f>SUMIF(66:66,G10,67:67)-SUMIF(66:66,C10,67:67)+100</f>
        <v>100</v>
      </c>
      <c r="I10" s="379"/>
      <c r="J10" s="129">
        <f>SUMIF(66:66,I10,67:67)-SUMIF(66:66,C10,67:67)+100</f>
        <v>100</v>
      </c>
      <c r="K10" s="566"/>
      <c r="L10" s="2945"/>
      <c r="M10" s="2946"/>
      <c r="N10" s="2946"/>
      <c r="O10" s="2946"/>
      <c r="P10" s="3343"/>
      <c r="Q10" s="1525" t="str">
        <f t="shared" si="6"/>
        <v>土地使用年限（年）</v>
      </c>
      <c r="R10" s="707" t="s">
        <v>14</v>
      </c>
      <c r="S10" s="708">
        <f t="shared" si="0"/>
        <v>100</v>
      </c>
      <c r="T10" s="707" t="s">
        <v>14</v>
      </c>
      <c r="U10" s="708">
        <f t="shared" si="1"/>
        <v>100</v>
      </c>
      <c r="V10" s="707" t="s">
        <v>14</v>
      </c>
      <c r="W10" s="708">
        <f t="shared" si="2"/>
        <v>100</v>
      </c>
      <c r="X10" s="709"/>
      <c r="Y10" s="3275"/>
      <c r="Z10" s="52" t="str">
        <f t="shared" si="7"/>
        <v>土地使用年限（年）</v>
      </c>
      <c r="AA10" s="710">
        <f t="shared" si="3"/>
        <v>1</v>
      </c>
      <c r="AB10" s="710">
        <f t="shared" si="4"/>
        <v>1</v>
      </c>
      <c r="AC10" s="2142">
        <f t="shared" si="5"/>
        <v>1</v>
      </c>
    </row>
    <row r="11" spans="1:29" ht="15">
      <c r="A11" s="384"/>
      <c r="B11" s="378" t="s">
        <v>2354</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7"/>
      <c r="M11" s="2942"/>
      <c r="N11" s="2942"/>
      <c r="O11" s="2942"/>
      <c r="P11" s="3343"/>
      <c r="Q11" s="1525" t="str">
        <f t="shared" si="6"/>
        <v>容积率</v>
      </c>
      <c r="R11" s="707" t="s">
        <v>14</v>
      </c>
      <c r="S11" s="708" t="e">
        <f t="shared" si="0"/>
        <v>#N/A</v>
      </c>
      <c r="T11" s="707" t="s">
        <v>14</v>
      </c>
      <c r="U11" s="708" t="e">
        <f t="shared" si="1"/>
        <v>#N/A</v>
      </c>
      <c r="V11" s="707" t="s">
        <v>14</v>
      </c>
      <c r="W11" s="708" t="e">
        <f t="shared" si="2"/>
        <v>#N/A</v>
      </c>
      <c r="X11" s="709"/>
      <c r="Y11" s="3275"/>
      <c r="Z11" s="52" t="str">
        <f t="shared" si="7"/>
        <v>容积率</v>
      </c>
      <c r="AA11" s="710" t="e">
        <f t="shared" si="3"/>
        <v>#N/A</v>
      </c>
      <c r="AB11" s="710" t="e">
        <f t="shared" si="4"/>
        <v>#N/A</v>
      </c>
      <c r="AC11" s="2142" t="e">
        <f t="shared" si="5"/>
        <v>#N/A</v>
      </c>
    </row>
    <row r="12" spans="1:29" s="110" customFormat="1" ht="15">
      <c r="A12" s="387"/>
      <c r="B12" s="2076">
        <v>111</v>
      </c>
      <c r="C12" s="388"/>
      <c r="D12" s="389">
        <v>100</v>
      </c>
      <c r="E12" s="388"/>
      <c r="F12" s="129">
        <f>SUMIF(71:71,E12,72:72)-SUMIF(71:71,C12,72:72)+100</f>
        <v>100</v>
      </c>
      <c r="G12" s="2143"/>
      <c r="H12" s="129">
        <f>SUMIF(71:71,G12,72:72)-SUMIF(71:71,C12,72:72)+100</f>
        <v>100</v>
      </c>
      <c r="I12" s="388"/>
      <c r="J12" s="129">
        <f>SUMIF(71:71,I12,72:72)-SUMIF(71:71,C12,72:72)+100</f>
        <v>100</v>
      </c>
      <c r="K12" s="567"/>
      <c r="L12" s="2943"/>
      <c r="M12" s="2944"/>
      <c r="N12" s="2944"/>
      <c r="O12" s="2944"/>
      <c r="P12" s="3343"/>
      <c r="Q12" s="1525">
        <f t="shared" si="6"/>
        <v>111</v>
      </c>
      <c r="R12" s="707" t="s">
        <v>14</v>
      </c>
      <c r="S12" s="708">
        <f t="shared" si="0"/>
        <v>100</v>
      </c>
      <c r="T12" s="707" t="s">
        <v>14</v>
      </c>
      <c r="U12" s="708">
        <f t="shared" si="1"/>
        <v>100</v>
      </c>
      <c r="V12" s="707" t="s">
        <v>14</v>
      </c>
      <c r="W12" s="708">
        <f t="shared" si="2"/>
        <v>100</v>
      </c>
      <c r="X12" s="709"/>
      <c r="Y12" s="3275"/>
      <c r="Z12" s="52">
        <f t="shared" si="7"/>
        <v>111</v>
      </c>
      <c r="AA12" s="710">
        <f>D12/F12</f>
        <v>1</v>
      </c>
      <c r="AB12" s="710">
        <f>D12/H12</f>
        <v>1</v>
      </c>
      <c r="AC12" s="2142">
        <f>D12/J12</f>
        <v>1</v>
      </c>
    </row>
    <row r="13" spans="1:29" ht="15">
      <c r="A13" s="384"/>
      <c r="B13" s="2076">
        <v>111</v>
      </c>
      <c r="C13" s="390"/>
      <c r="D13" s="391">
        <v>100</v>
      </c>
      <c r="E13" s="388"/>
      <c r="F13" s="129">
        <f>SUMIF(73:73,E13,74:74)-SUMIF(73:73,C13,74:74)+100</f>
        <v>100</v>
      </c>
      <c r="G13" s="2143"/>
      <c r="H13" s="391">
        <f>SUMIF(73:73,G13,74:74)-SUMIF(73:73,C13,74:74)+100</f>
        <v>100</v>
      </c>
      <c r="I13" s="388"/>
      <c r="J13" s="391">
        <f>SUMIF(73:73,I13,74:74)-SUMIF(73:73,C13,74:74)+100</f>
        <v>100</v>
      </c>
      <c r="K13" s="567"/>
      <c r="L13" s="2948"/>
      <c r="M13" s="2942"/>
      <c r="N13" s="2942"/>
      <c r="O13" s="2942"/>
      <c r="P13" s="3343"/>
      <c r="Q13" s="1525">
        <f t="shared" si="6"/>
        <v>111</v>
      </c>
      <c r="R13" s="707" t="s">
        <v>14</v>
      </c>
      <c r="S13" s="708">
        <f t="shared" si="0"/>
        <v>100</v>
      </c>
      <c r="T13" s="707" t="s">
        <v>14</v>
      </c>
      <c r="U13" s="708">
        <f t="shared" si="1"/>
        <v>100</v>
      </c>
      <c r="V13" s="707" t="s">
        <v>14</v>
      </c>
      <c r="W13" s="708">
        <f t="shared" si="2"/>
        <v>100</v>
      </c>
      <c r="X13" s="709"/>
      <c r="Y13" s="3275"/>
      <c r="Z13" s="52">
        <f t="shared" si="7"/>
        <v>111</v>
      </c>
      <c r="AA13" s="710">
        <f t="shared" si="3"/>
        <v>1</v>
      </c>
      <c r="AB13" s="710">
        <f t="shared" si="4"/>
        <v>1</v>
      </c>
      <c r="AC13" s="2142">
        <f t="shared" si="5"/>
        <v>1</v>
      </c>
    </row>
    <row r="14" spans="1:29" ht="15.75" thickBot="1">
      <c r="A14" s="392"/>
      <c r="B14" s="2078">
        <v>111</v>
      </c>
      <c r="C14" s="393"/>
      <c r="D14" s="394">
        <v>100</v>
      </c>
      <c r="E14" s="581"/>
      <c r="F14" s="394">
        <f>SUMIF(75:75,E14,76:76)-SUMIF(75:75,C14,76:76)+100</f>
        <v>100</v>
      </c>
      <c r="G14" s="2143"/>
      <c r="H14" s="394">
        <f>SUMIF(75:75,G14,76:76)-SUMIF(75:75,C14,76:76)+100</f>
        <v>100</v>
      </c>
      <c r="I14" s="388"/>
      <c r="J14" s="394">
        <f>SUMIF(75:75,I14,76:76)-SUMIF(75:75,C14,76:76)+100</f>
        <v>100</v>
      </c>
      <c r="K14" s="567"/>
      <c r="L14" s="2948"/>
      <c r="M14" s="2942"/>
      <c r="N14" s="2942"/>
      <c r="O14" s="2942"/>
      <c r="P14" s="3343"/>
      <c r="Q14" s="1525">
        <f t="shared" si="6"/>
        <v>111</v>
      </c>
      <c r="R14" s="707" t="s">
        <v>14</v>
      </c>
      <c r="S14" s="708">
        <f t="shared" si="0"/>
        <v>100</v>
      </c>
      <c r="T14" s="707" t="s">
        <v>14</v>
      </c>
      <c r="U14" s="708">
        <f t="shared" si="1"/>
        <v>100</v>
      </c>
      <c r="V14" s="707" t="s">
        <v>14</v>
      </c>
      <c r="W14" s="708">
        <f t="shared" si="2"/>
        <v>100</v>
      </c>
      <c r="X14" s="709"/>
      <c r="Y14" s="3275"/>
      <c r="Z14" s="52">
        <f t="shared" si="7"/>
        <v>111</v>
      </c>
      <c r="AA14" s="710">
        <f t="shared" si="3"/>
        <v>1</v>
      </c>
      <c r="AB14" s="710">
        <f t="shared" si="4"/>
        <v>1</v>
      </c>
      <c r="AC14" s="2142">
        <f t="shared" si="5"/>
        <v>1</v>
      </c>
    </row>
    <row r="15" spans="1:29" ht="71.25">
      <c r="A15" s="396" t="s">
        <v>2355</v>
      </c>
      <c r="B15" s="582" t="s">
        <v>2483</v>
      </c>
      <c r="C15" s="2144"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8"/>
      <c r="M15" s="2942"/>
      <c r="N15" s="2942"/>
      <c r="O15" s="2942"/>
      <c r="P15" s="3379" t="s">
        <v>2356</v>
      </c>
      <c r="Q15" s="1534" t="str">
        <f t="shared" si="6"/>
        <v>办公集聚程度</v>
      </c>
      <c r="R15" s="711" t="s">
        <v>14</v>
      </c>
      <c r="S15" s="712">
        <f t="shared" si="0"/>
        <v>100</v>
      </c>
      <c r="T15" s="711" t="s">
        <v>14</v>
      </c>
      <c r="U15" s="712">
        <f t="shared" si="1"/>
        <v>100</v>
      </c>
      <c r="V15" s="711" t="s">
        <v>14</v>
      </c>
      <c r="W15" s="712">
        <f t="shared" si="2"/>
        <v>100</v>
      </c>
      <c r="X15" s="1537"/>
      <c r="Y15" s="3334" t="s">
        <v>2356</v>
      </c>
      <c r="Z15" s="1538" t="str">
        <f t="shared" si="7"/>
        <v>办公集聚程度</v>
      </c>
      <c r="AA15" s="1535">
        <f t="shared" si="3"/>
        <v>1</v>
      </c>
      <c r="AB15" s="1535">
        <f t="shared" si="4"/>
        <v>1</v>
      </c>
      <c r="AC15" s="2145">
        <f t="shared" si="5"/>
        <v>1</v>
      </c>
    </row>
    <row r="16" spans="1:29" ht="15">
      <c r="A16" s="384"/>
      <c r="B16" s="583"/>
      <c r="C16" s="2087"/>
      <c r="D16" s="404"/>
      <c r="E16" s="403"/>
      <c r="F16" s="404"/>
      <c r="G16" s="2087"/>
      <c r="H16" s="406"/>
      <c r="I16" s="403"/>
      <c r="J16" s="404"/>
      <c r="K16" s="569"/>
      <c r="L16" s="2948"/>
      <c r="M16" s="2942"/>
      <c r="N16" s="2942"/>
      <c r="O16" s="2942"/>
      <c r="P16" s="3380"/>
      <c r="Q16" s="1534"/>
      <c r="R16" s="711"/>
      <c r="S16" s="712"/>
      <c r="T16" s="711"/>
      <c r="U16" s="712"/>
      <c r="V16" s="711"/>
      <c r="W16" s="712"/>
      <c r="X16" s="1537"/>
      <c r="Y16" s="3335"/>
      <c r="Z16" s="1538"/>
      <c r="AA16" s="1535">
        <v>1</v>
      </c>
      <c r="AB16" s="1535">
        <v>1</v>
      </c>
      <c r="AC16" s="2145">
        <v>1</v>
      </c>
    </row>
    <row r="17" spans="1:29" ht="71.25">
      <c r="A17" s="384"/>
      <c r="B17" s="584" t="s">
        <v>1923</v>
      </c>
      <c r="C17" s="2146"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8"/>
      <c r="M17" s="2942"/>
      <c r="N17" s="2942"/>
      <c r="O17" s="2942"/>
      <c r="P17" s="3380"/>
      <c r="Q17" s="1534" t="str">
        <f>B17</f>
        <v>交通便捷度</v>
      </c>
      <c r="R17" s="711" t="s">
        <v>14</v>
      </c>
      <c r="S17" s="712">
        <f>F17</f>
        <v>100</v>
      </c>
      <c r="T17" s="711" t="s">
        <v>14</v>
      </c>
      <c r="U17" s="712">
        <f>H17</f>
        <v>100</v>
      </c>
      <c r="V17" s="711" t="s">
        <v>14</v>
      </c>
      <c r="W17" s="712">
        <f>J17</f>
        <v>100</v>
      </c>
      <c r="X17" s="1537"/>
      <c r="Y17" s="3335"/>
      <c r="Z17" s="1538" t="str">
        <f>Q17</f>
        <v>交通便捷度</v>
      </c>
      <c r="AA17" s="1535">
        <f t="shared" si="3"/>
        <v>1</v>
      </c>
      <c r="AB17" s="1535">
        <f t="shared" si="4"/>
        <v>1</v>
      </c>
      <c r="AC17" s="2145">
        <f t="shared" si="5"/>
        <v>1</v>
      </c>
    </row>
    <row r="18" spans="1:29" ht="15">
      <c r="A18" s="384"/>
      <c r="B18" s="585"/>
      <c r="C18" s="2147"/>
      <c r="D18" s="406"/>
      <c r="E18" s="2085"/>
      <c r="F18" s="406"/>
      <c r="G18" s="2086"/>
      <c r="H18" s="404"/>
      <c r="I18" s="2086"/>
      <c r="J18" s="404"/>
      <c r="K18" s="569"/>
      <c r="L18" s="2948"/>
      <c r="M18" s="2942"/>
      <c r="N18" s="2942"/>
      <c r="O18" s="2942"/>
      <c r="P18" s="3380"/>
      <c r="Q18" s="1534"/>
      <c r="R18" s="711"/>
      <c r="S18" s="712"/>
      <c r="T18" s="711"/>
      <c r="U18" s="712"/>
      <c r="V18" s="711"/>
      <c r="W18" s="712"/>
      <c r="X18" s="1537"/>
      <c r="Y18" s="3335"/>
      <c r="Z18" s="1538"/>
      <c r="AA18" s="1535">
        <v>1</v>
      </c>
      <c r="AB18" s="1535">
        <v>1</v>
      </c>
      <c r="AC18" s="2145">
        <v>1</v>
      </c>
    </row>
    <row r="19" spans="1:29" ht="42.75">
      <c r="A19" s="384"/>
      <c r="B19" s="584" t="s">
        <v>2484</v>
      </c>
      <c r="C19" s="2146"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8"/>
      <c r="M19" s="2942"/>
      <c r="N19" s="2942"/>
      <c r="O19" s="2942"/>
      <c r="P19" s="3380"/>
      <c r="Q19" s="1534" t="str">
        <f>B19</f>
        <v>公共配套设施</v>
      </c>
      <c r="R19" s="711" t="s">
        <v>14</v>
      </c>
      <c r="S19" s="712">
        <f>F19</f>
        <v>100</v>
      </c>
      <c r="T19" s="711" t="s">
        <v>14</v>
      </c>
      <c r="U19" s="712">
        <f>H19</f>
        <v>100</v>
      </c>
      <c r="V19" s="711" t="s">
        <v>14</v>
      </c>
      <c r="W19" s="712">
        <f>J19</f>
        <v>100</v>
      </c>
      <c r="X19" s="1537"/>
      <c r="Y19" s="3335"/>
      <c r="Z19" s="1538" t="str">
        <f>Q19</f>
        <v>公共配套设施</v>
      </c>
      <c r="AA19" s="1535">
        <f t="shared" si="3"/>
        <v>1</v>
      </c>
      <c r="AB19" s="1535">
        <f t="shared" si="4"/>
        <v>1</v>
      </c>
      <c r="AC19" s="2145">
        <f t="shared" si="5"/>
        <v>1</v>
      </c>
    </row>
    <row r="20" spans="1:29" ht="15">
      <c r="A20" s="384"/>
      <c r="B20" s="585"/>
      <c r="C20" s="2087"/>
      <c r="D20" s="404"/>
      <c r="E20" s="2080"/>
      <c r="F20" s="404"/>
      <c r="G20" s="2081"/>
      <c r="H20" s="404"/>
      <c r="I20" s="2081"/>
      <c r="J20" s="404"/>
      <c r="K20" s="569"/>
      <c r="L20" s="2948"/>
      <c r="M20" s="2942"/>
      <c r="N20" s="2942"/>
      <c r="O20" s="2942"/>
      <c r="P20" s="3380"/>
      <c r="Q20" s="1534"/>
      <c r="R20" s="711"/>
      <c r="S20" s="712"/>
      <c r="T20" s="711"/>
      <c r="U20" s="712"/>
      <c r="V20" s="711"/>
      <c r="W20" s="712"/>
      <c r="X20" s="1537"/>
      <c r="Y20" s="3335"/>
      <c r="Z20" s="1538"/>
      <c r="AA20" s="1535">
        <v>1</v>
      </c>
      <c r="AB20" s="1535">
        <v>1</v>
      </c>
      <c r="AC20" s="2145">
        <v>1</v>
      </c>
    </row>
    <row r="21" spans="1:29" ht="28.5">
      <c r="A21" s="384"/>
      <c r="B21" s="586" t="s">
        <v>2485</v>
      </c>
      <c r="C21" s="2146"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8"/>
      <c r="M21" s="2942"/>
      <c r="N21" s="2942"/>
      <c r="O21" s="2942"/>
      <c r="P21" s="3380"/>
      <c r="Q21" s="1534" t="str">
        <f>B21</f>
        <v>基础设施水平</v>
      </c>
      <c r="R21" s="711" t="s">
        <v>14</v>
      </c>
      <c r="S21" s="712">
        <f>F21</f>
        <v>100</v>
      </c>
      <c r="T21" s="711" t="s">
        <v>14</v>
      </c>
      <c r="U21" s="712">
        <f>H21</f>
        <v>100</v>
      </c>
      <c r="V21" s="711" t="s">
        <v>14</v>
      </c>
      <c r="W21" s="712">
        <f>J21</f>
        <v>100</v>
      </c>
      <c r="X21" s="1537"/>
      <c r="Y21" s="3335"/>
      <c r="Z21" s="1538" t="str">
        <f>Q21</f>
        <v>基础设施水平</v>
      </c>
      <c r="AA21" s="1535">
        <f t="shared" ref="AA21" si="8">D21/F21</f>
        <v>1</v>
      </c>
      <c r="AB21" s="1535">
        <f t="shared" ref="AB21" si="9">D21/H21</f>
        <v>1</v>
      </c>
      <c r="AC21" s="2145">
        <f t="shared" ref="AC21" si="10">D21/J21</f>
        <v>1</v>
      </c>
    </row>
    <row r="22" spans="1:29" ht="15">
      <c r="A22" s="384"/>
      <c r="B22" s="586"/>
      <c r="C22" s="2147"/>
      <c r="D22" s="404"/>
      <c r="E22" s="403"/>
      <c r="F22" s="404"/>
      <c r="G22" s="2087"/>
      <c r="H22" s="404"/>
      <c r="I22" s="2087"/>
      <c r="J22" s="404"/>
      <c r="K22" s="1289"/>
      <c r="L22" s="2948"/>
      <c r="M22" s="2942"/>
      <c r="N22" s="2942"/>
      <c r="O22" s="2942"/>
      <c r="P22" s="3380"/>
      <c r="Q22" s="1534"/>
      <c r="R22" s="711"/>
      <c r="S22" s="712"/>
      <c r="T22" s="711"/>
      <c r="U22" s="712"/>
      <c r="V22" s="711"/>
      <c r="W22" s="712"/>
      <c r="X22" s="1537"/>
      <c r="Y22" s="3335"/>
      <c r="Z22" s="1538"/>
      <c r="AA22" s="1535">
        <v>1</v>
      </c>
      <c r="AB22" s="1535">
        <v>1</v>
      </c>
      <c r="AC22" s="2145">
        <v>1</v>
      </c>
    </row>
    <row r="23" spans="1:29" ht="42.75">
      <c r="A23" s="384"/>
      <c r="B23" s="584" t="s">
        <v>2486</v>
      </c>
      <c r="C23" s="2146"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8"/>
      <c r="M23" s="2942"/>
      <c r="N23" s="2942"/>
      <c r="O23" s="2942"/>
      <c r="P23" s="3380"/>
      <c r="Q23" s="1534" t="str">
        <f>B23</f>
        <v>环境质量</v>
      </c>
      <c r="R23" s="711" t="s">
        <v>14</v>
      </c>
      <c r="S23" s="712">
        <f>F23</f>
        <v>100</v>
      </c>
      <c r="T23" s="711" t="s">
        <v>14</v>
      </c>
      <c r="U23" s="712">
        <f>H23</f>
        <v>100</v>
      </c>
      <c r="V23" s="711" t="s">
        <v>14</v>
      </c>
      <c r="W23" s="712">
        <f>J23</f>
        <v>100</v>
      </c>
      <c r="X23" s="1537"/>
      <c r="Y23" s="3335"/>
      <c r="Z23" s="1538" t="str">
        <f>Q23</f>
        <v>环境质量</v>
      </c>
      <c r="AA23" s="1535">
        <f t="shared" si="3"/>
        <v>1</v>
      </c>
      <c r="AB23" s="1535">
        <f t="shared" si="4"/>
        <v>1</v>
      </c>
      <c r="AC23" s="2145">
        <f t="shared" si="5"/>
        <v>1</v>
      </c>
    </row>
    <row r="24" spans="1:29" ht="15">
      <c r="A24" s="384"/>
      <c r="B24" s="586"/>
      <c r="C24" s="2087"/>
      <c r="D24" s="404"/>
      <c r="E24" s="2080"/>
      <c r="F24" s="404"/>
      <c r="G24" s="2081"/>
      <c r="H24" s="404"/>
      <c r="I24" s="2081"/>
      <c r="J24" s="404"/>
      <c r="K24" s="569"/>
      <c r="L24" s="2948"/>
      <c r="M24" s="2942"/>
      <c r="N24" s="2942"/>
      <c r="O24" s="2942"/>
      <c r="P24" s="3380"/>
      <c r="Q24" s="1534"/>
      <c r="R24" s="711"/>
      <c r="S24" s="712"/>
      <c r="T24" s="711"/>
      <c r="U24" s="712"/>
      <c r="V24" s="711"/>
      <c r="W24" s="712"/>
      <c r="X24" s="1537"/>
      <c r="Y24" s="3335"/>
      <c r="Z24" s="1538"/>
      <c r="AA24" s="1535">
        <v>1</v>
      </c>
      <c r="AB24" s="1535">
        <v>1</v>
      </c>
      <c r="AC24" s="2145">
        <v>1</v>
      </c>
    </row>
    <row r="25" spans="1:29" ht="27">
      <c r="A25" s="361"/>
      <c r="B25" s="584" t="s">
        <v>2487</v>
      </c>
      <c r="C25" s="2091"/>
      <c r="D25" s="391">
        <v>100</v>
      </c>
      <c r="E25" s="390"/>
      <c r="F25" s="391">
        <f>SUMIF(87:87,E26,88:88)-SUMIF(87:87,C26,88:88)+100</f>
        <v>100</v>
      </c>
      <c r="G25" s="2091"/>
      <c r="H25" s="391">
        <f>SUMIF(87:87,G26,88:88)-SUMIF(87:87,C26,88:88)+100</f>
        <v>100</v>
      </c>
      <c r="I25" s="390"/>
      <c r="J25" s="391">
        <f>SUMIF(87:87,I26,88:88)-SUMIF(87:87,C26,88:88)+100</f>
        <v>100</v>
      </c>
      <c r="K25" s="568"/>
      <c r="L25" s="2948"/>
      <c r="M25" s="2942"/>
      <c r="N25" s="2942"/>
      <c r="O25" s="2942"/>
      <c r="P25" s="3380"/>
      <c r="Q25" s="1534" t="str">
        <f>B25</f>
        <v>毗邻道路的类型与等级</v>
      </c>
      <c r="R25" s="711" t="s">
        <v>14</v>
      </c>
      <c r="S25" s="712">
        <f>F25</f>
        <v>100</v>
      </c>
      <c r="T25" s="711" t="s">
        <v>14</v>
      </c>
      <c r="U25" s="712">
        <f>H25</f>
        <v>100</v>
      </c>
      <c r="V25" s="711" t="s">
        <v>14</v>
      </c>
      <c r="W25" s="712">
        <f>J25</f>
        <v>100</v>
      </c>
      <c r="X25" s="1537"/>
      <c r="Y25" s="3335"/>
      <c r="Z25" s="1538" t="str">
        <f>Q25</f>
        <v>毗邻道路的类型与等级</v>
      </c>
      <c r="AA25" s="1535">
        <f t="shared" si="3"/>
        <v>1</v>
      </c>
      <c r="AB25" s="1535">
        <f t="shared" si="4"/>
        <v>1</v>
      </c>
      <c r="AC25" s="2145">
        <f t="shared" si="5"/>
        <v>1</v>
      </c>
    </row>
    <row r="26" spans="1:29" ht="15">
      <c r="A26" s="361"/>
      <c r="B26" s="585"/>
      <c r="C26" s="587"/>
      <c r="D26" s="391"/>
      <c r="E26" s="570"/>
      <c r="F26" s="391"/>
      <c r="G26" s="587"/>
      <c r="H26" s="391"/>
      <c r="I26" s="570"/>
      <c r="J26" s="391"/>
      <c r="K26" s="569"/>
      <c r="L26" s="2948"/>
      <c r="M26" s="2942"/>
      <c r="N26" s="2942"/>
      <c r="O26" s="2942"/>
      <c r="P26" s="3380"/>
      <c r="Q26" s="1534"/>
      <c r="R26" s="711"/>
      <c r="S26" s="712"/>
      <c r="T26" s="711"/>
      <c r="U26" s="712"/>
      <c r="V26" s="711"/>
      <c r="W26" s="712"/>
      <c r="X26" s="1537"/>
      <c r="Y26" s="3335"/>
      <c r="Z26" s="1538"/>
      <c r="AA26" s="1535">
        <v>1</v>
      </c>
      <c r="AB26" s="1535">
        <v>1</v>
      </c>
      <c r="AC26" s="2145">
        <v>1</v>
      </c>
    </row>
    <row r="27" spans="1:29" ht="15">
      <c r="A27" s="384"/>
      <c r="B27" s="585" t="s">
        <v>2455</v>
      </c>
      <c r="C27" s="587"/>
      <c r="D27" s="391">
        <v>100</v>
      </c>
      <c r="E27" s="570"/>
      <c r="F27" s="391">
        <f>SUMIF(89:89,E27,90:90)-SUMIF(89:89,C27,90:90)+100</f>
        <v>100</v>
      </c>
      <c r="G27" s="587"/>
      <c r="H27" s="391">
        <f>SUMIF(89:89,G27,90:90)-SUMIF(89:89,C27,90:90)+100</f>
        <v>100</v>
      </c>
      <c r="I27" s="570"/>
      <c r="J27" s="391">
        <f>SUMIF(89:89,I27,90:90)-SUMIF(89:89,C27,90:90)+100</f>
        <v>100</v>
      </c>
      <c r="K27" s="566"/>
      <c r="L27" s="2948"/>
      <c r="M27" s="2942"/>
      <c r="N27" s="2942"/>
      <c r="O27" s="2942"/>
      <c r="P27" s="3380"/>
      <c r="Q27" s="1534" t="str">
        <f t="shared" ref="Q27:Q47" si="11">B27</f>
        <v>楼层</v>
      </c>
      <c r="R27" s="711" t="s">
        <v>14</v>
      </c>
      <c r="S27" s="712">
        <f>F27</f>
        <v>100</v>
      </c>
      <c r="T27" s="711" t="s">
        <v>14</v>
      </c>
      <c r="U27" s="712">
        <f>H27</f>
        <v>100</v>
      </c>
      <c r="V27" s="711" t="s">
        <v>14</v>
      </c>
      <c r="W27" s="712">
        <f>J27</f>
        <v>100</v>
      </c>
      <c r="X27" s="1537"/>
      <c r="Y27" s="3335"/>
      <c r="Z27" s="1538" t="str">
        <f>Q27</f>
        <v>楼层</v>
      </c>
      <c r="AA27" s="1535">
        <f t="shared" si="3"/>
        <v>1</v>
      </c>
      <c r="AB27" s="1535">
        <f t="shared" si="4"/>
        <v>1</v>
      </c>
      <c r="AC27" s="2145">
        <f t="shared" si="5"/>
        <v>1</v>
      </c>
    </row>
    <row r="28" spans="1:29" s="110" customFormat="1" ht="15">
      <c r="A28" s="387"/>
      <c r="B28" s="584" t="s">
        <v>2488</v>
      </c>
      <c r="C28" s="2148"/>
      <c r="D28" s="418">
        <v>100</v>
      </c>
      <c r="E28" s="2139"/>
      <c r="F28" s="418">
        <f>SUMIF(91:91,E28,92:92)-SUMIF(91:91,C28,92:92)+100</f>
        <v>100</v>
      </c>
      <c r="G28" s="2148"/>
      <c r="H28" s="418">
        <f>SUMIF(91:91,G28,92:92)-SUMIF(91:91,C28,92:92)+100</f>
        <v>100</v>
      </c>
      <c r="I28" s="2139"/>
      <c r="J28" s="418">
        <f>SUMIF(91:91,I28,92:92)-SUMIF(91:91,C28,92:92)+100</f>
        <v>100</v>
      </c>
      <c r="K28" s="566"/>
      <c r="L28" s="2943"/>
      <c r="M28" s="2944"/>
      <c r="N28" s="2944"/>
      <c r="O28" s="2944"/>
      <c r="P28" s="3380"/>
      <c r="Q28" s="1525" t="str">
        <f t="shared" si="11"/>
        <v>朝向</v>
      </c>
      <c r="R28" s="707" t="s">
        <v>14</v>
      </c>
      <c r="S28" s="708">
        <f>F28</f>
        <v>100</v>
      </c>
      <c r="T28" s="707" t="s">
        <v>14</v>
      </c>
      <c r="U28" s="708">
        <f>H28</f>
        <v>100</v>
      </c>
      <c r="V28" s="707" t="s">
        <v>14</v>
      </c>
      <c r="W28" s="708">
        <f>J28</f>
        <v>100</v>
      </c>
      <c r="X28" s="709"/>
      <c r="Y28" s="3335"/>
      <c r="Z28" s="52" t="str">
        <f>Q28</f>
        <v>朝向</v>
      </c>
      <c r="AA28" s="1535">
        <f>D28/F28</f>
        <v>1</v>
      </c>
      <c r="AB28" s="1535">
        <f>D28/H28</f>
        <v>1</v>
      </c>
      <c r="AC28" s="2145">
        <f>D28/J28</f>
        <v>1</v>
      </c>
    </row>
    <row r="29" spans="1:29" ht="15">
      <c r="A29" s="384"/>
      <c r="B29" s="2149">
        <v>111</v>
      </c>
      <c r="C29" s="2091"/>
      <c r="D29" s="391">
        <v>100</v>
      </c>
      <c r="E29" s="388"/>
      <c r="F29" s="391">
        <f>SUMIF(93:93,E29,94:94)-SUMIF(93:93,C29,94:94)+100</f>
        <v>100</v>
      </c>
      <c r="G29" s="2143"/>
      <c r="H29" s="391">
        <f>SUMIF(93:93,G29,94:94)-SUMIF(93:93,C29,94:94)+100</f>
        <v>100</v>
      </c>
      <c r="I29" s="388"/>
      <c r="J29" s="391">
        <f>SUMIF(93:93,I29,94:94)-SUMIF(93:93,C29,94:94)+100</f>
        <v>100</v>
      </c>
      <c r="K29" s="567"/>
      <c r="L29" s="2948"/>
      <c r="M29" s="2942"/>
      <c r="N29" s="2942"/>
      <c r="O29" s="2942"/>
      <c r="P29" s="3380"/>
      <c r="Q29" s="1534">
        <f t="shared" si="11"/>
        <v>111</v>
      </c>
      <c r="R29" s="711" t="s">
        <v>14</v>
      </c>
      <c r="S29" s="712">
        <f t="shared" ref="S29:S47" si="12">F29</f>
        <v>100</v>
      </c>
      <c r="T29" s="711" t="s">
        <v>14</v>
      </c>
      <c r="U29" s="712">
        <f t="shared" ref="U29:U47" si="13">H29</f>
        <v>100</v>
      </c>
      <c r="V29" s="711" t="s">
        <v>14</v>
      </c>
      <c r="W29" s="712">
        <f t="shared" ref="W29:W47" si="14">J29</f>
        <v>100</v>
      </c>
      <c r="X29" s="1537"/>
      <c r="Y29" s="3335"/>
      <c r="Z29" s="1538">
        <f t="shared" ref="Z29:Z47" si="15">Q29</f>
        <v>111</v>
      </c>
      <c r="AA29" s="1535">
        <f t="shared" si="3"/>
        <v>1</v>
      </c>
      <c r="AB29" s="1535">
        <f t="shared" si="4"/>
        <v>1</v>
      </c>
      <c r="AC29" s="2145">
        <f t="shared" si="5"/>
        <v>1</v>
      </c>
    </row>
    <row r="30" spans="1:29" ht="15">
      <c r="A30" s="384"/>
      <c r="B30" s="2149">
        <v>111</v>
      </c>
      <c r="C30" s="2091"/>
      <c r="D30" s="391">
        <v>100</v>
      </c>
      <c r="E30" s="388"/>
      <c r="F30" s="391">
        <f>SUMIF(95:95,E30,96:96)-SUMIF(95:95,C30,96:96)+100</f>
        <v>100</v>
      </c>
      <c r="G30" s="2143"/>
      <c r="H30" s="391">
        <f>SUMIF(95:95,G30,96:96)-SUMIF(95:95,C30,96:96)+100</f>
        <v>100</v>
      </c>
      <c r="I30" s="388"/>
      <c r="J30" s="391">
        <f>SUMIF(95:95,I30,96:96)-SUMIF(95:95,C30,96:96)+100</f>
        <v>100</v>
      </c>
      <c r="K30" s="567"/>
      <c r="L30" s="2948"/>
      <c r="M30" s="2942"/>
      <c r="N30" s="2942"/>
      <c r="O30" s="2942"/>
      <c r="P30" s="3380"/>
      <c r="Q30" s="1534">
        <f t="shared" si="11"/>
        <v>111</v>
      </c>
      <c r="R30" s="711" t="s">
        <v>14</v>
      </c>
      <c r="S30" s="712">
        <f t="shared" si="12"/>
        <v>100</v>
      </c>
      <c r="T30" s="711" t="s">
        <v>14</v>
      </c>
      <c r="U30" s="712">
        <f t="shared" si="13"/>
        <v>100</v>
      </c>
      <c r="V30" s="711" t="s">
        <v>14</v>
      </c>
      <c r="W30" s="712">
        <f t="shared" si="14"/>
        <v>100</v>
      </c>
      <c r="X30" s="1537"/>
      <c r="Y30" s="3335"/>
      <c r="Z30" s="1538">
        <f t="shared" si="15"/>
        <v>111</v>
      </c>
      <c r="AA30" s="1535">
        <f t="shared" si="3"/>
        <v>1</v>
      </c>
      <c r="AB30" s="1535">
        <f t="shared" si="4"/>
        <v>1</v>
      </c>
      <c r="AC30" s="2145">
        <f t="shared" si="5"/>
        <v>1</v>
      </c>
    </row>
    <row r="31" spans="1:29" ht="15">
      <c r="A31" s="384"/>
      <c r="B31" s="2149">
        <v>111</v>
      </c>
      <c r="C31" s="2091"/>
      <c r="D31" s="391">
        <v>100</v>
      </c>
      <c r="E31" s="388"/>
      <c r="F31" s="391">
        <f>SUMIF(97:97,E31,98:98)-SUMIF(97:97,C31,98:98)+100</f>
        <v>100</v>
      </c>
      <c r="G31" s="2143"/>
      <c r="H31" s="391">
        <f>SUMIF(97:97,G31,98:98)-SUMIF(97:97,C31,98:98)+100</f>
        <v>100</v>
      </c>
      <c r="I31" s="388"/>
      <c r="J31" s="391">
        <f>SUMIF(97:97,I31,98:98)-SUMIF(97:97,C31,98:98)+100</f>
        <v>100</v>
      </c>
      <c r="K31" s="567"/>
      <c r="L31" s="2948"/>
      <c r="M31" s="2942"/>
      <c r="N31" s="2942"/>
      <c r="O31" s="2942"/>
      <c r="P31" s="3380"/>
      <c r="Q31" s="1534">
        <f t="shared" si="11"/>
        <v>111</v>
      </c>
      <c r="R31" s="711" t="s">
        <v>14</v>
      </c>
      <c r="S31" s="712">
        <f t="shared" si="12"/>
        <v>100</v>
      </c>
      <c r="T31" s="711" t="s">
        <v>14</v>
      </c>
      <c r="U31" s="712">
        <f t="shared" si="13"/>
        <v>100</v>
      </c>
      <c r="V31" s="711" t="s">
        <v>14</v>
      </c>
      <c r="W31" s="712">
        <f t="shared" si="14"/>
        <v>100</v>
      </c>
      <c r="X31" s="1537"/>
      <c r="Y31" s="3335"/>
      <c r="Z31" s="1538">
        <f t="shared" si="15"/>
        <v>111</v>
      </c>
      <c r="AA31" s="1535">
        <f t="shared" si="3"/>
        <v>1</v>
      </c>
      <c r="AB31" s="1535">
        <f t="shared" si="4"/>
        <v>1</v>
      </c>
      <c r="AC31" s="2145">
        <f t="shared" si="5"/>
        <v>1</v>
      </c>
    </row>
    <row r="32" spans="1:29" ht="15.75" thickBot="1">
      <c r="A32" s="392"/>
      <c r="B32" s="588">
        <v>111</v>
      </c>
      <c r="C32" s="2092"/>
      <c r="D32" s="394">
        <v>100</v>
      </c>
      <c r="E32" s="581"/>
      <c r="F32" s="394">
        <f>SUMIF(99:99,E32,100:100)-SUMIF(99:99,C32,100:100)+100</f>
        <v>100</v>
      </c>
      <c r="G32" s="2143"/>
      <c r="H32" s="394">
        <f>SUMIF(99:99,G32,100:100)-SUMIF(99:99,C32,100:100)+100</f>
        <v>100</v>
      </c>
      <c r="I32" s="388"/>
      <c r="J32" s="394">
        <f>SUMIF(99:99,I32,100:100)-SUMIF(99:99,C32,100:100)+100</f>
        <v>100</v>
      </c>
      <c r="K32" s="567"/>
      <c r="L32" s="2948"/>
      <c r="M32" s="2942"/>
      <c r="N32" s="2942"/>
      <c r="O32" s="2942"/>
      <c r="P32" s="3380"/>
      <c r="Q32" s="1534">
        <f t="shared" si="11"/>
        <v>111</v>
      </c>
      <c r="R32" s="711" t="s">
        <v>14</v>
      </c>
      <c r="S32" s="712">
        <f t="shared" si="12"/>
        <v>100</v>
      </c>
      <c r="T32" s="711" t="s">
        <v>14</v>
      </c>
      <c r="U32" s="712">
        <f t="shared" si="13"/>
        <v>100</v>
      </c>
      <c r="V32" s="711" t="s">
        <v>14</v>
      </c>
      <c r="W32" s="712">
        <f t="shared" si="14"/>
        <v>100</v>
      </c>
      <c r="X32" s="1537"/>
      <c r="Y32" s="3335"/>
      <c r="Z32" s="1538">
        <f t="shared" si="15"/>
        <v>111</v>
      </c>
      <c r="AA32" s="1535">
        <f t="shared" si="3"/>
        <v>1</v>
      </c>
      <c r="AB32" s="1535">
        <f t="shared" si="4"/>
        <v>1</v>
      </c>
      <c r="AC32" s="2145">
        <f t="shared" si="5"/>
        <v>1</v>
      </c>
    </row>
    <row r="33" spans="1:29" ht="15">
      <c r="A33" s="396" t="s">
        <v>2359</v>
      </c>
      <c r="B33" s="64" t="s">
        <v>2489</v>
      </c>
      <c r="C33" s="2150"/>
      <c r="D33" s="423">
        <v>100</v>
      </c>
      <c r="E33" s="2150"/>
      <c r="F33" s="417">
        <f>SUMIF(101:101,E33,102:102)-SUMIF(101:101,C33,102:102)+100</f>
        <v>100</v>
      </c>
      <c r="G33" s="2150"/>
      <c r="H33" s="391">
        <f>SUMIF(101:101,G33,102:102)-SUMIF(101:101,C33,102:102)+100</f>
        <v>100</v>
      </c>
      <c r="I33" s="2150"/>
      <c r="J33" s="423">
        <f>SUMIF(101:101,I33,102:102)-SUMIF(101:101,C33,102:102)+100</f>
        <v>100</v>
      </c>
      <c r="K33" s="566"/>
      <c r="L33" s="2948"/>
      <c r="M33" s="2942"/>
      <c r="N33" s="2942"/>
      <c r="O33" s="2942"/>
      <c r="P33" s="3375" t="s">
        <v>2361</v>
      </c>
      <c r="Q33" s="1534" t="str">
        <f t="shared" si="11"/>
        <v>建筑类型</v>
      </c>
      <c r="R33" s="711" t="s">
        <v>14</v>
      </c>
      <c r="S33" s="712">
        <f t="shared" si="12"/>
        <v>100</v>
      </c>
      <c r="T33" s="711" t="s">
        <v>14</v>
      </c>
      <c r="U33" s="712">
        <f t="shared" si="13"/>
        <v>100</v>
      </c>
      <c r="V33" s="711" t="s">
        <v>14</v>
      </c>
      <c r="W33" s="712">
        <f t="shared" si="14"/>
        <v>100</v>
      </c>
      <c r="X33" s="1537"/>
      <c r="Y33" s="3337" t="s">
        <v>2361</v>
      </c>
      <c r="Z33" s="1538" t="str">
        <f t="shared" si="15"/>
        <v>建筑类型</v>
      </c>
      <c r="AA33" s="1535">
        <f t="shared" si="3"/>
        <v>1</v>
      </c>
      <c r="AB33" s="1535">
        <f t="shared" si="4"/>
        <v>1</v>
      </c>
      <c r="AC33" s="2145">
        <f t="shared" si="5"/>
        <v>1</v>
      </c>
    </row>
    <row r="34" spans="1:29" s="427" customFormat="1" ht="15">
      <c r="A34" s="424"/>
      <c r="B34" s="378" t="s">
        <v>2362</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7"/>
      <c r="M34" s="2949"/>
      <c r="N34" s="2949"/>
      <c r="O34" s="2949"/>
      <c r="P34" s="3376"/>
      <c r="Q34" s="713" t="str">
        <f t="shared" si="11"/>
        <v>项目建筑规模</v>
      </c>
      <c r="R34" s="714" t="s">
        <v>14</v>
      </c>
      <c r="S34" s="715" t="e">
        <f t="shared" si="12"/>
        <v>#N/A</v>
      </c>
      <c r="T34" s="714" t="s">
        <v>14</v>
      </c>
      <c r="U34" s="715" t="e">
        <f t="shared" si="13"/>
        <v>#N/A</v>
      </c>
      <c r="V34" s="714" t="s">
        <v>14</v>
      </c>
      <c r="W34" s="715" t="e">
        <f t="shared" si="14"/>
        <v>#N/A</v>
      </c>
      <c r="X34" s="716"/>
      <c r="Y34" s="3337"/>
      <c r="Z34" s="717" t="str">
        <f t="shared" si="15"/>
        <v>项目建筑规模</v>
      </c>
      <c r="AA34" s="1535" t="e">
        <f t="shared" si="3"/>
        <v>#N/A</v>
      </c>
      <c r="AB34" s="1535" t="e">
        <f t="shared" si="4"/>
        <v>#N/A</v>
      </c>
      <c r="AC34" s="2145" t="e">
        <f t="shared" si="5"/>
        <v>#N/A</v>
      </c>
    </row>
    <row r="35" spans="1:29" ht="15">
      <c r="A35" s="428"/>
      <c r="B35" s="378" t="s">
        <v>2363</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8"/>
      <c r="M35" s="2942"/>
      <c r="N35" s="2942"/>
      <c r="O35" s="2942"/>
      <c r="P35" s="3376"/>
      <c r="Q35" s="1534" t="str">
        <f t="shared" si="11"/>
        <v>建筑结构</v>
      </c>
      <c r="R35" s="711" t="s">
        <v>14</v>
      </c>
      <c r="S35" s="712">
        <f t="shared" si="12"/>
        <v>100</v>
      </c>
      <c r="T35" s="711" t="s">
        <v>14</v>
      </c>
      <c r="U35" s="712">
        <f t="shared" si="13"/>
        <v>100</v>
      </c>
      <c r="V35" s="711" t="s">
        <v>14</v>
      </c>
      <c r="W35" s="712">
        <f t="shared" si="14"/>
        <v>100</v>
      </c>
      <c r="X35" s="1537"/>
      <c r="Y35" s="3337"/>
      <c r="Z35" s="1538" t="str">
        <f t="shared" si="15"/>
        <v>建筑结构</v>
      </c>
      <c r="AA35" s="1535">
        <f t="shared" si="3"/>
        <v>1</v>
      </c>
      <c r="AB35" s="1535">
        <f t="shared" si="4"/>
        <v>1</v>
      </c>
      <c r="AC35" s="2145">
        <f t="shared" si="5"/>
        <v>1</v>
      </c>
    </row>
    <row r="36" spans="1:29" ht="15">
      <c r="A36" s="428"/>
      <c r="B36" s="378" t="s">
        <v>2457</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8"/>
      <c r="M36" s="2942"/>
      <c r="N36" s="2942"/>
      <c r="O36" s="2942"/>
      <c r="P36" s="3376"/>
      <c r="Q36" s="1534" t="str">
        <f t="shared" si="11"/>
        <v>公共部分装修</v>
      </c>
      <c r="R36" s="711" t="s">
        <v>14</v>
      </c>
      <c r="S36" s="712">
        <f t="shared" si="12"/>
        <v>100</v>
      </c>
      <c r="T36" s="711" t="s">
        <v>14</v>
      </c>
      <c r="U36" s="712">
        <f t="shared" si="13"/>
        <v>100</v>
      </c>
      <c r="V36" s="711" t="s">
        <v>14</v>
      </c>
      <c r="W36" s="712">
        <f t="shared" si="14"/>
        <v>100</v>
      </c>
      <c r="X36" s="1537"/>
      <c r="Y36" s="3337"/>
      <c r="Z36" s="1538" t="str">
        <f t="shared" si="15"/>
        <v>公共部分装修</v>
      </c>
      <c r="AA36" s="1535">
        <f t="shared" si="3"/>
        <v>1</v>
      </c>
      <c r="AB36" s="1535">
        <f t="shared" si="4"/>
        <v>1</v>
      </c>
      <c r="AC36" s="2145">
        <f t="shared" si="5"/>
        <v>1</v>
      </c>
    </row>
    <row r="37" spans="1:29" ht="15">
      <c r="A37" s="428"/>
      <c r="B37" s="378" t="s">
        <v>2458</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8"/>
      <c r="M37" s="2942"/>
      <c r="N37" s="2942"/>
      <c r="O37" s="2942"/>
      <c r="P37" s="3376"/>
      <c r="Q37" s="1534" t="str">
        <f t="shared" si="11"/>
        <v>成新度</v>
      </c>
      <c r="R37" s="711" t="s">
        <v>14</v>
      </c>
      <c r="S37" s="712" t="e">
        <f t="shared" si="12"/>
        <v>#N/A</v>
      </c>
      <c r="T37" s="711" t="s">
        <v>14</v>
      </c>
      <c r="U37" s="712" t="e">
        <f t="shared" si="13"/>
        <v>#N/A</v>
      </c>
      <c r="V37" s="711" t="s">
        <v>14</v>
      </c>
      <c r="W37" s="712" t="e">
        <f t="shared" si="14"/>
        <v>#N/A</v>
      </c>
      <c r="X37" s="1537"/>
      <c r="Y37" s="3337"/>
      <c r="Z37" s="1538" t="str">
        <f t="shared" si="15"/>
        <v>成新度</v>
      </c>
      <c r="AA37" s="1535" t="e">
        <f t="shared" si="3"/>
        <v>#N/A</v>
      </c>
      <c r="AB37" s="1535" t="e">
        <f t="shared" si="4"/>
        <v>#N/A</v>
      </c>
      <c r="AC37" s="2145" t="e">
        <f t="shared" si="5"/>
        <v>#N/A</v>
      </c>
    </row>
    <row r="38" spans="1:29" s="110" customFormat="1" ht="15">
      <c r="A38" s="429"/>
      <c r="B38" s="378" t="s">
        <v>2490</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3"/>
      <c r="M38" s="2944"/>
      <c r="N38" s="2944"/>
      <c r="O38" s="2944"/>
      <c r="P38" s="3376"/>
      <c r="Q38" s="1525" t="str">
        <f t="shared" si="11"/>
        <v>写字楼等级</v>
      </c>
      <c r="R38" s="707" t="s">
        <v>14</v>
      </c>
      <c r="S38" s="708">
        <f t="shared" si="12"/>
        <v>100</v>
      </c>
      <c r="T38" s="707" t="s">
        <v>14</v>
      </c>
      <c r="U38" s="708">
        <f t="shared" si="13"/>
        <v>100</v>
      </c>
      <c r="V38" s="707" t="s">
        <v>14</v>
      </c>
      <c r="W38" s="708">
        <f t="shared" si="14"/>
        <v>100</v>
      </c>
      <c r="X38" s="709"/>
      <c r="Y38" s="3337"/>
      <c r="Z38" s="52" t="str">
        <f t="shared" si="15"/>
        <v>写字楼等级</v>
      </c>
      <c r="AA38" s="710">
        <f t="shared" si="3"/>
        <v>1</v>
      </c>
      <c r="AB38" s="710">
        <f t="shared" si="4"/>
        <v>1</v>
      </c>
      <c r="AC38" s="2142">
        <f t="shared" si="5"/>
        <v>1</v>
      </c>
    </row>
    <row r="39" spans="1:29" ht="15">
      <c r="A39" s="428"/>
      <c r="B39" s="378" t="s">
        <v>2491</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8"/>
      <c r="M39" s="2942"/>
      <c r="N39" s="2942"/>
      <c r="O39" s="2942"/>
      <c r="P39" s="3376" t="s">
        <v>2361</v>
      </c>
      <c r="Q39" s="1534" t="str">
        <f t="shared" si="11"/>
        <v>物业管理</v>
      </c>
      <c r="R39" s="711" t="s">
        <v>14</v>
      </c>
      <c r="S39" s="712">
        <f t="shared" si="12"/>
        <v>100</v>
      </c>
      <c r="T39" s="711" t="s">
        <v>14</v>
      </c>
      <c r="U39" s="712">
        <f t="shared" si="13"/>
        <v>100</v>
      </c>
      <c r="V39" s="711" t="s">
        <v>14</v>
      </c>
      <c r="W39" s="712">
        <f t="shared" si="14"/>
        <v>100</v>
      </c>
      <c r="X39" s="1537"/>
      <c r="Y39" s="3337" t="s">
        <v>2361</v>
      </c>
      <c r="Z39" s="1538" t="str">
        <f t="shared" si="15"/>
        <v>物业管理</v>
      </c>
      <c r="AA39" s="1535">
        <f t="shared" si="3"/>
        <v>1</v>
      </c>
      <c r="AB39" s="1535">
        <f t="shared" si="4"/>
        <v>1</v>
      </c>
      <c r="AC39" s="2145">
        <f t="shared" si="5"/>
        <v>1</v>
      </c>
    </row>
    <row r="40" spans="1:29" ht="15">
      <c r="A40" s="428"/>
      <c r="B40" s="378" t="s">
        <v>2459</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8"/>
      <c r="M40" s="2942"/>
      <c r="N40" s="2942"/>
      <c r="O40" s="2942"/>
      <c r="P40" s="3376"/>
      <c r="Q40" s="1534" t="str">
        <f t="shared" si="11"/>
        <v>市政基础设施</v>
      </c>
      <c r="R40" s="711" t="s">
        <v>14</v>
      </c>
      <c r="S40" s="712">
        <f t="shared" si="12"/>
        <v>100</v>
      </c>
      <c r="T40" s="711" t="s">
        <v>14</v>
      </c>
      <c r="U40" s="712">
        <f t="shared" si="13"/>
        <v>100</v>
      </c>
      <c r="V40" s="711" t="s">
        <v>14</v>
      </c>
      <c r="W40" s="712">
        <f t="shared" si="14"/>
        <v>100</v>
      </c>
      <c r="X40" s="1537"/>
      <c r="Y40" s="3337"/>
      <c r="Z40" s="1538" t="str">
        <f t="shared" si="15"/>
        <v>市政基础设施</v>
      </c>
      <c r="AA40" s="1535">
        <f t="shared" si="3"/>
        <v>1</v>
      </c>
      <c r="AB40" s="1535">
        <f t="shared" si="4"/>
        <v>1</v>
      </c>
      <c r="AC40" s="2145">
        <f t="shared" si="5"/>
        <v>1</v>
      </c>
    </row>
    <row r="41" spans="1:29" ht="15">
      <c r="A41" s="428"/>
      <c r="B41" s="378" t="s">
        <v>2461</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8"/>
      <c r="M41" s="2942"/>
      <c r="N41" s="2942"/>
      <c r="O41" s="2942"/>
      <c r="P41" s="3376"/>
      <c r="Q41" s="1534" t="str">
        <f t="shared" si="11"/>
        <v>层高</v>
      </c>
      <c r="R41" s="711" t="s">
        <v>14</v>
      </c>
      <c r="S41" s="712">
        <f t="shared" si="12"/>
        <v>100</v>
      </c>
      <c r="T41" s="711" t="s">
        <v>14</v>
      </c>
      <c r="U41" s="712">
        <f t="shared" si="13"/>
        <v>100</v>
      </c>
      <c r="V41" s="711" t="s">
        <v>14</v>
      </c>
      <c r="W41" s="712">
        <f t="shared" si="14"/>
        <v>100</v>
      </c>
      <c r="X41" s="1537"/>
      <c r="Y41" s="3337"/>
      <c r="Z41" s="1538" t="str">
        <f t="shared" si="15"/>
        <v>层高</v>
      </c>
      <c r="AA41" s="1535">
        <f t="shared" si="3"/>
        <v>1</v>
      </c>
      <c r="AB41" s="1535">
        <f t="shared" si="4"/>
        <v>1</v>
      </c>
      <c r="AC41" s="2145">
        <f t="shared" si="5"/>
        <v>1</v>
      </c>
    </row>
    <row r="42" spans="1:29" s="427" customFormat="1" ht="15">
      <c r="A42" s="424"/>
      <c r="B42" s="1536" t="s">
        <v>2492</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7"/>
      <c r="M42" s="2949"/>
      <c r="N42" s="2949"/>
      <c r="O42" s="2949"/>
      <c r="P42" s="3376"/>
      <c r="Q42" s="713" t="str">
        <f t="shared" si="11"/>
        <v>单套建筑面积</v>
      </c>
      <c r="R42" s="714" t="s">
        <v>14</v>
      </c>
      <c r="S42" s="715">
        <f t="shared" si="12"/>
        <v>100</v>
      </c>
      <c r="T42" s="714" t="s">
        <v>14</v>
      </c>
      <c r="U42" s="715">
        <f t="shared" si="13"/>
        <v>100</v>
      </c>
      <c r="V42" s="714" t="s">
        <v>14</v>
      </c>
      <c r="W42" s="715">
        <f t="shared" si="14"/>
        <v>100</v>
      </c>
      <c r="X42" s="716"/>
      <c r="Y42" s="3337"/>
      <c r="Z42" s="717" t="str">
        <f t="shared" si="15"/>
        <v>单套建筑面积</v>
      </c>
      <c r="AA42" s="1535">
        <f t="shared" si="3"/>
        <v>1</v>
      </c>
      <c r="AB42" s="1535">
        <f t="shared" si="4"/>
        <v>1</v>
      </c>
      <c r="AC42" s="2145">
        <f t="shared" si="5"/>
        <v>1</v>
      </c>
    </row>
    <row r="43" spans="1:29" ht="15">
      <c r="A43" s="428"/>
      <c r="B43" s="378" t="s">
        <v>2464</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8"/>
      <c r="M43" s="2942"/>
      <c r="N43" s="2942"/>
      <c r="O43" s="2942"/>
      <c r="P43" s="3376"/>
      <c r="Q43" s="1534" t="str">
        <f t="shared" si="11"/>
        <v>内部装修</v>
      </c>
      <c r="R43" s="711" t="s">
        <v>14</v>
      </c>
      <c r="S43" s="712">
        <f t="shared" si="12"/>
        <v>100</v>
      </c>
      <c r="T43" s="711" t="s">
        <v>14</v>
      </c>
      <c r="U43" s="712">
        <f t="shared" si="13"/>
        <v>100</v>
      </c>
      <c r="V43" s="711" t="s">
        <v>14</v>
      </c>
      <c r="W43" s="712">
        <f t="shared" si="14"/>
        <v>100</v>
      </c>
      <c r="X43" s="1537"/>
      <c r="Y43" s="3337"/>
      <c r="Z43" s="1538" t="str">
        <f t="shared" si="15"/>
        <v>内部装修</v>
      </c>
      <c r="AA43" s="1535">
        <f t="shared" si="3"/>
        <v>1</v>
      </c>
      <c r="AB43" s="1535">
        <f t="shared" si="4"/>
        <v>1</v>
      </c>
      <c r="AC43" s="2145">
        <f t="shared" si="5"/>
        <v>1</v>
      </c>
    </row>
    <row r="44" spans="1:29" ht="15">
      <c r="A44" s="428"/>
      <c r="B44" s="378" t="s">
        <v>2372</v>
      </c>
      <c r="C44" s="416"/>
      <c r="D44" s="391">
        <v>100</v>
      </c>
      <c r="E44" s="2089"/>
      <c r="F44" s="417">
        <f>SUMIF(125:125,E44,126:126)-SUMIF(125:125,C44,126:126)+100</f>
        <v>100</v>
      </c>
      <c r="G44" s="2089"/>
      <c r="H44" s="391">
        <f>SUMIF(125:125,G44,126:126)-SUMIF(125:125,C44,126:126)+100</f>
        <v>100</v>
      </c>
      <c r="I44" s="2089"/>
      <c r="J44" s="391">
        <f>SUMIF(125:125,I44,126:126)-SUMIF(125:125,C44,126:126)+100</f>
        <v>100</v>
      </c>
      <c r="K44" s="566"/>
      <c r="L44" s="2948"/>
      <c r="M44" s="2942"/>
      <c r="N44" s="2942"/>
      <c r="O44" s="2942"/>
      <c r="P44" s="3376"/>
      <c r="Q44" s="1534" t="str">
        <f t="shared" si="11"/>
        <v>内部装修维护情况</v>
      </c>
      <c r="R44" s="711" t="s">
        <v>14</v>
      </c>
      <c r="S44" s="712">
        <f t="shared" si="12"/>
        <v>100</v>
      </c>
      <c r="T44" s="711" t="s">
        <v>14</v>
      </c>
      <c r="U44" s="712">
        <f t="shared" si="13"/>
        <v>100</v>
      </c>
      <c r="V44" s="711" t="s">
        <v>14</v>
      </c>
      <c r="W44" s="712">
        <f t="shared" si="14"/>
        <v>100</v>
      </c>
      <c r="X44" s="1537"/>
      <c r="Y44" s="3337"/>
      <c r="Z44" s="1538" t="str">
        <f t="shared" si="15"/>
        <v>内部装修维护情况</v>
      </c>
      <c r="AA44" s="1535">
        <f t="shared" si="3"/>
        <v>1</v>
      </c>
      <c r="AB44" s="1535">
        <f t="shared" si="4"/>
        <v>1</v>
      </c>
      <c r="AC44" s="2145">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3"/>
      <c r="M45" s="2944"/>
      <c r="N45" s="2944"/>
      <c r="O45" s="2944"/>
      <c r="P45" s="3376"/>
      <c r="Q45" s="1525">
        <f t="shared" si="11"/>
        <v>111</v>
      </c>
      <c r="R45" s="707" t="s">
        <v>14</v>
      </c>
      <c r="S45" s="708">
        <f t="shared" si="12"/>
        <v>100</v>
      </c>
      <c r="T45" s="707" t="s">
        <v>14</v>
      </c>
      <c r="U45" s="708">
        <f t="shared" si="13"/>
        <v>100</v>
      </c>
      <c r="V45" s="707" t="s">
        <v>14</v>
      </c>
      <c r="W45" s="708">
        <f t="shared" si="14"/>
        <v>100</v>
      </c>
      <c r="X45" s="709"/>
      <c r="Y45" s="3337"/>
      <c r="Z45" s="52">
        <f t="shared" si="15"/>
        <v>111</v>
      </c>
      <c r="AA45" s="710">
        <f t="shared" si="3"/>
        <v>1</v>
      </c>
      <c r="AB45" s="710">
        <f t="shared" si="4"/>
        <v>1</v>
      </c>
      <c r="AC45" s="2142">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8"/>
      <c r="M46" s="2942"/>
      <c r="N46" s="2942"/>
      <c r="O46" s="2942"/>
      <c r="P46" s="3376"/>
      <c r="Q46" s="1534">
        <f t="shared" si="11"/>
        <v>111</v>
      </c>
      <c r="R46" s="711" t="s">
        <v>14</v>
      </c>
      <c r="S46" s="712">
        <f t="shared" si="12"/>
        <v>100</v>
      </c>
      <c r="T46" s="711" t="s">
        <v>14</v>
      </c>
      <c r="U46" s="712">
        <f t="shared" si="13"/>
        <v>100</v>
      </c>
      <c r="V46" s="711" t="s">
        <v>14</v>
      </c>
      <c r="W46" s="712">
        <f t="shared" si="14"/>
        <v>100</v>
      </c>
      <c r="X46" s="1537"/>
      <c r="Y46" s="3337"/>
      <c r="Z46" s="1538">
        <f t="shared" si="15"/>
        <v>111</v>
      </c>
      <c r="AA46" s="1535">
        <f t="shared" si="3"/>
        <v>1</v>
      </c>
      <c r="AB46" s="1535">
        <f t="shared" si="4"/>
        <v>1</v>
      </c>
      <c r="AC46" s="2145">
        <f t="shared" si="5"/>
        <v>1</v>
      </c>
    </row>
    <row r="47" spans="1:29" ht="15.75" thickBot="1">
      <c r="A47" s="434"/>
      <c r="B47" s="2078">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8"/>
      <c r="M47" s="2942"/>
      <c r="N47" s="2942"/>
      <c r="O47" s="2942"/>
      <c r="P47" s="3377"/>
      <c r="Q47" s="1534">
        <f t="shared" si="11"/>
        <v>111</v>
      </c>
      <c r="R47" s="711" t="s">
        <v>14</v>
      </c>
      <c r="S47" s="712">
        <f t="shared" si="12"/>
        <v>100</v>
      </c>
      <c r="T47" s="711" t="s">
        <v>14</v>
      </c>
      <c r="U47" s="712">
        <f t="shared" si="13"/>
        <v>100</v>
      </c>
      <c r="V47" s="711" t="s">
        <v>14</v>
      </c>
      <c r="W47" s="712">
        <f t="shared" si="14"/>
        <v>100</v>
      </c>
      <c r="X47" s="1537"/>
      <c r="Y47" s="3378"/>
      <c r="Z47" s="1538">
        <f t="shared" si="15"/>
        <v>111</v>
      </c>
      <c r="AA47" s="1535">
        <f t="shared" si="3"/>
        <v>1</v>
      </c>
      <c r="AB47" s="1535">
        <f t="shared" si="4"/>
        <v>1</v>
      </c>
      <c r="AC47" s="2145">
        <f t="shared" si="5"/>
        <v>1</v>
      </c>
    </row>
    <row r="48" spans="1:29" ht="15">
      <c r="A48" s="435" t="s">
        <v>2373</v>
      </c>
      <c r="B48" s="436"/>
      <c r="C48" s="1313" t="s">
        <v>0</v>
      </c>
      <c r="D48" s="1314"/>
      <c r="E48" s="1315"/>
      <c r="F48" s="1316"/>
      <c r="G48" s="1317"/>
      <c r="H48" s="1318"/>
      <c r="I48" s="1315"/>
      <c r="J48" s="441"/>
      <c r="K48" s="720"/>
      <c r="L48" s="2950"/>
      <c r="M48" s="2942"/>
      <c r="N48" s="2942"/>
      <c r="O48" s="2942"/>
      <c r="P48" s="3343" t="str">
        <f>A48</f>
        <v>成交单价（元/平方米）</v>
      </c>
      <c r="Q48" s="3319"/>
      <c r="R48" s="3374">
        <f>E48</f>
        <v>0</v>
      </c>
      <c r="S48" s="3374"/>
      <c r="T48" s="3374">
        <f>G48</f>
        <v>0</v>
      </c>
      <c r="U48" s="3374"/>
      <c r="V48" s="3374">
        <f>I48</f>
        <v>0</v>
      </c>
      <c r="W48" s="3374"/>
      <c r="X48" s="402"/>
      <c r="Y48" s="718"/>
      <c r="Z48" s="402"/>
      <c r="AA48" s="402"/>
      <c r="AB48" s="402"/>
      <c r="AC48" s="583"/>
    </row>
    <row r="49" spans="1:29" ht="15.75" thickBot="1">
      <c r="A49" s="442" t="s">
        <v>2465</v>
      </c>
      <c r="B49" s="443"/>
      <c r="C49" s="1319" t="e">
        <f>R50</f>
        <v>#DIV/0!</v>
      </c>
      <c r="D49" s="2535" t="s">
        <v>2856</v>
      </c>
      <c r="E49" s="1320" t="e">
        <f>R49</f>
        <v>#DIV/0!</v>
      </c>
      <c r="F49" s="2536"/>
      <c r="G49" s="1319" t="e">
        <f>T49</f>
        <v>#DIV/0!</v>
      </c>
      <c r="H49" s="2536"/>
      <c r="I49" s="1320" t="e">
        <f>V49</f>
        <v>#DIV/0!</v>
      </c>
      <c r="J49" s="2536"/>
      <c r="K49" s="2538">
        <f>F49+H49+J49</f>
        <v>0</v>
      </c>
      <c r="L49" s="2950"/>
      <c r="M49" s="2942"/>
      <c r="N49" s="2942"/>
      <c r="O49" s="2942"/>
      <c r="P49" s="3343" t="str">
        <f>A49</f>
        <v>比较价值（元/平方米）</v>
      </c>
      <c r="Q49" s="3319"/>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402"/>
      <c r="Y49" s="402"/>
      <c r="Z49" s="402"/>
      <c r="AA49" s="402"/>
      <c r="AB49" s="402"/>
      <c r="AC49" s="583"/>
    </row>
    <row r="50" spans="1:29" ht="15.75" thickBot="1">
      <c r="A50" s="446" t="s">
        <v>2466</v>
      </c>
      <c r="B50" s="447"/>
      <c r="C50" s="1322" t="e">
        <f>R50</f>
        <v>#DIV/0!</v>
      </c>
      <c r="D50" s="1322"/>
      <c r="E50" s="1322"/>
      <c r="F50" s="1322"/>
      <c r="G50" s="1322"/>
      <c r="H50" s="1322"/>
      <c r="I50" s="1322"/>
      <c r="J50" s="448"/>
      <c r="K50" s="721"/>
      <c r="L50" s="2950"/>
      <c r="M50" s="2942"/>
      <c r="N50" s="2942"/>
      <c r="O50" s="2942"/>
      <c r="P50" s="3393" t="str">
        <f>A50</f>
        <v>估价对象XX用房的比较价值（楼面单价，元/平方米）</v>
      </c>
      <c r="Q50" s="3394"/>
      <c r="R50" s="3395" t="e">
        <f>IF(F1="售价",ROUND(IF(D49="简单平均",AVERAGE(R49:V49),R49*F49+T49*H49+V49*J49),0),ROUND(IF(D49="简单平均",AVERAGE(R49:V49),R49*F49+T49*H49+V49*J49),1))</f>
        <v>#DIV/0!</v>
      </c>
      <c r="S50" s="3395"/>
      <c r="T50" s="3395"/>
      <c r="U50" s="3395"/>
      <c r="V50" s="3395"/>
      <c r="W50" s="3395"/>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1" t="s">
        <v>2467</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1" t="s">
        <v>2468</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6" customFormat="1" ht="13.5" customHeight="1">
      <c r="A55" s="2954"/>
      <c r="B55" s="2954"/>
      <c r="C55" s="451" t="s">
        <v>2469</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6"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0" t="s">
        <v>2470</v>
      </c>
      <c r="B58" s="696"/>
      <c r="C58" s="701"/>
      <c r="D58" s="701"/>
      <c r="E58" s="701"/>
      <c r="F58" s="702"/>
      <c r="G58" s="702"/>
      <c r="H58" s="701"/>
      <c r="I58" s="701"/>
      <c r="J58" s="701"/>
      <c r="K58" s="703"/>
      <c r="L58" s="1070"/>
      <c r="M58" s="1068"/>
      <c r="N58" s="2995"/>
      <c r="O58" s="2995"/>
      <c r="P58" s="2984"/>
      <c r="Q58" s="2965"/>
      <c r="R58" s="2951"/>
      <c r="S58" s="2951"/>
      <c r="T58" s="2951"/>
      <c r="U58" s="2951"/>
      <c r="V58" s="2951"/>
      <c r="W58" s="2951"/>
      <c r="X58" s="2951"/>
      <c r="Y58" s="2951"/>
      <c r="Z58" s="2951"/>
      <c r="AA58" s="2951"/>
      <c r="AB58" s="2951"/>
      <c r="AC58" s="2951"/>
    </row>
    <row r="59" spans="1:29" s="462" customFormat="1" ht="15">
      <c r="A59" s="459" t="s">
        <v>2344</v>
      </c>
      <c r="B59" s="460"/>
      <c r="C59" s="1343" t="str">
        <f>YEAR(C7)&amp;"-"&amp;MONTH(C7)</f>
        <v>2021-2</v>
      </c>
      <c r="D59" s="1344">
        <f>EDATE(C59,-1)</f>
        <v>44197</v>
      </c>
      <c r="E59" s="1344">
        <f>EDATE(D59,-1)</f>
        <v>44166</v>
      </c>
      <c r="F59" s="1344">
        <f t="shared" ref="F59:O59" si="16">EDATE(E59,-1)</f>
        <v>44136</v>
      </c>
      <c r="G59" s="1344">
        <f t="shared" si="16"/>
        <v>44105</v>
      </c>
      <c r="H59" s="1344">
        <f t="shared" si="16"/>
        <v>44075</v>
      </c>
      <c r="I59" s="1344">
        <f t="shared" si="16"/>
        <v>44044</v>
      </c>
      <c r="J59" s="1344">
        <f t="shared" si="16"/>
        <v>44013</v>
      </c>
      <c r="K59" s="1344">
        <f t="shared" si="16"/>
        <v>43983</v>
      </c>
      <c r="L59" s="1344">
        <f t="shared" si="16"/>
        <v>43952</v>
      </c>
      <c r="M59" s="1344">
        <f t="shared" si="16"/>
        <v>43922</v>
      </c>
      <c r="N59" s="1344">
        <f t="shared" si="16"/>
        <v>43891</v>
      </c>
      <c r="O59" s="1344">
        <f t="shared" si="16"/>
        <v>43862</v>
      </c>
      <c r="P59" s="2985"/>
      <c r="Q59" s="2967"/>
      <c r="R59" s="2967"/>
      <c r="S59" s="2967"/>
      <c r="T59" s="2967"/>
      <c r="U59" s="2967"/>
      <c r="V59" s="2967"/>
      <c r="W59" s="2967"/>
      <c r="X59" s="2967"/>
      <c r="Y59" s="2967"/>
      <c r="Z59" s="2967"/>
      <c r="AA59" s="2967"/>
      <c r="AB59" s="2967"/>
      <c r="AC59" s="2967"/>
    </row>
    <row r="60" spans="1:29" s="110" customFormat="1" ht="15">
      <c r="A60" s="463"/>
      <c r="B60" s="464"/>
      <c r="C60" s="1342">
        <v>100</v>
      </c>
      <c r="D60" s="466"/>
      <c r="E60" s="466"/>
      <c r="F60" s="466"/>
      <c r="G60" s="466"/>
      <c r="H60" s="466"/>
      <c r="I60" s="466"/>
      <c r="J60" s="466"/>
      <c r="K60" s="466"/>
      <c r="L60" s="466"/>
      <c r="M60" s="467"/>
      <c r="N60" s="466"/>
      <c r="O60" s="467"/>
      <c r="P60" s="2986"/>
      <c r="Q60" s="2885"/>
      <c r="R60" s="2885"/>
      <c r="S60" s="2885"/>
      <c r="T60" s="2885"/>
      <c r="U60" s="2885"/>
      <c r="V60" s="2885"/>
      <c r="W60" s="2885"/>
      <c r="X60" s="2885"/>
      <c r="Y60" s="2885"/>
      <c r="Z60" s="2885"/>
      <c r="AA60" s="2885"/>
      <c r="AB60" s="2885"/>
      <c r="AC60" s="2885"/>
    </row>
    <row r="61" spans="1:29" s="110" customFormat="1" ht="15.75" thickBot="1">
      <c r="A61" s="469" t="s">
        <v>2381</v>
      </c>
      <c r="B61" s="470"/>
      <c r="C61" s="471"/>
      <c r="D61" s="472"/>
      <c r="E61" s="472"/>
      <c r="F61" s="472"/>
      <c r="G61" s="472"/>
      <c r="H61" s="472"/>
      <c r="I61" s="472"/>
      <c r="J61" s="472"/>
      <c r="K61" s="472"/>
      <c r="L61" s="472"/>
      <c r="M61" s="473"/>
      <c r="N61" s="472"/>
      <c r="O61" s="473"/>
      <c r="P61" s="2986"/>
      <c r="Q61" s="2965"/>
      <c r="R61" s="2885"/>
      <c r="S61" s="2885"/>
      <c r="T61" s="2885"/>
      <c r="U61" s="2885"/>
      <c r="V61" s="2885"/>
      <c r="W61" s="2885"/>
      <c r="X61" s="2885"/>
      <c r="Y61" s="2885"/>
      <c r="Z61" s="2885"/>
      <c r="AA61" s="2885"/>
      <c r="AB61" s="2885"/>
      <c r="AC61" s="2885"/>
    </row>
    <row r="62" spans="1:29" s="110" customFormat="1" ht="15">
      <c r="A62" s="475" t="s">
        <v>2346</v>
      </c>
      <c r="B62" s="464"/>
      <c r="C62" s="476" t="s">
        <v>2448</v>
      </c>
      <c r="D62" s="477"/>
      <c r="E62" s="477"/>
      <c r="F62" s="477"/>
      <c r="G62" s="477"/>
      <c r="H62" s="477"/>
      <c r="I62" s="477"/>
      <c r="J62" s="477"/>
      <c r="K62" s="477"/>
      <c r="L62" s="478"/>
      <c r="M62" s="479"/>
      <c r="N62" s="2978"/>
      <c r="O62" s="2978"/>
      <c r="P62" s="2987"/>
      <c r="Q62" s="2965"/>
      <c r="R62" s="2885"/>
      <c r="S62" s="2885"/>
      <c r="T62" s="2885"/>
      <c r="U62" s="2885"/>
      <c r="V62" s="2885"/>
      <c r="W62" s="2885"/>
      <c r="X62" s="2885"/>
      <c r="Y62" s="2885"/>
      <c r="Z62" s="2885"/>
      <c r="AA62" s="2885"/>
      <c r="AB62" s="2885"/>
      <c r="AC62" s="2885"/>
    </row>
    <row r="63" spans="1:29" s="110" customFormat="1" ht="15.75" thickBot="1">
      <c r="A63" s="475"/>
      <c r="B63" s="464"/>
      <c r="C63" s="465">
        <v>100</v>
      </c>
      <c r="D63" s="466"/>
      <c r="E63" s="466"/>
      <c r="F63" s="466"/>
      <c r="G63" s="466"/>
      <c r="H63" s="466"/>
      <c r="I63" s="466"/>
      <c r="J63" s="466"/>
      <c r="K63" s="466"/>
      <c r="L63" s="466"/>
      <c r="M63" s="468"/>
      <c r="N63" s="2978"/>
      <c r="O63" s="2978"/>
      <c r="P63" s="2986"/>
      <c r="Q63" s="2965"/>
      <c r="R63" s="2885"/>
      <c r="S63" s="2885"/>
      <c r="T63" s="2885"/>
      <c r="U63" s="2885"/>
      <c r="V63" s="2885"/>
      <c r="W63" s="2885"/>
      <c r="X63" s="2885"/>
      <c r="Y63" s="2885"/>
      <c r="Z63" s="2885"/>
      <c r="AA63" s="2885"/>
      <c r="AB63" s="2885"/>
      <c r="AC63" s="2885"/>
    </row>
    <row r="64" spans="1:29">
      <c r="A64" s="481" t="s">
        <v>2384</v>
      </c>
      <c r="B64" s="482" t="s">
        <v>2350</v>
      </c>
      <c r="C64" s="483">
        <f>C9</f>
        <v>0</v>
      </c>
      <c r="D64" s="484"/>
      <c r="E64" s="484"/>
      <c r="F64" s="484"/>
      <c r="G64" s="484"/>
      <c r="H64" s="484"/>
      <c r="I64" s="484"/>
      <c r="J64" s="484"/>
      <c r="K64" s="485"/>
      <c r="L64" s="486"/>
      <c r="M64" s="487"/>
      <c r="N64" s="2979"/>
      <c r="O64" s="2979"/>
      <c r="P64" s="2988"/>
      <c r="Q64" s="2965"/>
      <c r="R64" s="2951"/>
      <c r="S64" s="2951"/>
      <c r="T64" s="2951"/>
      <c r="U64" s="2951"/>
      <c r="V64" s="2951"/>
      <c r="W64" s="2951"/>
      <c r="X64" s="2951"/>
      <c r="Y64" s="2951"/>
      <c r="Z64" s="2951"/>
      <c r="AA64" s="2951"/>
      <c r="AB64" s="2951"/>
      <c r="AC64" s="2951"/>
    </row>
    <row r="65" spans="1:29" ht="15.75" thickBot="1">
      <c r="A65" s="488"/>
      <c r="B65" s="489"/>
      <c r="C65" s="490">
        <v>100</v>
      </c>
      <c r="D65" s="490"/>
      <c r="E65" s="490"/>
      <c r="F65" s="490"/>
      <c r="G65" s="490"/>
      <c r="H65" s="490"/>
      <c r="I65" s="490"/>
      <c r="J65" s="490"/>
      <c r="K65" s="490"/>
      <c r="L65" s="490"/>
      <c r="M65" s="491"/>
      <c r="N65" s="2980"/>
      <c r="O65" s="2980"/>
      <c r="P65" s="2988"/>
      <c r="Q65" s="2965"/>
      <c r="R65" s="2951"/>
      <c r="S65" s="2951"/>
      <c r="T65" s="2951"/>
      <c r="U65" s="2951"/>
      <c r="V65" s="2951"/>
      <c r="W65" s="2951"/>
      <c r="X65" s="2951"/>
      <c r="Y65" s="2951"/>
      <c r="Z65" s="2951"/>
      <c r="AA65" s="2951"/>
      <c r="AB65" s="2951"/>
      <c r="AC65" s="2951"/>
    </row>
    <row r="66" spans="1:29" ht="27.75" thickTop="1">
      <c r="A66" s="488"/>
      <c r="B66" s="492" t="s">
        <v>2353</v>
      </c>
      <c r="C66" s="493" t="s">
        <v>2385</v>
      </c>
      <c r="D66" s="493" t="s">
        <v>2386</v>
      </c>
      <c r="E66" s="493" t="s">
        <v>2387</v>
      </c>
      <c r="F66" s="493" t="s">
        <v>2388</v>
      </c>
      <c r="G66" s="493" t="s">
        <v>2389</v>
      </c>
      <c r="H66" s="493" t="s">
        <v>2390</v>
      </c>
      <c r="I66" s="493" t="s">
        <v>2391</v>
      </c>
      <c r="J66" s="493"/>
      <c r="K66" s="494"/>
      <c r="L66" s="495"/>
      <c r="M66" s="496"/>
      <c r="N66" s="2979"/>
      <c r="O66" s="2979"/>
      <c r="P66" s="2988"/>
      <c r="Q66" s="2965"/>
      <c r="R66" s="2951"/>
      <c r="S66" s="2951"/>
      <c r="T66" s="2951"/>
      <c r="U66" s="2951"/>
      <c r="V66" s="2951"/>
      <c r="W66" s="2951"/>
      <c r="X66" s="2951"/>
      <c r="Y66" s="2951"/>
      <c r="Z66" s="2951"/>
      <c r="AA66" s="2951"/>
      <c r="AB66" s="2951"/>
      <c r="AC66" s="2951"/>
    </row>
    <row r="67" spans="1:29" ht="15.75" thickBot="1">
      <c r="A67" s="488"/>
      <c r="B67" s="497"/>
      <c r="C67" s="498" t="s">
        <v>21</v>
      </c>
      <c r="D67" s="498" t="s">
        <v>22</v>
      </c>
      <c r="E67" s="498">
        <v>100</v>
      </c>
      <c r="F67" s="498">
        <f>E67-$K10</f>
        <v>100</v>
      </c>
      <c r="G67" s="498">
        <f>F67-$K10</f>
        <v>100</v>
      </c>
      <c r="H67" s="498">
        <f>G67-$K10</f>
        <v>100</v>
      </c>
      <c r="I67" s="498">
        <f>H67-$K10</f>
        <v>100</v>
      </c>
      <c r="J67" s="498"/>
      <c r="K67" s="498"/>
      <c r="L67" s="498"/>
      <c r="M67" s="499"/>
      <c r="N67" s="2980"/>
      <c r="O67" s="2980"/>
      <c r="P67" s="2988"/>
      <c r="Q67" s="2965"/>
      <c r="R67" s="2951"/>
      <c r="S67" s="2951"/>
      <c r="T67" s="2951"/>
      <c r="U67" s="2951"/>
      <c r="V67" s="2951"/>
      <c r="W67" s="2951"/>
      <c r="X67" s="2951"/>
      <c r="Y67" s="2951"/>
      <c r="Z67" s="2951"/>
      <c r="AA67" s="2951"/>
      <c r="AB67" s="2951"/>
      <c r="AC67" s="2951"/>
    </row>
    <row r="68" spans="1:29" ht="15.75" thickTop="1">
      <c r="A68" s="488"/>
      <c r="B68" s="500" t="s">
        <v>2354</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8"/>
      <c r="B69" s="502"/>
      <c r="C69" s="503"/>
      <c r="D69" s="503"/>
      <c r="E69" s="503"/>
      <c r="F69" s="503"/>
      <c r="G69" s="503"/>
      <c r="H69" s="503"/>
      <c r="I69" s="503"/>
      <c r="J69" s="503"/>
      <c r="K69" s="504"/>
      <c r="L69" s="505"/>
      <c r="M69" s="506"/>
      <c r="N69" s="2979"/>
      <c r="O69" s="2979"/>
      <c r="P69" s="2988"/>
      <c r="Q69" s="2965"/>
      <c r="R69" s="2951"/>
      <c r="S69" s="2951"/>
      <c r="T69" s="2951"/>
      <c r="U69" s="2951"/>
      <c r="V69" s="2951"/>
      <c r="W69" s="2951"/>
      <c r="X69" s="2951"/>
      <c r="Y69" s="2951"/>
      <c r="Z69" s="2951"/>
      <c r="AA69" s="2951"/>
      <c r="AB69" s="2951"/>
      <c r="AC69" s="2951"/>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0"/>
      <c r="O70" s="2980"/>
      <c r="P70" s="2988"/>
      <c r="Q70" s="2965"/>
      <c r="R70" s="2951"/>
      <c r="S70" s="2951"/>
      <c r="T70" s="2951"/>
      <c r="U70" s="2951"/>
      <c r="V70" s="2951"/>
      <c r="W70" s="2951"/>
      <c r="X70" s="2951"/>
      <c r="Y70" s="2951"/>
      <c r="Z70" s="2951"/>
      <c r="AA70" s="2951"/>
      <c r="AB70" s="2951"/>
      <c r="AC70" s="2951"/>
    </row>
    <row r="71" spans="1:29" s="427" customFormat="1" ht="15.75" thickTop="1">
      <c r="A71" s="507"/>
      <c r="B71" s="492">
        <f>B12</f>
        <v>111</v>
      </c>
      <c r="C71" s="508"/>
      <c r="D71" s="508"/>
      <c r="E71" s="508"/>
      <c r="F71" s="508"/>
      <c r="G71" s="508"/>
      <c r="H71" s="509"/>
      <c r="I71" s="509"/>
      <c r="J71" s="509"/>
      <c r="K71" s="509"/>
      <c r="L71" s="510"/>
      <c r="M71" s="511"/>
      <c r="N71" s="2981"/>
      <c r="O71" s="2981"/>
      <c r="P71" s="2989"/>
      <c r="Q71" s="2972"/>
      <c r="R71" s="2973"/>
      <c r="S71" s="2973"/>
      <c r="T71" s="2973"/>
      <c r="U71" s="2973"/>
      <c r="V71" s="2973"/>
      <c r="W71" s="2973"/>
      <c r="X71" s="2973"/>
      <c r="Y71" s="2973"/>
      <c r="Z71" s="2973"/>
      <c r="AA71" s="2973"/>
      <c r="AB71" s="2973"/>
      <c r="AC71" s="2973"/>
    </row>
    <row r="72" spans="1:29" s="427" customFormat="1" ht="15.75" thickBot="1">
      <c r="A72" s="507"/>
      <c r="B72" s="497"/>
      <c r="C72" s="514"/>
      <c r="D72" s="490"/>
      <c r="E72" s="490"/>
      <c r="F72" s="490"/>
      <c r="G72" s="490"/>
      <c r="H72" s="490"/>
      <c r="I72" s="490"/>
      <c r="J72" s="490"/>
      <c r="K72" s="490"/>
      <c r="L72" s="490"/>
      <c r="M72" s="491"/>
      <c r="N72" s="2980"/>
      <c r="O72" s="2980"/>
      <c r="P72" s="2989"/>
      <c r="Q72" s="2972"/>
      <c r="R72" s="2973"/>
      <c r="S72" s="2973"/>
      <c r="T72" s="2973"/>
      <c r="U72" s="2973"/>
      <c r="V72" s="2973"/>
      <c r="W72" s="2973"/>
      <c r="X72" s="2973"/>
      <c r="Y72" s="2973"/>
      <c r="Z72" s="2973"/>
      <c r="AA72" s="2973"/>
      <c r="AB72" s="2973"/>
      <c r="AC72" s="2973"/>
    </row>
    <row r="73" spans="1:29" s="427" customFormat="1" ht="15.75" thickTop="1">
      <c r="A73" s="507"/>
      <c r="B73" s="492">
        <f>B13</f>
        <v>111</v>
      </c>
      <c r="C73" s="508"/>
      <c r="D73" s="508"/>
      <c r="E73" s="508"/>
      <c r="F73" s="508"/>
      <c r="G73" s="508"/>
      <c r="H73" s="509"/>
      <c r="I73" s="509"/>
      <c r="J73" s="509"/>
      <c r="K73" s="509"/>
      <c r="L73" s="510"/>
      <c r="M73" s="511"/>
      <c r="N73" s="2981"/>
      <c r="O73" s="2981"/>
      <c r="P73" s="2990"/>
      <c r="Q73" s="2975"/>
      <c r="R73" s="2973"/>
      <c r="S73" s="2973"/>
      <c r="T73" s="2973"/>
      <c r="U73" s="2973"/>
      <c r="V73" s="2973"/>
      <c r="W73" s="2973"/>
      <c r="X73" s="2973"/>
      <c r="Y73" s="2973"/>
      <c r="Z73" s="2973"/>
      <c r="AA73" s="2973"/>
      <c r="AB73" s="2973"/>
      <c r="AC73" s="2973"/>
    </row>
    <row r="74" spans="1:29" s="427" customFormat="1" ht="15.75" thickBot="1">
      <c r="A74" s="507"/>
      <c r="B74" s="497"/>
      <c r="C74" s="514"/>
      <c r="D74" s="514"/>
      <c r="E74" s="514"/>
      <c r="F74" s="514"/>
      <c r="G74" s="514"/>
      <c r="H74" s="516"/>
      <c r="I74" s="516"/>
      <c r="J74" s="516"/>
      <c r="K74" s="516"/>
      <c r="L74" s="516"/>
      <c r="M74" s="517"/>
      <c r="N74" s="2981"/>
      <c r="O74" s="2981"/>
      <c r="P74" s="2989"/>
      <c r="Q74" s="2972"/>
      <c r="R74" s="2973"/>
      <c r="S74" s="2973"/>
      <c r="T74" s="2973"/>
      <c r="U74" s="2973"/>
      <c r="V74" s="2973"/>
      <c r="W74" s="2973"/>
      <c r="X74" s="2973"/>
      <c r="Y74" s="2973"/>
      <c r="Z74" s="2973"/>
      <c r="AA74" s="2973"/>
      <c r="AB74" s="2973"/>
      <c r="AC74" s="2973"/>
    </row>
    <row r="75" spans="1:29" s="427" customFormat="1" ht="15.75" thickTop="1">
      <c r="A75" s="507"/>
      <c r="B75" s="500">
        <f>B14</f>
        <v>111</v>
      </c>
      <c r="C75" s="477"/>
      <c r="D75" s="477"/>
      <c r="E75" s="477"/>
      <c r="F75" s="477"/>
      <c r="G75" s="477"/>
      <c r="H75" s="518"/>
      <c r="I75" s="518"/>
      <c r="J75" s="518"/>
      <c r="K75" s="518"/>
      <c r="L75" s="519"/>
      <c r="M75" s="520"/>
      <c r="N75" s="2981"/>
      <c r="O75" s="2981"/>
      <c r="P75" s="2991"/>
      <c r="Q75" s="2972"/>
      <c r="R75" s="2973"/>
      <c r="S75" s="2973"/>
      <c r="T75" s="2973"/>
      <c r="U75" s="2973"/>
      <c r="V75" s="2973"/>
      <c r="W75" s="2973"/>
      <c r="X75" s="2973"/>
      <c r="Y75" s="2973"/>
      <c r="Z75" s="2973"/>
      <c r="AA75" s="2973"/>
      <c r="AB75" s="2973"/>
      <c r="AC75" s="2973"/>
    </row>
    <row r="76" spans="1:29" s="427" customFormat="1" ht="15.75" thickBot="1">
      <c r="A76" s="522"/>
      <c r="B76" s="523"/>
      <c r="C76" s="524"/>
      <c r="D76" s="524"/>
      <c r="E76" s="524"/>
      <c r="F76" s="524"/>
      <c r="G76" s="524"/>
      <c r="H76" s="525"/>
      <c r="I76" s="525"/>
      <c r="J76" s="525"/>
      <c r="K76" s="525"/>
      <c r="L76" s="525"/>
      <c r="M76" s="526"/>
      <c r="N76" s="2981"/>
      <c r="O76" s="2981"/>
      <c r="P76" s="2989"/>
      <c r="Q76" s="2972"/>
      <c r="R76" s="2973"/>
      <c r="S76" s="2973"/>
      <c r="T76" s="2973"/>
      <c r="U76" s="2973"/>
      <c r="V76" s="2973"/>
      <c r="W76" s="2973"/>
      <c r="X76" s="2973"/>
      <c r="Y76" s="2973"/>
      <c r="Z76" s="2973"/>
      <c r="AA76" s="2973"/>
      <c r="AB76" s="2973"/>
      <c r="AC76" s="2973"/>
    </row>
    <row r="77" spans="1:29">
      <c r="A77" s="481" t="s">
        <v>2355</v>
      </c>
      <c r="B77" s="482" t="s">
        <v>2493</v>
      </c>
      <c r="C77" s="527" t="s">
        <v>2393</v>
      </c>
      <c r="D77" s="527" t="s">
        <v>2394</v>
      </c>
      <c r="E77" s="527" t="s">
        <v>2395</v>
      </c>
      <c r="F77" s="527" t="s">
        <v>2396</v>
      </c>
      <c r="G77" s="527" t="s">
        <v>2397</v>
      </c>
      <c r="H77" s="483"/>
      <c r="I77" s="483"/>
      <c r="J77" s="483"/>
      <c r="K77" s="528"/>
      <c r="L77" s="529"/>
      <c r="M77" s="530"/>
      <c r="N77" s="2979"/>
      <c r="O77" s="2979"/>
      <c r="P77" s="2992"/>
      <c r="Q77" s="2965"/>
      <c r="R77" s="2951"/>
      <c r="S77" s="2951"/>
      <c r="T77" s="2951"/>
      <c r="U77" s="2951"/>
      <c r="V77" s="2951"/>
      <c r="W77" s="2951"/>
      <c r="X77" s="2951"/>
      <c r="Y77" s="2951"/>
      <c r="Z77" s="2951"/>
      <c r="AA77" s="2951"/>
      <c r="AB77" s="2951"/>
      <c r="AC77" s="2951"/>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0"/>
      <c r="O78" s="2980"/>
      <c r="P78" s="2988"/>
      <c r="Q78" s="2965"/>
      <c r="R78" s="2951"/>
      <c r="S78" s="2951"/>
      <c r="T78" s="2951"/>
      <c r="U78" s="2951"/>
      <c r="V78" s="2951"/>
      <c r="W78" s="2951"/>
      <c r="X78" s="2951"/>
      <c r="Y78" s="2951"/>
      <c r="Z78" s="2951"/>
      <c r="AA78" s="2951"/>
      <c r="AB78" s="2951"/>
      <c r="AC78" s="2951"/>
    </row>
    <row r="79" spans="1:29" ht="15.75" thickTop="1">
      <c r="A79" s="488"/>
      <c r="B79" s="492" t="s">
        <v>2398</v>
      </c>
      <c r="C79" s="532" t="s">
        <v>2393</v>
      </c>
      <c r="D79" s="532" t="s">
        <v>2394</v>
      </c>
      <c r="E79" s="532" t="s">
        <v>2395</v>
      </c>
      <c r="F79" s="532" t="s">
        <v>2396</v>
      </c>
      <c r="G79" s="532" t="s">
        <v>2397</v>
      </c>
      <c r="H79" s="493"/>
      <c r="I79" s="493"/>
      <c r="J79" s="493"/>
      <c r="K79" s="494"/>
      <c r="L79" s="495"/>
      <c r="M79" s="496"/>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0"/>
      <c r="O80" s="2980"/>
      <c r="P80" s="2988"/>
      <c r="Q80" s="2965"/>
      <c r="R80" s="2951"/>
      <c r="S80" s="2951"/>
      <c r="T80" s="2951"/>
      <c r="U80" s="2951"/>
      <c r="V80" s="2951"/>
      <c r="W80" s="2951"/>
      <c r="X80" s="2951"/>
      <c r="Y80" s="2951"/>
      <c r="Z80" s="2951"/>
      <c r="AA80" s="2951"/>
      <c r="AB80" s="2951"/>
      <c r="AC80" s="2951"/>
    </row>
    <row r="81" spans="1:29" ht="15.75" thickTop="1">
      <c r="A81" s="488"/>
      <c r="B81" s="492" t="s">
        <v>2399</v>
      </c>
      <c r="C81" s="532" t="s">
        <v>2393</v>
      </c>
      <c r="D81" s="532" t="s">
        <v>2394</v>
      </c>
      <c r="E81" s="532" t="s">
        <v>2395</v>
      </c>
      <c r="F81" s="532" t="s">
        <v>2396</v>
      </c>
      <c r="G81" s="532" t="s">
        <v>2397</v>
      </c>
      <c r="H81" s="493"/>
      <c r="I81" s="493"/>
      <c r="J81" s="493"/>
      <c r="K81" s="494"/>
      <c r="L81" s="495"/>
      <c r="M81" s="496"/>
      <c r="N81" s="2979"/>
      <c r="O81" s="2979"/>
      <c r="P81" s="2988"/>
      <c r="Q81" s="2965"/>
      <c r="R81" s="2951"/>
      <c r="S81" s="2951"/>
      <c r="T81" s="2951"/>
      <c r="U81" s="2951"/>
      <c r="V81" s="2951"/>
      <c r="W81" s="2951"/>
      <c r="X81" s="2951"/>
      <c r="Y81" s="2951"/>
      <c r="Z81" s="2951"/>
      <c r="AA81" s="2951"/>
      <c r="AB81" s="2951"/>
      <c r="AC81" s="2951"/>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0"/>
      <c r="O82" s="2980"/>
      <c r="P82" s="2988"/>
      <c r="Q82" s="2965"/>
      <c r="R82" s="2951"/>
      <c r="S82" s="2951"/>
      <c r="T82" s="2951"/>
      <c r="U82" s="2951"/>
      <c r="V82" s="2951"/>
      <c r="W82" s="2951"/>
      <c r="X82" s="2951"/>
      <c r="Y82" s="2951"/>
      <c r="Z82" s="2951"/>
      <c r="AA82" s="2951"/>
      <c r="AB82" s="2951"/>
      <c r="AC82" s="2951"/>
    </row>
    <row r="83" spans="1:29" ht="15.75" thickTop="1">
      <c r="A83" s="488"/>
      <c r="B83" s="500" t="s">
        <v>2485</v>
      </c>
      <c r="C83" s="613" t="s">
        <v>2471</v>
      </c>
      <c r="D83" s="613" t="s">
        <v>2472</v>
      </c>
      <c r="E83" s="613" t="s">
        <v>2473</v>
      </c>
      <c r="F83" s="613" t="s">
        <v>2474</v>
      </c>
      <c r="G83" s="613" t="s">
        <v>2475</v>
      </c>
      <c r="H83" s="493"/>
      <c r="I83" s="493"/>
      <c r="J83" s="493"/>
      <c r="K83" s="493"/>
      <c r="L83" s="493"/>
      <c r="M83" s="1288"/>
      <c r="N83" s="2980"/>
      <c r="O83" s="2980"/>
      <c r="P83" s="2988"/>
      <c r="Q83" s="2965"/>
      <c r="R83" s="2951"/>
      <c r="S83" s="2951"/>
      <c r="T83" s="2951"/>
      <c r="U83" s="2951"/>
      <c r="V83" s="2951"/>
      <c r="W83" s="2951"/>
      <c r="X83" s="2951"/>
      <c r="Y83" s="2951"/>
      <c r="Z83" s="2951"/>
      <c r="AA83" s="2951"/>
      <c r="AB83" s="2951"/>
      <c r="AC83" s="2951"/>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0"/>
      <c r="O84" s="2980"/>
      <c r="P84" s="2988"/>
      <c r="Q84" s="2965"/>
      <c r="R84" s="2951"/>
      <c r="S84" s="2951"/>
      <c r="T84" s="2951"/>
      <c r="U84" s="2951"/>
      <c r="V84" s="2951"/>
      <c r="W84" s="2951"/>
      <c r="X84" s="2951"/>
      <c r="Y84" s="2951"/>
      <c r="Z84" s="2951"/>
      <c r="AA84" s="2951"/>
      <c r="AB84" s="2951"/>
      <c r="AC84" s="2951"/>
    </row>
    <row r="85" spans="1:29" ht="15.75" thickTop="1">
      <c r="A85" s="488"/>
      <c r="B85" s="492" t="s">
        <v>2494</v>
      </c>
      <c r="C85" s="532" t="s">
        <v>2393</v>
      </c>
      <c r="D85" s="532" t="s">
        <v>2394</v>
      </c>
      <c r="E85" s="532" t="s">
        <v>2395</v>
      </c>
      <c r="F85" s="532" t="s">
        <v>2396</v>
      </c>
      <c r="G85" s="532" t="s">
        <v>2397</v>
      </c>
      <c r="H85" s="493"/>
      <c r="I85" s="493"/>
      <c r="J85" s="493"/>
      <c r="K85" s="494"/>
      <c r="L85" s="495"/>
      <c r="M85" s="496"/>
      <c r="N85" s="2979"/>
      <c r="O85" s="2979"/>
      <c r="P85" s="2988"/>
      <c r="Q85" s="2965"/>
      <c r="R85" s="2951"/>
      <c r="S85" s="2951"/>
      <c r="T85" s="2951"/>
      <c r="U85" s="2951"/>
      <c r="V85" s="2951"/>
      <c r="W85" s="2951"/>
      <c r="X85" s="2951"/>
      <c r="Y85" s="2951"/>
      <c r="Z85" s="2951"/>
      <c r="AA85" s="2951"/>
      <c r="AB85" s="2951"/>
      <c r="AC85" s="2951"/>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0"/>
      <c r="O86" s="2980"/>
      <c r="P86" s="2988"/>
      <c r="Q86" s="2965"/>
      <c r="R86" s="2951"/>
      <c r="S86" s="2951"/>
      <c r="T86" s="2951"/>
      <c r="U86" s="2951"/>
      <c r="V86" s="2951"/>
      <c r="W86" s="2951"/>
      <c r="X86" s="2951"/>
      <c r="Y86" s="2951"/>
      <c r="Z86" s="2951"/>
      <c r="AA86" s="2951"/>
      <c r="AB86" s="2951"/>
      <c r="AC86" s="2951"/>
    </row>
    <row r="87" spans="1:29" s="110" customFormat="1" ht="27.75" thickTop="1">
      <c r="A87" s="533"/>
      <c r="B87" s="492" t="s">
        <v>2495</v>
      </c>
      <c r="C87" s="508"/>
      <c r="D87" s="508"/>
      <c r="E87" s="508"/>
      <c r="F87" s="508"/>
      <c r="G87" s="508"/>
      <c r="H87" s="508"/>
      <c r="I87" s="508"/>
      <c r="J87" s="508"/>
      <c r="K87" s="508"/>
      <c r="L87" s="534"/>
      <c r="M87" s="535"/>
      <c r="N87" s="2978"/>
      <c r="O87" s="2978"/>
      <c r="P87" s="2988"/>
      <c r="Q87" s="2965"/>
      <c r="R87" s="2885"/>
      <c r="S87" s="2885"/>
      <c r="T87" s="2885"/>
      <c r="U87" s="2885"/>
      <c r="V87" s="2885"/>
      <c r="W87" s="2885"/>
      <c r="X87" s="2885"/>
      <c r="Y87" s="2885"/>
      <c r="Z87" s="2885"/>
      <c r="AA87" s="2885"/>
      <c r="AB87" s="2885"/>
      <c r="AC87" s="2885"/>
    </row>
    <row r="88" spans="1:29" s="110"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0"/>
      <c r="O88" s="2980"/>
      <c r="P88" s="2988"/>
      <c r="Q88" s="2965"/>
      <c r="R88" s="2885"/>
      <c r="S88" s="2885"/>
      <c r="T88" s="2885"/>
      <c r="U88" s="2885"/>
      <c r="V88" s="2885"/>
      <c r="W88" s="2885"/>
      <c r="X88" s="2885"/>
      <c r="Y88" s="2885"/>
      <c r="Z88" s="2885"/>
      <c r="AA88" s="2885"/>
      <c r="AB88" s="2885"/>
      <c r="AC88" s="2885"/>
    </row>
    <row r="89" spans="1:29" s="110" customFormat="1" ht="15.75" thickTop="1">
      <c r="A89" s="533"/>
      <c r="B89" s="492" t="str">
        <f>B27</f>
        <v>楼层</v>
      </c>
      <c r="C89" s="508"/>
      <c r="D89" s="508"/>
      <c r="E89" s="508"/>
      <c r="F89" s="2110"/>
      <c r="G89" s="508"/>
      <c r="H89" s="508"/>
      <c r="I89" s="508"/>
      <c r="J89" s="508"/>
      <c r="K89" s="508"/>
      <c r="L89" s="508"/>
      <c r="M89" s="535"/>
      <c r="N89" s="2978"/>
      <c r="O89" s="2978"/>
      <c r="P89" s="2988"/>
      <c r="Q89" s="2965"/>
      <c r="R89" s="2885"/>
      <c r="S89" s="2885"/>
      <c r="T89" s="2885"/>
      <c r="U89" s="2885"/>
      <c r="V89" s="2885"/>
      <c r="W89" s="2885"/>
      <c r="X89" s="2885"/>
      <c r="Y89" s="2885"/>
      <c r="Z89" s="2885"/>
      <c r="AA89" s="2885"/>
      <c r="AB89" s="2885"/>
      <c r="AC89" s="2885"/>
    </row>
    <row r="90" spans="1:29" s="110"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0"/>
      <c r="O90" s="2980"/>
      <c r="P90" s="2988"/>
      <c r="Q90" s="2965"/>
      <c r="R90" s="2885"/>
      <c r="S90" s="2885"/>
      <c r="T90" s="2885"/>
      <c r="U90" s="2885"/>
      <c r="V90" s="2885"/>
      <c r="W90" s="2885"/>
      <c r="X90" s="2885"/>
      <c r="Y90" s="2885"/>
      <c r="Z90" s="2885"/>
      <c r="AA90" s="2885"/>
      <c r="AB90" s="2885"/>
      <c r="AC90" s="2885"/>
    </row>
    <row r="91" spans="1:29" s="427" customFormat="1" ht="15.75" thickTop="1">
      <c r="A91" s="507"/>
      <c r="B91" s="492" t="str">
        <f>B28</f>
        <v>朝向</v>
      </c>
      <c r="C91" s="508"/>
      <c r="D91" s="508"/>
      <c r="E91" s="508"/>
      <c r="F91" s="508"/>
      <c r="G91" s="508"/>
      <c r="H91" s="509"/>
      <c r="I91" s="509"/>
      <c r="J91" s="509"/>
      <c r="K91" s="509"/>
      <c r="L91" s="510"/>
      <c r="M91" s="511"/>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8"/>
      <c r="B93" s="492">
        <f>B29</f>
        <v>111</v>
      </c>
      <c r="C93" s="508"/>
      <c r="D93" s="508"/>
      <c r="E93" s="508"/>
      <c r="F93" s="508"/>
      <c r="G93" s="508"/>
      <c r="H93" s="508"/>
      <c r="I93" s="508"/>
      <c r="J93" s="508"/>
      <c r="K93" s="508"/>
      <c r="L93" s="534"/>
      <c r="M93" s="535"/>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514"/>
      <c r="D94" s="490"/>
      <c r="E94" s="490"/>
      <c r="F94" s="490"/>
      <c r="G94" s="490"/>
      <c r="H94" s="490"/>
      <c r="I94" s="490"/>
      <c r="J94" s="490"/>
      <c r="K94" s="490"/>
      <c r="L94" s="490"/>
      <c r="M94" s="491"/>
      <c r="N94" s="2980"/>
      <c r="O94" s="2980"/>
      <c r="P94" s="2988"/>
      <c r="Q94" s="2965"/>
      <c r="R94" s="2951"/>
      <c r="S94" s="2951"/>
      <c r="T94" s="2951"/>
      <c r="U94" s="2951"/>
      <c r="V94" s="2951"/>
      <c r="W94" s="2951"/>
      <c r="X94" s="2951"/>
      <c r="Y94" s="2951"/>
      <c r="Z94" s="2951"/>
      <c r="AA94" s="2951"/>
      <c r="AB94" s="2951"/>
      <c r="AC94" s="2951"/>
    </row>
    <row r="95" spans="1:29" ht="15.75" thickTop="1">
      <c r="A95" s="488"/>
      <c r="B95" s="492">
        <f>B30</f>
        <v>111</v>
      </c>
      <c r="C95" s="508"/>
      <c r="D95" s="508"/>
      <c r="E95" s="508"/>
      <c r="F95" s="508"/>
      <c r="G95" s="537"/>
      <c r="H95" s="537"/>
      <c r="I95" s="537"/>
      <c r="J95" s="537"/>
      <c r="K95" s="538"/>
      <c r="L95" s="539"/>
      <c r="M95" s="540"/>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514"/>
      <c r="D96" s="514"/>
      <c r="E96" s="514"/>
      <c r="F96" s="514"/>
      <c r="G96" s="490"/>
      <c r="H96" s="490"/>
      <c r="I96" s="490"/>
      <c r="J96" s="490"/>
      <c r="K96" s="490"/>
      <c r="L96" s="490"/>
      <c r="M96" s="491"/>
      <c r="N96" s="2980"/>
      <c r="O96" s="2980"/>
      <c r="P96" s="2988"/>
      <c r="Q96" s="2965"/>
      <c r="R96" s="2951"/>
      <c r="S96" s="2951"/>
      <c r="T96" s="2951"/>
      <c r="U96" s="2951"/>
      <c r="V96" s="2951"/>
      <c r="W96" s="2951"/>
      <c r="X96" s="2951"/>
      <c r="Y96" s="2951"/>
      <c r="Z96" s="2951"/>
      <c r="AA96" s="2951"/>
      <c r="AB96" s="2951"/>
      <c r="AC96" s="2951"/>
    </row>
    <row r="97" spans="1:29" ht="15.75" thickTop="1">
      <c r="A97" s="488"/>
      <c r="B97" s="492">
        <f>B31</f>
        <v>111</v>
      </c>
      <c r="C97" s="508"/>
      <c r="D97" s="508"/>
      <c r="E97" s="508"/>
      <c r="F97" s="508"/>
      <c r="G97" s="537"/>
      <c r="H97" s="537"/>
      <c r="I97" s="537"/>
      <c r="J97" s="537"/>
      <c r="K97" s="538"/>
      <c r="L97" s="539"/>
      <c r="M97" s="540"/>
      <c r="N97" s="2979"/>
      <c r="O97" s="2979"/>
      <c r="P97" s="2988"/>
      <c r="Q97" s="2965"/>
      <c r="R97" s="2951"/>
      <c r="S97" s="2951"/>
      <c r="T97" s="2951"/>
      <c r="U97" s="2951"/>
      <c r="V97" s="2951"/>
      <c r="W97" s="2951"/>
      <c r="X97" s="2951"/>
      <c r="Y97" s="2951"/>
      <c r="Z97" s="2951"/>
      <c r="AA97" s="2951"/>
      <c r="AB97" s="2951"/>
      <c r="AC97" s="2951"/>
    </row>
    <row r="98" spans="1:29" ht="15.75" thickBot="1">
      <c r="A98" s="488"/>
      <c r="B98" s="497"/>
      <c r="C98" s="514"/>
      <c r="D98" s="490"/>
      <c r="E98" s="490"/>
      <c r="F98" s="490"/>
      <c r="G98" s="490"/>
      <c r="H98" s="490"/>
      <c r="I98" s="490"/>
      <c r="J98" s="490"/>
      <c r="K98" s="490"/>
      <c r="L98" s="490"/>
      <c r="M98" s="491"/>
      <c r="N98" s="2980"/>
      <c r="O98" s="2980"/>
      <c r="P98" s="2988"/>
      <c r="Q98" s="2965"/>
      <c r="R98" s="2951"/>
      <c r="S98" s="2951"/>
      <c r="T98" s="2951"/>
      <c r="U98" s="2951"/>
      <c r="V98" s="2951"/>
      <c r="W98" s="2951"/>
      <c r="X98" s="2951"/>
      <c r="Y98" s="2951"/>
      <c r="Z98" s="2951"/>
      <c r="AA98" s="2951"/>
      <c r="AB98" s="2951"/>
      <c r="AC98" s="2951"/>
    </row>
    <row r="99" spans="1:29" ht="15.75" thickTop="1">
      <c r="A99" s="488"/>
      <c r="B99" s="500">
        <f>B32</f>
        <v>111</v>
      </c>
      <c r="C99" s="477"/>
      <c r="D99" s="477"/>
      <c r="E99" s="477"/>
      <c r="F99" s="477"/>
      <c r="G99" s="541"/>
      <c r="H99" s="541"/>
      <c r="I99" s="541"/>
      <c r="J99" s="541"/>
      <c r="K99" s="542"/>
      <c r="L99" s="543"/>
      <c r="M99" s="544"/>
      <c r="N99" s="2979"/>
      <c r="O99" s="2979"/>
      <c r="P99" s="2988"/>
      <c r="Q99" s="2965"/>
      <c r="R99" s="2951"/>
      <c r="S99" s="2951"/>
      <c r="T99" s="2951"/>
      <c r="U99" s="2951"/>
      <c r="V99" s="2951"/>
      <c r="W99" s="2951"/>
      <c r="X99" s="2951"/>
      <c r="Y99" s="2951"/>
      <c r="Z99" s="2951"/>
      <c r="AA99" s="2951"/>
      <c r="AB99" s="2951"/>
      <c r="AC99" s="2951"/>
    </row>
    <row r="100" spans="1:29" ht="15.75" thickBot="1">
      <c r="A100" s="2111"/>
      <c r="B100" s="523"/>
      <c r="C100" s="524"/>
      <c r="D100" s="524"/>
      <c r="E100" s="524"/>
      <c r="F100" s="524"/>
      <c r="G100" s="545"/>
      <c r="H100" s="545"/>
      <c r="I100" s="545"/>
      <c r="J100" s="545"/>
      <c r="K100" s="545"/>
      <c r="L100" s="545"/>
      <c r="M100" s="546"/>
      <c r="N100" s="2980"/>
      <c r="O100" s="2980"/>
      <c r="P100" s="2988"/>
      <c r="Q100" s="2965"/>
      <c r="R100" s="2951"/>
      <c r="S100" s="2951"/>
      <c r="T100" s="2951"/>
      <c r="U100" s="2951"/>
      <c r="V100" s="2951"/>
      <c r="W100" s="2951"/>
      <c r="X100" s="2951"/>
      <c r="Y100" s="2951"/>
      <c r="Z100" s="2951"/>
      <c r="AA100" s="2951"/>
      <c r="AB100" s="2951"/>
      <c r="AC100" s="2951"/>
    </row>
    <row r="101" spans="1:29">
      <c r="A101" s="481" t="s">
        <v>2359</v>
      </c>
      <c r="B101" s="482" t="s">
        <v>2408</v>
      </c>
      <c r="C101" s="484"/>
      <c r="D101" s="484"/>
      <c r="E101" s="484"/>
      <c r="F101" s="484"/>
      <c r="G101" s="484"/>
      <c r="H101" s="484"/>
      <c r="I101" s="484"/>
      <c r="J101" s="484"/>
      <c r="K101" s="485"/>
      <c r="L101" s="486"/>
      <c r="M101" s="487"/>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8"/>
      <c r="B103" s="492" t="s">
        <v>2409</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7" customFormat="1">
      <c r="A104" s="547"/>
      <c r="B104" s="548"/>
      <c r="C104" s="549"/>
      <c r="D104" s="549"/>
      <c r="E104" s="549"/>
      <c r="F104" s="549"/>
      <c r="G104" s="549"/>
      <c r="H104" s="549"/>
      <c r="I104" s="549"/>
      <c r="J104" s="550"/>
      <c r="K104" s="550"/>
      <c r="L104" s="551"/>
      <c r="M104" s="552"/>
      <c r="N104" s="2981"/>
      <c r="O104" s="2981"/>
      <c r="P104" s="2989"/>
      <c r="Q104" s="2972"/>
      <c r="R104" s="2973"/>
      <c r="S104" s="2973"/>
      <c r="T104" s="2973"/>
      <c r="U104" s="2973"/>
      <c r="V104" s="2973"/>
      <c r="W104" s="2973"/>
      <c r="X104" s="2973"/>
      <c r="Y104" s="2973"/>
      <c r="Z104" s="2973"/>
      <c r="AA104" s="2973"/>
      <c r="AB104" s="2973"/>
      <c r="AC104" s="2973"/>
    </row>
    <row r="105" spans="1:29" s="427" customFormat="1" ht="15.75" thickBot="1">
      <c r="A105" s="507"/>
      <c r="B105" s="497"/>
      <c r="C105" s="514"/>
      <c r="D105" s="490"/>
      <c r="E105" s="490"/>
      <c r="F105" s="490"/>
      <c r="G105" s="490"/>
      <c r="H105" s="490"/>
      <c r="I105" s="490"/>
      <c r="J105" s="490"/>
      <c r="K105" s="490"/>
      <c r="L105" s="490"/>
      <c r="M105" s="491"/>
      <c r="N105" s="2980"/>
      <c r="O105" s="2980"/>
      <c r="P105" s="2989"/>
      <c r="Q105" s="2972"/>
      <c r="R105" s="2973"/>
      <c r="S105" s="2973"/>
      <c r="T105" s="2973"/>
      <c r="U105" s="2973"/>
      <c r="V105" s="2973"/>
      <c r="W105" s="2973"/>
      <c r="X105" s="2973"/>
      <c r="Y105" s="2973"/>
      <c r="Z105" s="2973"/>
      <c r="AA105" s="2973"/>
      <c r="AB105" s="2973"/>
      <c r="AC105" s="2973"/>
    </row>
    <row r="106" spans="1:29" ht="15" thickTop="1">
      <c r="A106" s="553"/>
      <c r="B106" s="492" t="s">
        <v>2410</v>
      </c>
      <c r="C106" s="508"/>
      <c r="D106" s="508"/>
      <c r="E106" s="537"/>
      <c r="F106" s="537"/>
      <c r="G106" s="537"/>
      <c r="H106" s="537"/>
      <c r="I106" s="537"/>
      <c r="J106" s="537"/>
      <c r="K106" s="538"/>
      <c r="L106" s="539"/>
      <c r="M106" s="540"/>
      <c r="N106" s="2979"/>
      <c r="O106" s="2979"/>
      <c r="P106" s="2988"/>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3"/>
      <c r="B108" s="492" t="s">
        <v>2412</v>
      </c>
      <c r="C108" s="508"/>
      <c r="D108" s="508"/>
      <c r="E108" s="508"/>
      <c r="F108" s="537"/>
      <c r="G108" s="537"/>
      <c r="H108" s="537"/>
      <c r="I108" s="537"/>
      <c r="J108" s="537"/>
      <c r="K108" s="538"/>
      <c r="L108" s="539"/>
      <c r="M108" s="540"/>
      <c r="N108" s="2979"/>
      <c r="O108" s="2979"/>
      <c r="P108" s="2988"/>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3"/>
      <c r="B110" s="492" t="s">
        <v>1854</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9"/>
      <c r="O110" s="2979"/>
      <c r="P110" s="2988"/>
      <c r="Q110" s="2965"/>
      <c r="R110" s="2951"/>
      <c r="S110" s="2951"/>
      <c r="T110" s="2951"/>
      <c r="U110" s="2951"/>
      <c r="V110" s="2951"/>
      <c r="W110" s="2951"/>
      <c r="X110" s="2951"/>
      <c r="Y110" s="2951"/>
      <c r="Z110" s="2951"/>
      <c r="AA110" s="2951"/>
      <c r="AB110" s="2951"/>
      <c r="AC110" s="2951"/>
    </row>
    <row r="111" spans="1:29">
      <c r="A111" s="553"/>
      <c r="B111" s="500"/>
      <c r="C111" s="557">
        <v>0.5</v>
      </c>
      <c r="D111" s="557">
        <v>0.6</v>
      </c>
      <c r="E111" s="557">
        <v>0.7</v>
      </c>
      <c r="F111" s="557">
        <v>0.8</v>
      </c>
      <c r="G111" s="557">
        <v>0.9</v>
      </c>
      <c r="H111" s="557">
        <v>1.0001</v>
      </c>
      <c r="I111" s="576"/>
      <c r="J111" s="576"/>
      <c r="K111" s="577"/>
      <c r="L111" s="578"/>
      <c r="M111" s="579"/>
      <c r="N111" s="2979"/>
      <c r="O111" s="2979"/>
      <c r="P111" s="2988"/>
      <c r="Q111" s="2965"/>
      <c r="R111" s="2951"/>
      <c r="S111" s="2951"/>
      <c r="T111" s="2951"/>
      <c r="U111" s="2951"/>
      <c r="V111" s="2951"/>
      <c r="W111" s="2951"/>
      <c r="X111" s="2951"/>
      <c r="Y111" s="2951"/>
      <c r="Z111" s="2951"/>
      <c r="AA111" s="2951"/>
      <c r="AB111" s="2951"/>
      <c r="AC111" s="2951"/>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0"/>
      <c r="O112" s="2980"/>
      <c r="P112" s="2988"/>
      <c r="Q112" s="2965"/>
      <c r="R112" s="2951"/>
      <c r="S112" s="2951"/>
      <c r="T112" s="2951"/>
      <c r="U112" s="2951"/>
      <c r="V112" s="2951"/>
      <c r="W112" s="2951"/>
      <c r="X112" s="2951"/>
      <c r="Y112" s="2951"/>
      <c r="Z112" s="2951"/>
      <c r="AA112" s="2951"/>
      <c r="AB112" s="2951"/>
      <c r="AC112" s="2951"/>
    </row>
    <row r="113" spans="1:29" s="427" customFormat="1" ht="15" thickTop="1">
      <c r="A113" s="547"/>
      <c r="B113" s="492" t="s">
        <v>2496</v>
      </c>
      <c r="C113" s="508"/>
      <c r="D113" s="508"/>
      <c r="E113" s="508"/>
      <c r="F113" s="508"/>
      <c r="G113" s="508"/>
      <c r="H113" s="537"/>
      <c r="I113" s="537"/>
      <c r="J113" s="537"/>
      <c r="K113" s="538"/>
      <c r="L113" s="539"/>
      <c r="M113" s="540"/>
      <c r="N113" s="2981"/>
      <c r="O113" s="2981"/>
      <c r="P113" s="2989"/>
      <c r="Q113" s="2972"/>
      <c r="R113" s="2973"/>
      <c r="S113" s="2973"/>
      <c r="T113" s="2973"/>
      <c r="U113" s="2973"/>
      <c r="V113" s="2973"/>
      <c r="W113" s="2973"/>
      <c r="X113" s="2973"/>
      <c r="Y113" s="2973"/>
      <c r="Z113" s="2973"/>
      <c r="AA113" s="2973"/>
      <c r="AB113" s="2973"/>
      <c r="AC113" s="2973"/>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3"/>
      <c r="B115" s="492" t="s">
        <v>2413</v>
      </c>
      <c r="C115" s="508"/>
      <c r="D115" s="508"/>
      <c r="E115" s="537"/>
      <c r="F115" s="537"/>
      <c r="G115" s="537"/>
      <c r="H115" s="537"/>
      <c r="I115" s="537"/>
      <c r="J115" s="537"/>
      <c r="K115" s="538"/>
      <c r="L115" s="539"/>
      <c r="M115" s="540"/>
      <c r="N115" s="2979"/>
      <c r="O115" s="2979"/>
      <c r="P115" s="2988"/>
      <c r="Q115" s="2965"/>
      <c r="R115" s="2951"/>
      <c r="S115" s="2951"/>
      <c r="T115" s="2951"/>
      <c r="U115" s="2951"/>
      <c r="V115" s="2951"/>
      <c r="W115" s="2951"/>
      <c r="X115" s="2951"/>
      <c r="Y115" s="2951"/>
      <c r="Z115" s="2951"/>
      <c r="AA115" s="2951"/>
      <c r="AB115" s="2951"/>
      <c r="AC115" s="2951"/>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3"/>
      <c r="B117" s="492" t="s">
        <v>2414</v>
      </c>
      <c r="C117" s="508"/>
      <c r="D117" s="508"/>
      <c r="E117" s="508"/>
      <c r="F117" s="508"/>
      <c r="G117" s="508"/>
      <c r="H117" s="537"/>
      <c r="I117" s="537"/>
      <c r="J117" s="537"/>
      <c r="K117" s="538"/>
      <c r="L117" s="539"/>
      <c r="M117" s="540"/>
      <c r="N117" s="2979"/>
      <c r="O117" s="2979"/>
      <c r="P117" s="2988"/>
      <c r="Q117" s="2965"/>
      <c r="R117" s="2951"/>
      <c r="S117" s="2951"/>
      <c r="T117" s="2951"/>
      <c r="U117" s="2951"/>
      <c r="V117" s="2951"/>
      <c r="W117" s="2951"/>
      <c r="X117" s="2951"/>
      <c r="Y117" s="2951"/>
      <c r="Z117" s="2951"/>
      <c r="AA117" s="2951"/>
      <c r="AB117" s="2951"/>
      <c r="AC117" s="2951"/>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0"/>
      <c r="O118" s="2980"/>
      <c r="P118" s="2988"/>
      <c r="Q118" s="2965"/>
      <c r="R118" s="2951"/>
      <c r="S118" s="2951"/>
      <c r="T118" s="2951"/>
      <c r="U118" s="2951"/>
      <c r="V118" s="2951"/>
      <c r="W118" s="2951"/>
      <c r="X118" s="2951"/>
      <c r="Y118" s="2951"/>
      <c r="Z118" s="2951"/>
      <c r="AA118" s="2951"/>
      <c r="AB118" s="2951"/>
      <c r="AC118" s="2951"/>
    </row>
    <row r="119" spans="1:29" ht="15" thickTop="1">
      <c r="A119" s="553"/>
      <c r="B119" s="589" t="s">
        <v>2497</v>
      </c>
      <c r="C119" s="537"/>
      <c r="D119" s="537"/>
      <c r="E119" s="537"/>
      <c r="F119" s="537"/>
      <c r="G119" s="537"/>
      <c r="H119" s="537"/>
      <c r="I119" s="537"/>
      <c r="J119" s="537"/>
      <c r="K119" s="537"/>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0"/>
      <c r="O120" s="2980"/>
      <c r="P120" s="2988"/>
      <c r="Q120" s="2965"/>
      <c r="R120" s="2951"/>
      <c r="S120" s="2951"/>
      <c r="T120" s="2951"/>
      <c r="U120" s="2951"/>
      <c r="V120" s="2951"/>
      <c r="W120" s="2951"/>
      <c r="X120" s="2951"/>
      <c r="Y120" s="2951"/>
      <c r="Z120" s="2951"/>
      <c r="AA120" s="2951"/>
      <c r="AB120" s="2951"/>
      <c r="AC120" s="2951"/>
    </row>
    <row r="121" spans="1:29" s="427" customFormat="1" ht="15" thickTop="1">
      <c r="A121" s="547"/>
      <c r="B121" s="492" t="s">
        <v>2480</v>
      </c>
      <c r="C121" s="508"/>
      <c r="D121" s="508"/>
      <c r="E121" s="508"/>
      <c r="F121" s="537"/>
      <c r="G121" s="509"/>
      <c r="H121" s="509"/>
      <c r="I121" s="509"/>
      <c r="J121" s="509"/>
      <c r="K121" s="509"/>
      <c r="L121" s="510"/>
      <c r="M121" s="511"/>
      <c r="N121" s="2981"/>
      <c r="O121" s="2981"/>
      <c r="P121" s="2989"/>
      <c r="Q121" s="2972"/>
      <c r="R121" s="2973"/>
      <c r="S121" s="2973"/>
      <c r="T121" s="2973"/>
      <c r="U121" s="2973"/>
      <c r="V121" s="2973"/>
      <c r="W121" s="2973"/>
      <c r="X121" s="2973"/>
      <c r="Y121" s="2973"/>
      <c r="Z121" s="2973"/>
      <c r="AA121" s="2973"/>
      <c r="AB121" s="2973"/>
      <c r="AC121" s="2973"/>
    </row>
    <row r="122" spans="1:29" s="427" customFormat="1" ht="15.75" thickBot="1">
      <c r="A122" s="507"/>
      <c r="B122" s="489"/>
      <c r="C122" s="514"/>
      <c r="D122" s="514"/>
      <c r="E122" s="514"/>
      <c r="F122" s="514"/>
      <c r="G122" s="514"/>
      <c r="H122" s="514"/>
      <c r="I122" s="514"/>
      <c r="J122" s="514"/>
      <c r="K122" s="514"/>
      <c r="L122" s="514"/>
      <c r="M122" s="514"/>
      <c r="N122" s="2981"/>
      <c r="O122" s="2981"/>
      <c r="P122" s="2989"/>
      <c r="Q122" s="2972"/>
      <c r="R122" s="2973"/>
      <c r="S122" s="2973"/>
      <c r="T122" s="2973"/>
      <c r="U122" s="2973"/>
      <c r="V122" s="2973"/>
      <c r="W122" s="2973"/>
      <c r="X122" s="2973"/>
      <c r="Y122" s="2973"/>
      <c r="Z122" s="2973"/>
      <c r="AA122" s="2973"/>
      <c r="AB122" s="2973"/>
      <c r="AC122" s="2973"/>
    </row>
    <row r="123" spans="1:29" ht="15" thickTop="1">
      <c r="A123" s="553"/>
      <c r="B123" s="492" t="s">
        <v>2416</v>
      </c>
      <c r="C123" s="508"/>
      <c r="D123" s="508"/>
      <c r="E123" s="508"/>
      <c r="F123" s="537"/>
      <c r="G123" s="537"/>
      <c r="H123" s="537"/>
      <c r="I123" s="537"/>
      <c r="J123" s="537"/>
      <c r="K123" s="538"/>
      <c r="L123" s="539"/>
      <c r="M123" s="540"/>
      <c r="N123" s="2979"/>
      <c r="O123" s="2979"/>
      <c r="P123" s="2988"/>
      <c r="Q123" s="2965"/>
      <c r="R123" s="2951"/>
      <c r="S123" s="2951"/>
      <c r="T123" s="2951"/>
      <c r="U123" s="2951"/>
      <c r="V123" s="2951"/>
      <c r="W123" s="2951"/>
      <c r="X123" s="2951"/>
      <c r="Y123" s="2951"/>
      <c r="Z123" s="2951"/>
      <c r="AA123" s="2951"/>
      <c r="AB123" s="2951"/>
      <c r="AC123" s="2951"/>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3"/>
      <c r="B125" s="492" t="s">
        <v>2417</v>
      </c>
      <c r="C125" s="532" t="s">
        <v>2393</v>
      </c>
      <c r="D125" s="532" t="s">
        <v>2394</v>
      </c>
      <c r="E125" s="532" t="s">
        <v>2395</v>
      </c>
      <c r="F125" s="532" t="s">
        <v>2396</v>
      </c>
      <c r="G125" s="532" t="s">
        <v>2397</v>
      </c>
      <c r="H125" s="493"/>
      <c r="I125" s="493"/>
      <c r="J125" s="493"/>
      <c r="K125" s="494"/>
      <c r="L125" s="495"/>
      <c r="M125" s="496"/>
      <c r="N125" s="2979"/>
      <c r="O125" s="2979"/>
      <c r="P125" s="2989"/>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0"/>
      <c r="O126" s="2980"/>
      <c r="P126" s="2988"/>
      <c r="Q126" s="2965"/>
      <c r="R126" s="2951"/>
      <c r="S126" s="2951"/>
      <c r="T126" s="2951"/>
      <c r="U126" s="2951"/>
      <c r="V126" s="2951"/>
      <c r="W126" s="2951"/>
      <c r="X126" s="2951"/>
      <c r="Y126" s="2951"/>
      <c r="Z126" s="2951"/>
      <c r="AA126" s="2951"/>
      <c r="AB126" s="2951"/>
      <c r="AC126" s="2951"/>
    </row>
    <row r="127" spans="1:29" s="427" customFormat="1" ht="15" thickTop="1">
      <c r="A127" s="547"/>
      <c r="B127" s="492">
        <f>B45</f>
        <v>111</v>
      </c>
      <c r="C127" s="508"/>
      <c r="D127" s="508"/>
      <c r="E127" s="508"/>
      <c r="F127" s="508"/>
      <c r="G127" s="508"/>
      <c r="H127" s="509"/>
      <c r="I127" s="509"/>
      <c r="J127" s="509"/>
      <c r="K127" s="509"/>
      <c r="L127" s="510"/>
      <c r="M127" s="511"/>
      <c r="N127" s="2981"/>
      <c r="O127" s="2981"/>
      <c r="P127" s="2989"/>
      <c r="Q127" s="2972"/>
      <c r="R127" s="2973"/>
      <c r="S127" s="2973"/>
      <c r="T127" s="2973"/>
      <c r="U127" s="2973"/>
      <c r="V127" s="2973"/>
      <c r="W127" s="2973"/>
      <c r="X127" s="2973"/>
      <c r="Y127" s="2973"/>
      <c r="Z127" s="2973"/>
      <c r="AA127" s="2973"/>
      <c r="AB127" s="2973"/>
      <c r="AC127" s="2973"/>
    </row>
    <row r="128" spans="1:29" s="427" customFormat="1" ht="15.75" thickBot="1">
      <c r="A128" s="507"/>
      <c r="B128" s="497"/>
      <c r="C128" s="514"/>
      <c r="D128" s="490"/>
      <c r="E128" s="490"/>
      <c r="F128" s="490"/>
      <c r="G128" s="514"/>
      <c r="H128" s="516"/>
      <c r="I128" s="516"/>
      <c r="J128" s="516"/>
      <c r="K128" s="516"/>
      <c r="L128" s="516"/>
      <c r="M128" s="517"/>
      <c r="N128" s="2981"/>
      <c r="O128" s="2981"/>
      <c r="P128" s="2989"/>
      <c r="Q128" s="2972"/>
      <c r="R128" s="2973"/>
      <c r="S128" s="2973"/>
      <c r="T128" s="2973"/>
      <c r="U128" s="2973"/>
      <c r="V128" s="2973"/>
      <c r="W128" s="2973"/>
      <c r="X128" s="2973"/>
      <c r="Y128" s="2973"/>
      <c r="Z128" s="2973"/>
      <c r="AA128" s="2973"/>
      <c r="AB128" s="2973"/>
      <c r="AC128" s="2973"/>
    </row>
    <row r="129" spans="1:29" ht="15" thickTop="1">
      <c r="A129" s="553"/>
      <c r="B129" s="492">
        <f>B46</f>
        <v>111</v>
      </c>
      <c r="C129" s="508"/>
      <c r="D129" s="508"/>
      <c r="E129" s="508"/>
      <c r="F129" s="508"/>
      <c r="G129" s="537"/>
      <c r="H129" s="537"/>
      <c r="I129" s="537"/>
      <c r="J129" s="537"/>
      <c r="K129" s="538"/>
      <c r="L129" s="539"/>
      <c r="M129" s="540"/>
      <c r="N129" s="2979"/>
      <c r="O129" s="2979"/>
      <c r="P129" s="2988"/>
      <c r="Q129" s="2965"/>
      <c r="R129" s="2951"/>
      <c r="S129" s="2951"/>
      <c r="T129" s="2951"/>
      <c r="U129" s="2951"/>
      <c r="V129" s="2951"/>
      <c r="W129" s="2951"/>
      <c r="X129" s="2951"/>
      <c r="Y129" s="2951"/>
      <c r="Z129" s="2951"/>
      <c r="AA129" s="2951"/>
      <c r="AB129" s="2951"/>
      <c r="AC129" s="2951"/>
    </row>
    <row r="130" spans="1:29" ht="15.75" thickBot="1">
      <c r="A130" s="488"/>
      <c r="B130" s="497"/>
      <c r="C130" s="514"/>
      <c r="D130" s="514"/>
      <c r="E130" s="514"/>
      <c r="F130" s="514"/>
      <c r="G130" s="490"/>
      <c r="H130" s="490"/>
      <c r="I130" s="490"/>
      <c r="J130" s="490"/>
      <c r="K130" s="490"/>
      <c r="L130" s="490"/>
      <c r="M130" s="491"/>
      <c r="N130" s="2980"/>
      <c r="O130" s="2980"/>
      <c r="P130" s="2988"/>
      <c r="Q130" s="2965"/>
      <c r="R130" s="2951"/>
      <c r="S130" s="2951"/>
      <c r="T130" s="2951"/>
      <c r="U130" s="2951"/>
      <c r="V130" s="2951"/>
      <c r="W130" s="2951"/>
      <c r="X130" s="2951"/>
      <c r="Y130" s="2951"/>
      <c r="Z130" s="2951"/>
      <c r="AA130" s="2951"/>
      <c r="AB130" s="2951"/>
      <c r="AC130" s="2951"/>
    </row>
    <row r="131" spans="1:29" ht="15" thickTop="1">
      <c r="A131" s="553"/>
      <c r="B131" s="500">
        <f>B47</f>
        <v>111</v>
      </c>
      <c r="C131" s="477"/>
      <c r="D131" s="477"/>
      <c r="E131" s="477"/>
      <c r="F131" s="477"/>
      <c r="G131" s="541"/>
      <c r="H131" s="541"/>
      <c r="I131" s="541"/>
      <c r="J131" s="541"/>
      <c r="K131" s="477"/>
      <c r="L131" s="478"/>
      <c r="M131" s="544"/>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3"/>
      <c r="C132" s="524"/>
      <c r="D132" s="524"/>
      <c r="E132" s="524"/>
      <c r="F132" s="524"/>
      <c r="G132" s="545"/>
      <c r="H132" s="545"/>
      <c r="I132" s="545"/>
      <c r="J132" s="545"/>
      <c r="K132" s="545"/>
      <c r="L132" s="545"/>
      <c r="M132" s="546"/>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0" customWidth="1"/>
    <col min="2" max="2" width="15.875" style="360" customWidth="1"/>
    <col min="3" max="3" width="14.375" style="360" customWidth="1"/>
    <col min="4" max="4" width="12.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360"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1398" customFormat="1" ht="28.5" customHeight="1" thickBot="1">
      <c r="A1" s="1387" t="s">
        <v>2324</v>
      </c>
      <c r="B1" s="2140" t="s">
        <v>2498</v>
      </c>
      <c r="C1" s="1389" t="s">
        <v>2326</v>
      </c>
      <c r="D1" s="1390"/>
      <c r="E1" s="1399"/>
      <c r="F1" s="2062"/>
      <c r="G1" s="1400" t="s">
        <v>2439</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2126</v>
      </c>
      <c r="B2" s="1323" t="e">
        <f ca="1">IF(C2="——",ROUND(C43*D3/10000,0),ROUND(C43*D3/10000,0)-D2)</f>
        <v>#DIV/0!</v>
      </c>
      <c r="C2" s="2064"/>
      <c r="D2" s="1035" t="e">
        <f ca="1">SUMIF(INDIRECT("'"&amp;F2&amp;"'"&amp;"!A:A"),"承租人权益价值",INDIRECT("'"&amp;F2&amp;"'"&amp;"!c:c"))</f>
        <v>#REF!</v>
      </c>
      <c r="E2" s="2065" t="s">
        <v>2127</v>
      </c>
      <c r="F2" s="2066"/>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2128</v>
      </c>
      <c r="B3" s="563" t="e">
        <f ca="1">IF(C2="——",C43,ROUND(B2*10000/D3,0))</f>
        <v>#DIV/0!</v>
      </c>
      <c r="C3" s="357" t="s">
        <v>2440</v>
      </c>
      <c r="D3" s="356">
        <f>IF(D1="",'数据-汇总表'!E3,SUMIF('数据-汇总表'!$C19:$C33,D1,'数据-汇总表'!$E19:$E33))</f>
        <v>125203.41</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2441</v>
      </c>
      <c r="B4" s="359"/>
      <c r="C4" s="3320" t="s">
        <v>2442</v>
      </c>
      <c r="D4" s="3321"/>
      <c r="E4" s="3322" t="s">
        <v>2443</v>
      </c>
      <c r="F4" s="3323"/>
      <c r="G4" s="3320" t="s">
        <v>2444</v>
      </c>
      <c r="H4" s="3321"/>
      <c r="I4" s="3320" t="s">
        <v>2445</v>
      </c>
      <c r="J4" s="3321"/>
      <c r="K4" s="564" t="s">
        <v>2446</v>
      </c>
      <c r="L4" s="1041"/>
      <c r="M4" s="1042"/>
      <c r="N4" s="1042"/>
      <c r="O4" s="1042"/>
      <c r="P4" s="3324" t="s">
        <v>2447</v>
      </c>
      <c r="Q4" s="3325"/>
      <c r="R4" s="3307" t="s">
        <v>2443</v>
      </c>
      <c r="S4" s="3308"/>
      <c r="T4" s="3307" t="s">
        <v>2444</v>
      </c>
      <c r="U4" s="3308"/>
      <c r="V4" s="3332" t="s">
        <v>2445</v>
      </c>
      <c r="W4" s="3332"/>
      <c r="X4" s="1537"/>
      <c r="Y4" s="3307" t="s">
        <v>2447</v>
      </c>
      <c r="Z4" s="3308"/>
      <c r="AA4" s="3302" t="s">
        <v>2443</v>
      </c>
      <c r="AB4" s="3303" t="s">
        <v>2444</v>
      </c>
      <c r="AC4" s="3302" t="s">
        <v>2445</v>
      </c>
    </row>
    <row r="5" spans="1:29" ht="15">
      <c r="A5" s="361"/>
      <c r="B5" s="362"/>
      <c r="C5" s="3313" t="s">
        <v>2338</v>
      </c>
      <c r="D5" s="3314"/>
      <c r="E5" s="3311" t="s">
        <v>2339</v>
      </c>
      <c r="F5" s="3312"/>
      <c r="G5" s="3313" t="s">
        <v>2340</v>
      </c>
      <c r="H5" s="3314"/>
      <c r="I5" s="3313" t="s">
        <v>2341</v>
      </c>
      <c r="J5" s="3314"/>
      <c r="K5" s="564"/>
      <c r="L5" s="1041"/>
      <c r="M5" s="1042"/>
      <c r="N5" s="1042"/>
      <c r="O5" s="1042"/>
      <c r="P5" s="3326"/>
      <c r="Q5" s="3327"/>
      <c r="R5" s="3309"/>
      <c r="S5" s="3310"/>
      <c r="T5" s="3309"/>
      <c r="U5" s="3310"/>
      <c r="V5" s="3332"/>
      <c r="W5" s="3332"/>
      <c r="X5" s="1537"/>
      <c r="Y5" s="3309"/>
      <c r="Z5" s="3310"/>
      <c r="AA5" s="3303"/>
      <c r="AB5" s="3303"/>
      <c r="AC5" s="3303"/>
    </row>
    <row r="6" spans="1:29" ht="15.75" thickBot="1">
      <c r="A6" s="363"/>
      <c r="B6" s="364"/>
      <c r="C6" s="3315" t="s">
        <v>2342</v>
      </c>
      <c r="D6" s="3316"/>
      <c r="E6" s="3317" t="s">
        <v>2342</v>
      </c>
      <c r="F6" s="3318"/>
      <c r="G6" s="3315" t="s">
        <v>2342</v>
      </c>
      <c r="H6" s="3316"/>
      <c r="I6" s="3315" t="s">
        <v>2342</v>
      </c>
      <c r="J6" s="3316"/>
      <c r="K6" s="564" t="s">
        <v>2343</v>
      </c>
      <c r="L6" s="1041"/>
      <c r="M6" s="1042"/>
      <c r="N6" s="1042"/>
      <c r="O6" s="1042"/>
      <c r="P6" s="3328"/>
      <c r="Q6" s="3329"/>
      <c r="R6" s="3309"/>
      <c r="S6" s="3310"/>
      <c r="T6" s="3330"/>
      <c r="U6" s="3331"/>
      <c r="V6" s="3332"/>
      <c r="W6" s="3332"/>
      <c r="X6" s="1537"/>
      <c r="Y6" s="3330"/>
      <c r="Z6" s="3331"/>
      <c r="AA6" s="3304"/>
      <c r="AB6" s="3304"/>
      <c r="AC6" s="3304"/>
    </row>
    <row r="7" spans="1:29" s="110" customFormat="1" ht="15.75" thickBot="1">
      <c r="A7" s="365" t="s">
        <v>2344</v>
      </c>
      <c r="B7" s="366"/>
      <c r="C7" s="367">
        <f>'数据-取费表'!B2</f>
        <v>44236</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05" t="s">
        <v>2345</v>
      </c>
      <c r="Q7" s="3333"/>
      <c r="R7" s="707" t="s">
        <v>14</v>
      </c>
      <c r="S7" s="708">
        <f t="shared" ref="S7:S15" si="0">F7</f>
        <v>0</v>
      </c>
      <c r="T7" s="707" t="s">
        <v>14</v>
      </c>
      <c r="U7" s="708">
        <f t="shared" ref="U7:U15" si="1">H7</f>
        <v>0</v>
      </c>
      <c r="V7" s="707" t="s">
        <v>14</v>
      </c>
      <c r="W7" s="708">
        <f t="shared" ref="W7:W15" si="2">J7</f>
        <v>0</v>
      </c>
      <c r="X7" s="709"/>
      <c r="Y7" s="3305" t="s">
        <v>2345</v>
      </c>
      <c r="Z7" s="3306"/>
      <c r="AA7" s="710" t="e">
        <f>D7/F7</f>
        <v>#DIV/0!</v>
      </c>
      <c r="AB7" s="710" t="e">
        <f>D7/H7</f>
        <v>#DIV/0!</v>
      </c>
      <c r="AC7" s="710" t="e">
        <f>D7/J7</f>
        <v>#DIV/0!</v>
      </c>
    </row>
    <row r="8" spans="1:29" s="110" customFormat="1" ht="15.75" thickBot="1">
      <c r="A8" s="365" t="s">
        <v>2346</v>
      </c>
      <c r="B8" s="366"/>
      <c r="C8" s="371" t="s">
        <v>2347</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05" t="s">
        <v>2348</v>
      </c>
      <c r="Q8" s="3306"/>
      <c r="R8" s="707" t="s">
        <v>14</v>
      </c>
      <c r="S8" s="708">
        <f t="shared" si="0"/>
        <v>0</v>
      </c>
      <c r="T8" s="707" t="s">
        <v>14</v>
      </c>
      <c r="U8" s="708">
        <f t="shared" si="1"/>
        <v>0</v>
      </c>
      <c r="V8" s="707" t="s">
        <v>14</v>
      </c>
      <c r="W8" s="708">
        <f t="shared" si="2"/>
        <v>0</v>
      </c>
      <c r="X8" s="709"/>
      <c r="Y8" s="3305" t="s">
        <v>2348</v>
      </c>
      <c r="Z8" s="3306"/>
      <c r="AA8" s="710" t="e">
        <f t="shared" ref="AA8:AA40" si="3">D8/F8</f>
        <v>#DIV/0!</v>
      </c>
      <c r="AB8" s="710" t="e">
        <f t="shared" ref="AB8:AB40" si="4">D8/H8</f>
        <v>#DIV/0!</v>
      </c>
      <c r="AC8" s="710" t="e">
        <f t="shared" ref="AC8:AC40" si="5">D8/J8</f>
        <v>#DIV/0!</v>
      </c>
    </row>
    <row r="9" spans="1:29" s="110" customFormat="1">
      <c r="A9" s="372" t="s">
        <v>2349</v>
      </c>
      <c r="B9" s="64" t="s">
        <v>2350</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19" t="s">
        <v>2351</v>
      </c>
      <c r="Q9" s="1525" t="str">
        <f t="shared" ref="Q9:Q15" si="6">B9</f>
        <v>用途</v>
      </c>
      <c r="R9" s="707" t="s">
        <v>14</v>
      </c>
      <c r="S9" s="708">
        <f t="shared" si="0"/>
        <v>100</v>
      </c>
      <c r="T9" s="707" t="s">
        <v>14</v>
      </c>
      <c r="U9" s="708">
        <f t="shared" si="1"/>
        <v>100</v>
      </c>
      <c r="V9" s="707" t="s">
        <v>14</v>
      </c>
      <c r="W9" s="708">
        <f t="shared" si="2"/>
        <v>100</v>
      </c>
      <c r="X9" s="709"/>
      <c r="Y9" s="3275" t="s">
        <v>2352</v>
      </c>
      <c r="Z9" s="52" t="str">
        <f t="shared" ref="Z9:Z15" si="7">Q9</f>
        <v>用途</v>
      </c>
      <c r="AA9" s="710">
        <f t="shared" si="3"/>
        <v>1</v>
      </c>
      <c r="AB9" s="710">
        <f t="shared" si="4"/>
        <v>1</v>
      </c>
      <c r="AC9" s="710">
        <f t="shared" si="5"/>
        <v>1</v>
      </c>
    </row>
    <row r="10" spans="1:29" s="383" customFormat="1" ht="27">
      <c r="A10" s="377"/>
      <c r="B10" s="378" t="s">
        <v>2353</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19"/>
      <c r="Q10" s="1525" t="str">
        <f t="shared" si="6"/>
        <v>土地使用年限（年）</v>
      </c>
      <c r="R10" s="707" t="s">
        <v>14</v>
      </c>
      <c r="S10" s="708">
        <f t="shared" si="0"/>
        <v>100</v>
      </c>
      <c r="T10" s="707" t="s">
        <v>14</v>
      </c>
      <c r="U10" s="708">
        <f t="shared" si="1"/>
        <v>100</v>
      </c>
      <c r="V10" s="707" t="s">
        <v>14</v>
      </c>
      <c r="W10" s="708">
        <f t="shared" si="2"/>
        <v>100</v>
      </c>
      <c r="X10" s="709"/>
      <c r="Y10" s="3275"/>
      <c r="Z10" s="52" t="str">
        <f t="shared" si="7"/>
        <v>土地使用年限（年）</v>
      </c>
      <c r="AA10" s="710">
        <f t="shared" si="3"/>
        <v>1</v>
      </c>
      <c r="AB10" s="710">
        <f t="shared" si="4"/>
        <v>1</v>
      </c>
      <c r="AC10" s="710">
        <f t="shared" si="5"/>
        <v>1</v>
      </c>
    </row>
    <row r="11" spans="1:29" ht="15">
      <c r="A11" s="384"/>
      <c r="B11" s="378" t="s">
        <v>2354</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19"/>
      <c r="Q11" s="1525" t="str">
        <f t="shared" si="6"/>
        <v>容积率</v>
      </c>
      <c r="R11" s="707" t="s">
        <v>14</v>
      </c>
      <c r="S11" s="708" t="e">
        <f t="shared" si="0"/>
        <v>#N/A</v>
      </c>
      <c r="T11" s="707" t="s">
        <v>14</v>
      </c>
      <c r="U11" s="708" t="e">
        <f t="shared" si="1"/>
        <v>#N/A</v>
      </c>
      <c r="V11" s="707" t="s">
        <v>14</v>
      </c>
      <c r="W11" s="708" t="e">
        <f t="shared" si="2"/>
        <v>#N/A</v>
      </c>
      <c r="X11" s="709"/>
      <c r="Y11" s="3275"/>
      <c r="Z11" s="52" t="str">
        <f t="shared" si="7"/>
        <v>容积率</v>
      </c>
      <c r="AA11" s="710" t="e">
        <f t="shared" si="3"/>
        <v>#N/A</v>
      </c>
      <c r="AB11" s="710" t="e">
        <f t="shared" si="4"/>
        <v>#N/A</v>
      </c>
      <c r="AC11" s="710" t="e">
        <f t="shared" si="5"/>
        <v>#N/A</v>
      </c>
    </row>
    <row r="12" spans="1:29" s="110" customFormat="1" ht="15">
      <c r="A12" s="387"/>
      <c r="B12" s="2076">
        <v>111</v>
      </c>
      <c r="C12" s="388"/>
      <c r="D12" s="389">
        <v>100</v>
      </c>
      <c r="E12" s="390"/>
      <c r="F12" s="129">
        <f>SUMIF(64:64,E12,65:65)-SUMIF(64:64,C12,65:65)+100</f>
        <v>100</v>
      </c>
      <c r="G12" s="2153"/>
      <c r="H12" s="129">
        <f>SUMIF(64:64,G12,65:65)-SUMIF(64:64,C12,65:65)+100</f>
        <v>100</v>
      </c>
      <c r="I12" s="425"/>
      <c r="J12" s="129">
        <f>SUMIF(64:64,I12,65:65)-SUMIF(64:64,C12,65:65)+100</f>
        <v>100</v>
      </c>
      <c r="K12" s="567"/>
      <c r="L12" s="1043"/>
      <c r="M12" s="1044"/>
      <c r="N12" s="1044"/>
      <c r="O12" s="1045"/>
      <c r="P12" s="3319"/>
      <c r="Q12" s="1525">
        <f t="shared" si="6"/>
        <v>111</v>
      </c>
      <c r="R12" s="707" t="s">
        <v>14</v>
      </c>
      <c r="S12" s="708">
        <f t="shared" si="0"/>
        <v>100</v>
      </c>
      <c r="T12" s="707" t="s">
        <v>14</v>
      </c>
      <c r="U12" s="708">
        <f t="shared" si="1"/>
        <v>100</v>
      </c>
      <c r="V12" s="707" t="s">
        <v>14</v>
      </c>
      <c r="W12" s="708">
        <f t="shared" si="2"/>
        <v>100</v>
      </c>
      <c r="X12" s="709"/>
      <c r="Y12" s="3275"/>
      <c r="Z12" s="52">
        <f t="shared" si="7"/>
        <v>111</v>
      </c>
      <c r="AA12" s="710">
        <f>D12/F12</f>
        <v>1</v>
      </c>
      <c r="AB12" s="710">
        <f>D12/H12</f>
        <v>1</v>
      </c>
      <c r="AC12" s="710">
        <f>D12/J12</f>
        <v>1</v>
      </c>
    </row>
    <row r="13" spans="1:29" ht="15">
      <c r="A13" s="384"/>
      <c r="B13" s="2076">
        <v>111</v>
      </c>
      <c r="C13" s="390"/>
      <c r="D13" s="391">
        <v>100</v>
      </c>
      <c r="E13" s="390"/>
      <c r="F13" s="129">
        <f>SUMIF(66:66,E13,67:67)-SUMIF(66:66,C13,67:67)+100</f>
        <v>100</v>
      </c>
      <c r="G13" s="2153"/>
      <c r="H13" s="391">
        <f>SUMIF(66:66,G13,67:67)-SUMIF(66:66,C13,67:67)+100</f>
        <v>100</v>
      </c>
      <c r="I13" s="425"/>
      <c r="J13" s="391">
        <f>SUMIF(66:66,I13,67:67)-SUMIF(66:66,C13,67:67)+100</f>
        <v>100</v>
      </c>
      <c r="K13" s="567"/>
      <c r="L13" s="1051"/>
      <c r="M13" s="1042"/>
      <c r="N13" s="1042"/>
      <c r="O13" s="1050"/>
      <c r="P13" s="3319"/>
      <c r="Q13" s="1525">
        <f t="shared" si="6"/>
        <v>111</v>
      </c>
      <c r="R13" s="707" t="s">
        <v>14</v>
      </c>
      <c r="S13" s="708">
        <f t="shared" si="0"/>
        <v>100</v>
      </c>
      <c r="T13" s="707" t="s">
        <v>14</v>
      </c>
      <c r="U13" s="708">
        <f t="shared" si="1"/>
        <v>100</v>
      </c>
      <c r="V13" s="707" t="s">
        <v>14</v>
      </c>
      <c r="W13" s="708">
        <f t="shared" si="2"/>
        <v>100</v>
      </c>
      <c r="X13" s="709"/>
      <c r="Y13" s="3275"/>
      <c r="Z13" s="52">
        <f t="shared" si="7"/>
        <v>111</v>
      </c>
      <c r="AA13" s="710">
        <f t="shared" si="3"/>
        <v>1</v>
      </c>
      <c r="AB13" s="710">
        <f t="shared" si="4"/>
        <v>1</v>
      </c>
      <c r="AC13" s="710">
        <f t="shared" si="5"/>
        <v>1</v>
      </c>
    </row>
    <row r="14" spans="1:29" ht="15.75" thickBot="1">
      <c r="A14" s="392"/>
      <c r="B14" s="2078">
        <v>111</v>
      </c>
      <c r="C14" s="393"/>
      <c r="D14" s="394">
        <v>100</v>
      </c>
      <c r="E14" s="393"/>
      <c r="F14" s="394">
        <f>SUMIF(68:68,E14,69:69)-SUMIF(68:68,C14,69:69)+100</f>
        <v>100</v>
      </c>
      <c r="G14" s="2153"/>
      <c r="H14" s="394">
        <f>SUMIF(68:68,G14,69:69)-SUMIF(68:68,C14,69:69)+100</f>
        <v>100</v>
      </c>
      <c r="I14" s="425"/>
      <c r="J14" s="394">
        <f>SUMIF(68:68,I14,69:69)-SUMIF(68:68,C14,69:69)+100</f>
        <v>100</v>
      </c>
      <c r="K14" s="567"/>
      <c r="L14" s="1051"/>
      <c r="M14" s="1042"/>
      <c r="N14" s="1042"/>
      <c r="O14" s="1050"/>
      <c r="P14" s="3319"/>
      <c r="Q14" s="1525">
        <f t="shared" si="6"/>
        <v>111</v>
      </c>
      <c r="R14" s="707" t="s">
        <v>14</v>
      </c>
      <c r="S14" s="708">
        <f t="shared" si="0"/>
        <v>100</v>
      </c>
      <c r="T14" s="707" t="s">
        <v>14</v>
      </c>
      <c r="U14" s="708">
        <f t="shared" si="1"/>
        <v>100</v>
      </c>
      <c r="V14" s="707" t="s">
        <v>14</v>
      </c>
      <c r="W14" s="708">
        <f t="shared" si="2"/>
        <v>100</v>
      </c>
      <c r="X14" s="709"/>
      <c r="Y14" s="3275"/>
      <c r="Z14" s="52">
        <f t="shared" si="7"/>
        <v>111</v>
      </c>
      <c r="AA14" s="710">
        <f t="shared" si="3"/>
        <v>1</v>
      </c>
      <c r="AB14" s="710">
        <f t="shared" si="4"/>
        <v>1</v>
      </c>
      <c r="AC14" s="710">
        <f t="shared" si="5"/>
        <v>1</v>
      </c>
    </row>
    <row r="15" spans="1:29" ht="57">
      <c r="A15" s="396" t="s">
        <v>2355</v>
      </c>
      <c r="B15" s="62" t="s">
        <v>2499</v>
      </c>
      <c r="C15" s="2154"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34" t="s">
        <v>2356</v>
      </c>
      <c r="Q15" s="1534" t="str">
        <f t="shared" si="6"/>
        <v>产业集聚程度</v>
      </c>
      <c r="R15" s="711" t="s">
        <v>14</v>
      </c>
      <c r="S15" s="712">
        <f t="shared" si="0"/>
        <v>100</v>
      </c>
      <c r="T15" s="711" t="s">
        <v>14</v>
      </c>
      <c r="U15" s="712">
        <f t="shared" si="1"/>
        <v>100</v>
      </c>
      <c r="V15" s="711" t="s">
        <v>14</v>
      </c>
      <c r="W15" s="712">
        <f t="shared" si="2"/>
        <v>100</v>
      </c>
      <c r="X15" s="1537"/>
      <c r="Y15" s="3334" t="s">
        <v>2356</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35"/>
      <c r="Q16" s="1534"/>
      <c r="R16" s="711"/>
      <c r="S16" s="712"/>
      <c r="T16" s="711"/>
      <c r="U16" s="712"/>
      <c r="V16" s="711"/>
      <c r="W16" s="712"/>
      <c r="X16" s="1537"/>
      <c r="Y16" s="3335"/>
      <c r="Z16" s="1538"/>
      <c r="AA16" s="1535">
        <v>1</v>
      </c>
      <c r="AB16" s="1535">
        <v>1</v>
      </c>
      <c r="AC16" s="1535">
        <v>1</v>
      </c>
    </row>
    <row r="17" spans="1:29" ht="85.5">
      <c r="A17" s="384"/>
      <c r="B17" s="407" t="s">
        <v>1923</v>
      </c>
      <c r="C17" s="2083"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35"/>
      <c r="Q17" s="1534" t="str">
        <f>B17</f>
        <v>交通便捷度</v>
      </c>
      <c r="R17" s="711" t="s">
        <v>14</v>
      </c>
      <c r="S17" s="712">
        <f>F17</f>
        <v>100</v>
      </c>
      <c r="T17" s="711" t="s">
        <v>14</v>
      </c>
      <c r="U17" s="712">
        <f>H17</f>
        <v>100</v>
      </c>
      <c r="V17" s="711" t="s">
        <v>14</v>
      </c>
      <c r="W17" s="712">
        <f>J17</f>
        <v>100</v>
      </c>
      <c r="X17" s="1537"/>
      <c r="Y17" s="3335"/>
      <c r="Z17" s="1538" t="str">
        <f>Q17</f>
        <v>交通便捷度</v>
      </c>
      <c r="AA17" s="1535">
        <f t="shared" si="3"/>
        <v>1</v>
      </c>
      <c r="AB17" s="1535">
        <f t="shared" si="4"/>
        <v>1</v>
      </c>
      <c r="AC17" s="1535">
        <f t="shared" si="5"/>
        <v>1</v>
      </c>
    </row>
    <row r="18" spans="1:29" ht="15">
      <c r="A18" s="384"/>
      <c r="B18" s="412"/>
      <c r="C18" s="2084"/>
      <c r="D18" s="406"/>
      <c r="E18" s="2086"/>
      <c r="F18" s="409"/>
      <c r="G18" s="2085"/>
      <c r="H18" s="404"/>
      <c r="I18" s="2086"/>
      <c r="J18" s="404"/>
      <c r="K18" s="569"/>
      <c r="L18" s="1051"/>
      <c r="M18" s="1042"/>
      <c r="N18" s="1042"/>
      <c r="O18" s="1050"/>
      <c r="P18" s="3335"/>
      <c r="Q18" s="1534"/>
      <c r="R18" s="711"/>
      <c r="S18" s="712"/>
      <c r="T18" s="711"/>
      <c r="U18" s="712"/>
      <c r="V18" s="711"/>
      <c r="W18" s="712"/>
      <c r="X18" s="1537"/>
      <c r="Y18" s="3335"/>
      <c r="Z18" s="1538"/>
      <c r="AA18" s="1535">
        <v>1</v>
      </c>
      <c r="AB18" s="1535">
        <v>1</v>
      </c>
      <c r="AC18" s="1535">
        <v>1</v>
      </c>
    </row>
    <row r="19" spans="1:29" ht="42.75">
      <c r="A19" s="384"/>
      <c r="B19" s="407" t="s">
        <v>2484</v>
      </c>
      <c r="C19" s="2083"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35"/>
      <c r="Q19" s="1534" t="str">
        <f>B19</f>
        <v>公共配套设施</v>
      </c>
      <c r="R19" s="711" t="s">
        <v>14</v>
      </c>
      <c r="S19" s="712">
        <f>F19</f>
        <v>100</v>
      </c>
      <c r="T19" s="711" t="s">
        <v>14</v>
      </c>
      <c r="U19" s="712">
        <f>H19</f>
        <v>100</v>
      </c>
      <c r="V19" s="711" t="s">
        <v>14</v>
      </c>
      <c r="W19" s="712">
        <f>J19</f>
        <v>100</v>
      </c>
      <c r="X19" s="1537"/>
      <c r="Y19" s="3335"/>
      <c r="Z19" s="1538" t="str">
        <f>Q19</f>
        <v>公共配套设施</v>
      </c>
      <c r="AA19" s="1535">
        <f t="shared" si="3"/>
        <v>1</v>
      </c>
      <c r="AB19" s="1535">
        <f t="shared" si="4"/>
        <v>1</v>
      </c>
      <c r="AC19" s="1535">
        <f t="shared" si="5"/>
        <v>1</v>
      </c>
    </row>
    <row r="20" spans="1:29" ht="15">
      <c r="A20" s="384"/>
      <c r="B20" s="412"/>
      <c r="C20" s="403"/>
      <c r="D20" s="404"/>
      <c r="E20" s="2081"/>
      <c r="F20" s="405"/>
      <c r="G20" s="2080"/>
      <c r="H20" s="404"/>
      <c r="I20" s="2081"/>
      <c r="J20" s="404"/>
      <c r="K20" s="569"/>
      <c r="L20" s="1051"/>
      <c r="M20" s="1042"/>
      <c r="N20" s="1042"/>
      <c r="O20" s="1050"/>
      <c r="P20" s="3335"/>
      <c r="Q20" s="1534"/>
      <c r="R20" s="711"/>
      <c r="S20" s="712"/>
      <c r="T20" s="711"/>
      <c r="U20" s="712"/>
      <c r="V20" s="711"/>
      <c r="W20" s="712"/>
      <c r="X20" s="1537"/>
      <c r="Y20" s="3335"/>
      <c r="Z20" s="1538"/>
      <c r="AA20" s="1535">
        <v>1</v>
      </c>
      <c r="AB20" s="1535">
        <v>1</v>
      </c>
      <c r="AC20" s="1535">
        <v>1</v>
      </c>
    </row>
    <row r="21" spans="1:29" ht="28.5">
      <c r="A21" s="384"/>
      <c r="B21" s="1290" t="s">
        <v>2485</v>
      </c>
      <c r="C21" s="2083"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35"/>
      <c r="Q21" s="1534" t="str">
        <f>B21</f>
        <v>基础设施水平</v>
      </c>
      <c r="R21" s="711" t="s">
        <v>14</v>
      </c>
      <c r="S21" s="712">
        <f>F21</f>
        <v>100</v>
      </c>
      <c r="T21" s="711" t="s">
        <v>14</v>
      </c>
      <c r="U21" s="712">
        <f>H21</f>
        <v>100</v>
      </c>
      <c r="V21" s="711" t="s">
        <v>14</v>
      </c>
      <c r="W21" s="712">
        <f>J21</f>
        <v>100</v>
      </c>
      <c r="X21" s="1537"/>
      <c r="Y21" s="3335"/>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5"/>
      <c r="G22" s="403"/>
      <c r="H22" s="404"/>
      <c r="I22" s="403"/>
      <c r="J22" s="404"/>
      <c r="K22" s="1289"/>
      <c r="L22" s="1051"/>
      <c r="M22" s="1042"/>
      <c r="N22" s="1042"/>
      <c r="O22" s="1050"/>
      <c r="P22" s="3335"/>
      <c r="Q22" s="1534"/>
      <c r="R22" s="711"/>
      <c r="S22" s="712"/>
      <c r="T22" s="711"/>
      <c r="U22" s="712"/>
      <c r="V22" s="711"/>
      <c r="W22" s="712"/>
      <c r="X22" s="1537"/>
      <c r="Y22" s="3335"/>
      <c r="Z22" s="1538"/>
      <c r="AA22" s="1535">
        <v>1</v>
      </c>
      <c r="AB22" s="1535">
        <v>1</v>
      </c>
      <c r="AC22" s="1535">
        <v>1</v>
      </c>
    </row>
    <row r="23" spans="1:29" ht="71.25">
      <c r="A23" s="384"/>
      <c r="B23" s="407" t="s">
        <v>2486</v>
      </c>
      <c r="C23" s="2083"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35"/>
      <c r="Q23" s="1534" t="str">
        <f>B23</f>
        <v>环境质量</v>
      </c>
      <c r="R23" s="711" t="s">
        <v>14</v>
      </c>
      <c r="S23" s="712">
        <f>F23</f>
        <v>100</v>
      </c>
      <c r="T23" s="711" t="s">
        <v>14</v>
      </c>
      <c r="U23" s="712">
        <f>H23</f>
        <v>100</v>
      </c>
      <c r="V23" s="711" t="s">
        <v>14</v>
      </c>
      <c r="W23" s="712">
        <f>J23</f>
        <v>100</v>
      </c>
      <c r="X23" s="1537"/>
      <c r="Y23" s="3335"/>
      <c r="Z23" s="1538" t="str">
        <f>Q23</f>
        <v>环境质量</v>
      </c>
      <c r="AA23" s="1535">
        <f t="shared" si="3"/>
        <v>1</v>
      </c>
      <c r="AB23" s="1535">
        <f t="shared" si="4"/>
        <v>1</v>
      </c>
      <c r="AC23" s="1535">
        <f t="shared" si="5"/>
        <v>1</v>
      </c>
    </row>
    <row r="24" spans="1:29" ht="15">
      <c r="A24" s="384"/>
      <c r="B24" s="1290"/>
      <c r="C24" s="403"/>
      <c r="D24" s="404"/>
      <c r="E24" s="2081"/>
      <c r="F24" s="405"/>
      <c r="G24" s="2080"/>
      <c r="H24" s="404"/>
      <c r="I24" s="2081"/>
      <c r="J24" s="404"/>
      <c r="K24" s="569"/>
      <c r="L24" s="1051"/>
      <c r="M24" s="1042"/>
      <c r="N24" s="1042"/>
      <c r="O24" s="1050"/>
      <c r="P24" s="3335"/>
      <c r="Q24" s="1534"/>
      <c r="R24" s="711"/>
      <c r="S24" s="712"/>
      <c r="T24" s="711"/>
      <c r="U24" s="712"/>
      <c r="V24" s="711"/>
      <c r="W24" s="712"/>
      <c r="X24" s="1537"/>
      <c r="Y24" s="3335"/>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35"/>
      <c r="Q25" s="1534">
        <f>B25</f>
        <v>111</v>
      </c>
      <c r="R25" s="711" t="s">
        <v>14</v>
      </c>
      <c r="S25" s="712">
        <f>F25</f>
        <v>100</v>
      </c>
      <c r="T25" s="711" t="s">
        <v>14</v>
      </c>
      <c r="U25" s="712">
        <f>H25</f>
        <v>100</v>
      </c>
      <c r="V25" s="711" t="s">
        <v>14</v>
      </c>
      <c r="W25" s="712">
        <f>J25</f>
        <v>100</v>
      </c>
      <c r="X25" s="1537"/>
      <c r="Y25" s="3335"/>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35"/>
      <c r="Q26" s="1534">
        <f t="shared" ref="Q26:Q40" si="11">B26</f>
        <v>111</v>
      </c>
      <c r="R26" s="711" t="s">
        <v>14</v>
      </c>
      <c r="S26" s="712">
        <f>F26</f>
        <v>100</v>
      </c>
      <c r="T26" s="711" t="s">
        <v>14</v>
      </c>
      <c r="U26" s="712">
        <f>H26</f>
        <v>100</v>
      </c>
      <c r="V26" s="711" t="s">
        <v>14</v>
      </c>
      <c r="W26" s="712">
        <f>J26</f>
        <v>100</v>
      </c>
      <c r="X26" s="1537"/>
      <c r="Y26" s="3335"/>
      <c r="Z26" s="1538">
        <f>Q26</f>
        <v>111</v>
      </c>
      <c r="AA26" s="1535">
        <f t="shared" si="3"/>
        <v>1</v>
      </c>
      <c r="AB26" s="1535">
        <f t="shared" si="4"/>
        <v>1</v>
      </c>
      <c r="AC26" s="1535">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35"/>
      <c r="Q27" s="1525">
        <f t="shared" si="11"/>
        <v>111</v>
      </c>
      <c r="R27" s="707" t="s">
        <v>14</v>
      </c>
      <c r="S27" s="708">
        <f>F27</f>
        <v>100</v>
      </c>
      <c r="T27" s="707" t="s">
        <v>14</v>
      </c>
      <c r="U27" s="708">
        <f>H27</f>
        <v>100</v>
      </c>
      <c r="V27" s="707" t="s">
        <v>14</v>
      </c>
      <c r="W27" s="708">
        <f>J27</f>
        <v>100</v>
      </c>
      <c r="X27" s="709"/>
      <c r="Y27" s="3335"/>
      <c r="Z27" s="52">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35"/>
      <c r="Q28" s="1534">
        <f t="shared" si="11"/>
        <v>111</v>
      </c>
      <c r="R28" s="711" t="s">
        <v>14</v>
      </c>
      <c r="S28" s="712">
        <f t="shared" ref="S28:S40" si="12">F28</f>
        <v>100</v>
      </c>
      <c r="T28" s="711" t="s">
        <v>14</v>
      </c>
      <c r="U28" s="712">
        <f t="shared" ref="U28:U40" si="13">H28</f>
        <v>100</v>
      </c>
      <c r="V28" s="711" t="s">
        <v>14</v>
      </c>
      <c r="W28" s="712">
        <f t="shared" ref="W28:W40" si="14">J28</f>
        <v>100</v>
      </c>
      <c r="X28" s="1537"/>
      <c r="Y28" s="3335"/>
      <c r="Z28" s="1538">
        <f t="shared" ref="Z28:Z40" si="15">Q28</f>
        <v>111</v>
      </c>
      <c r="AA28" s="1535">
        <f t="shared" si="3"/>
        <v>1</v>
      </c>
      <c r="AB28" s="1535">
        <f t="shared" si="4"/>
        <v>1</v>
      </c>
      <c r="AC28" s="1535">
        <f t="shared" si="5"/>
        <v>1</v>
      </c>
    </row>
    <row r="29" spans="1:29" ht="28.5">
      <c r="A29" s="422" t="s">
        <v>2359</v>
      </c>
      <c r="B29" s="64" t="s">
        <v>2489</v>
      </c>
      <c r="C29" s="2150"/>
      <c r="D29" s="423">
        <v>100</v>
      </c>
      <c r="E29" s="2150"/>
      <c r="F29" s="417">
        <f>SUMIF(88:88,E29,89:89)-SUMIF(88:88,C29,89:89)+100</f>
        <v>100</v>
      </c>
      <c r="G29" s="2150"/>
      <c r="H29" s="391">
        <f>SUMIF(88:88,G29,89:89)-SUMIF(88:88,C29,89:89)+100</f>
        <v>100</v>
      </c>
      <c r="I29" s="2150"/>
      <c r="J29" s="423">
        <f>SUMIF(88:88,I29,89:89)-SUMIF(88:88,C29,89:89)+100</f>
        <v>100</v>
      </c>
      <c r="K29" s="566"/>
      <c r="L29" s="1051"/>
      <c r="M29" s="1042"/>
      <c r="N29" s="1042"/>
      <c r="O29" s="1050"/>
      <c r="P29" s="3336" t="s">
        <v>2361</v>
      </c>
      <c r="Q29" s="1534" t="str">
        <f t="shared" si="11"/>
        <v>建筑类型</v>
      </c>
      <c r="R29" s="711" t="s">
        <v>14</v>
      </c>
      <c r="S29" s="712">
        <f t="shared" si="12"/>
        <v>100</v>
      </c>
      <c r="T29" s="711" t="s">
        <v>14</v>
      </c>
      <c r="U29" s="712">
        <f t="shared" si="13"/>
        <v>100</v>
      </c>
      <c r="V29" s="711" t="s">
        <v>14</v>
      </c>
      <c r="W29" s="712">
        <f t="shared" si="14"/>
        <v>100</v>
      </c>
      <c r="X29" s="1537"/>
      <c r="Y29" s="3337" t="s">
        <v>2361</v>
      </c>
      <c r="Z29" s="1538" t="str">
        <f t="shared" si="15"/>
        <v>建筑类型</v>
      </c>
      <c r="AA29" s="1535">
        <f t="shared" si="3"/>
        <v>1</v>
      </c>
      <c r="AB29" s="1535">
        <f t="shared" si="4"/>
        <v>1</v>
      </c>
      <c r="AC29" s="1535">
        <f t="shared" si="5"/>
        <v>1</v>
      </c>
    </row>
    <row r="30" spans="1:29" s="427" customFormat="1" ht="15">
      <c r="A30" s="424"/>
      <c r="B30" s="378" t="s">
        <v>2362</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37"/>
      <c r="Q30" s="713" t="str">
        <f t="shared" si="11"/>
        <v>项目建筑规模</v>
      </c>
      <c r="R30" s="714" t="s">
        <v>14</v>
      </c>
      <c r="S30" s="715" t="e">
        <f t="shared" si="12"/>
        <v>#N/A</v>
      </c>
      <c r="T30" s="714" t="s">
        <v>14</v>
      </c>
      <c r="U30" s="715" t="e">
        <f t="shared" si="13"/>
        <v>#N/A</v>
      </c>
      <c r="V30" s="714" t="s">
        <v>14</v>
      </c>
      <c r="W30" s="715" t="e">
        <f t="shared" si="14"/>
        <v>#N/A</v>
      </c>
      <c r="X30" s="716"/>
      <c r="Y30" s="3337"/>
      <c r="Z30" s="717" t="str">
        <f t="shared" si="15"/>
        <v>项目建筑规模</v>
      </c>
      <c r="AA30" s="1535" t="e">
        <f t="shared" si="3"/>
        <v>#N/A</v>
      </c>
      <c r="AB30" s="1535" t="e">
        <f t="shared" si="4"/>
        <v>#N/A</v>
      </c>
      <c r="AC30" s="1535" t="e">
        <f t="shared" si="5"/>
        <v>#N/A</v>
      </c>
    </row>
    <row r="31" spans="1:29" ht="15">
      <c r="A31" s="428"/>
      <c r="B31" s="378" t="s">
        <v>2363</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37"/>
      <c r="Q31" s="1534" t="str">
        <f t="shared" si="11"/>
        <v>建筑结构</v>
      </c>
      <c r="R31" s="711" t="s">
        <v>14</v>
      </c>
      <c r="S31" s="712">
        <f t="shared" si="12"/>
        <v>100</v>
      </c>
      <c r="T31" s="711" t="s">
        <v>14</v>
      </c>
      <c r="U31" s="712">
        <f t="shared" si="13"/>
        <v>100</v>
      </c>
      <c r="V31" s="711" t="s">
        <v>14</v>
      </c>
      <c r="W31" s="712">
        <f t="shared" si="14"/>
        <v>100</v>
      </c>
      <c r="X31" s="1537"/>
      <c r="Y31" s="3337"/>
      <c r="Z31" s="1538" t="str">
        <f t="shared" si="15"/>
        <v>建筑结构</v>
      </c>
      <c r="AA31" s="1535">
        <f t="shared" si="3"/>
        <v>1</v>
      </c>
      <c r="AB31" s="1535">
        <f t="shared" si="4"/>
        <v>1</v>
      </c>
      <c r="AC31" s="1535">
        <f t="shared" si="5"/>
        <v>1</v>
      </c>
    </row>
    <row r="32" spans="1:29" ht="15">
      <c r="A32" s="428"/>
      <c r="B32" s="378" t="s">
        <v>2457</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37"/>
      <c r="Q32" s="1534" t="str">
        <f t="shared" si="11"/>
        <v>公共部分装修</v>
      </c>
      <c r="R32" s="711" t="s">
        <v>14</v>
      </c>
      <c r="S32" s="712">
        <f t="shared" si="12"/>
        <v>100</v>
      </c>
      <c r="T32" s="711" t="s">
        <v>14</v>
      </c>
      <c r="U32" s="712">
        <f t="shared" si="13"/>
        <v>100</v>
      </c>
      <c r="V32" s="711" t="s">
        <v>14</v>
      </c>
      <c r="W32" s="712">
        <f t="shared" si="14"/>
        <v>100</v>
      </c>
      <c r="X32" s="1537"/>
      <c r="Y32" s="3337"/>
      <c r="Z32" s="1538" t="str">
        <f t="shared" si="15"/>
        <v>公共部分装修</v>
      </c>
      <c r="AA32" s="1535">
        <f t="shared" si="3"/>
        <v>1</v>
      </c>
      <c r="AB32" s="1535">
        <f t="shared" si="4"/>
        <v>1</v>
      </c>
      <c r="AC32" s="1535">
        <f t="shared" si="5"/>
        <v>1</v>
      </c>
    </row>
    <row r="33" spans="1:29" ht="15">
      <c r="A33" s="428"/>
      <c r="B33" s="378" t="s">
        <v>2458</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37"/>
      <c r="Q33" s="1534" t="str">
        <f t="shared" si="11"/>
        <v>成新度</v>
      </c>
      <c r="R33" s="711" t="s">
        <v>14</v>
      </c>
      <c r="S33" s="712" t="e">
        <f t="shared" si="12"/>
        <v>#N/A</v>
      </c>
      <c r="T33" s="711" t="s">
        <v>14</v>
      </c>
      <c r="U33" s="712" t="e">
        <f t="shared" si="13"/>
        <v>#N/A</v>
      </c>
      <c r="V33" s="711" t="s">
        <v>14</v>
      </c>
      <c r="W33" s="712" t="e">
        <f t="shared" si="14"/>
        <v>#N/A</v>
      </c>
      <c r="X33" s="1537"/>
      <c r="Y33" s="3337"/>
      <c r="Z33" s="1538" t="str">
        <f t="shared" si="15"/>
        <v>成新度</v>
      </c>
      <c r="AA33" s="1535" t="e">
        <f t="shared" si="3"/>
        <v>#N/A</v>
      </c>
      <c r="AB33" s="1535" t="e">
        <f t="shared" si="4"/>
        <v>#N/A</v>
      </c>
      <c r="AC33" s="1535" t="e">
        <f t="shared" si="5"/>
        <v>#N/A</v>
      </c>
    </row>
    <row r="34" spans="1:29" s="110" customFormat="1" ht="15">
      <c r="A34" s="429"/>
      <c r="B34" s="378" t="s">
        <v>2491</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37"/>
      <c r="Q34" s="1525" t="str">
        <f t="shared" si="11"/>
        <v>物业管理</v>
      </c>
      <c r="R34" s="707" t="s">
        <v>14</v>
      </c>
      <c r="S34" s="708">
        <f t="shared" si="12"/>
        <v>100</v>
      </c>
      <c r="T34" s="707" t="s">
        <v>14</v>
      </c>
      <c r="U34" s="708">
        <f t="shared" si="13"/>
        <v>100</v>
      </c>
      <c r="V34" s="707" t="s">
        <v>14</v>
      </c>
      <c r="W34" s="708">
        <f t="shared" si="14"/>
        <v>100</v>
      </c>
      <c r="X34" s="709"/>
      <c r="Y34" s="3337"/>
      <c r="Z34" s="52" t="str">
        <f t="shared" si="15"/>
        <v>物业管理</v>
      </c>
      <c r="AA34" s="710">
        <f t="shared" si="3"/>
        <v>1</v>
      </c>
      <c r="AB34" s="710">
        <f t="shared" si="4"/>
        <v>1</v>
      </c>
      <c r="AC34" s="710">
        <f t="shared" si="5"/>
        <v>1</v>
      </c>
    </row>
    <row r="35" spans="1:29" ht="15">
      <c r="A35" s="428"/>
      <c r="B35" s="378" t="s">
        <v>2459</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37" t="s">
        <v>2361</v>
      </c>
      <c r="Q35" s="1534" t="str">
        <f t="shared" si="11"/>
        <v>市政基础设施</v>
      </c>
      <c r="R35" s="711" t="s">
        <v>14</v>
      </c>
      <c r="S35" s="712">
        <f t="shared" si="12"/>
        <v>100</v>
      </c>
      <c r="T35" s="711" t="s">
        <v>14</v>
      </c>
      <c r="U35" s="712">
        <f t="shared" si="13"/>
        <v>100</v>
      </c>
      <c r="V35" s="711" t="s">
        <v>14</v>
      </c>
      <c r="W35" s="712">
        <f t="shared" si="14"/>
        <v>100</v>
      </c>
      <c r="X35" s="1537"/>
      <c r="Y35" s="3337" t="s">
        <v>2361</v>
      </c>
      <c r="Z35" s="1538" t="str">
        <f t="shared" si="15"/>
        <v>市政基础设施</v>
      </c>
      <c r="AA35" s="1535">
        <f t="shared" si="3"/>
        <v>1</v>
      </c>
      <c r="AB35" s="1535">
        <f t="shared" si="4"/>
        <v>1</v>
      </c>
      <c r="AC35" s="1535">
        <f t="shared" si="5"/>
        <v>1</v>
      </c>
    </row>
    <row r="36" spans="1:29" ht="15">
      <c r="A36" s="428"/>
      <c r="B36" s="378" t="s">
        <v>2464</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37"/>
      <c r="Q36" s="1534" t="str">
        <f t="shared" si="11"/>
        <v>内部装修</v>
      </c>
      <c r="R36" s="711" t="s">
        <v>14</v>
      </c>
      <c r="S36" s="712">
        <f t="shared" si="12"/>
        <v>100</v>
      </c>
      <c r="T36" s="711" t="s">
        <v>14</v>
      </c>
      <c r="U36" s="712">
        <f t="shared" si="13"/>
        <v>100</v>
      </c>
      <c r="V36" s="711" t="s">
        <v>14</v>
      </c>
      <c r="W36" s="712">
        <f t="shared" si="14"/>
        <v>100</v>
      </c>
      <c r="X36" s="1537"/>
      <c r="Y36" s="3337"/>
      <c r="Z36" s="1538" t="str">
        <f t="shared" si="15"/>
        <v>内部装修</v>
      </c>
      <c r="AA36" s="1535">
        <f t="shared" si="3"/>
        <v>1</v>
      </c>
      <c r="AB36" s="1535">
        <f t="shared" si="4"/>
        <v>1</v>
      </c>
      <c r="AC36" s="1535">
        <f t="shared" si="5"/>
        <v>1</v>
      </c>
    </row>
    <row r="37" spans="1:29" ht="15">
      <c r="A37" s="428"/>
      <c r="B37" s="378" t="s">
        <v>2500</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37"/>
      <c r="Q37" s="1534" t="str">
        <f t="shared" si="11"/>
        <v>内部装修状况</v>
      </c>
      <c r="R37" s="711" t="s">
        <v>14</v>
      </c>
      <c r="S37" s="712">
        <f t="shared" si="12"/>
        <v>100</v>
      </c>
      <c r="T37" s="711" t="s">
        <v>14</v>
      </c>
      <c r="U37" s="712">
        <f t="shared" si="13"/>
        <v>100</v>
      </c>
      <c r="V37" s="711" t="s">
        <v>14</v>
      </c>
      <c r="W37" s="712">
        <f t="shared" si="14"/>
        <v>100</v>
      </c>
      <c r="X37" s="1537"/>
      <c r="Y37" s="3337"/>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37"/>
      <c r="Q38" s="713">
        <f t="shared" si="11"/>
        <v>111</v>
      </c>
      <c r="R38" s="714" t="s">
        <v>14</v>
      </c>
      <c r="S38" s="715">
        <f t="shared" si="12"/>
        <v>100</v>
      </c>
      <c r="T38" s="714" t="s">
        <v>14</v>
      </c>
      <c r="U38" s="715">
        <f t="shared" si="13"/>
        <v>100</v>
      </c>
      <c r="V38" s="714" t="s">
        <v>14</v>
      </c>
      <c r="W38" s="715">
        <f t="shared" si="14"/>
        <v>100</v>
      </c>
      <c r="X38" s="716"/>
      <c r="Y38" s="3337"/>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37"/>
      <c r="Q39" s="1534">
        <f t="shared" si="11"/>
        <v>111</v>
      </c>
      <c r="R39" s="711" t="s">
        <v>14</v>
      </c>
      <c r="S39" s="712">
        <f t="shared" si="12"/>
        <v>100</v>
      </c>
      <c r="T39" s="711" t="s">
        <v>14</v>
      </c>
      <c r="U39" s="712">
        <f t="shared" si="13"/>
        <v>100</v>
      </c>
      <c r="V39" s="711" t="s">
        <v>14</v>
      </c>
      <c r="W39" s="712">
        <f t="shared" si="14"/>
        <v>100</v>
      </c>
      <c r="X39" s="1537"/>
      <c r="Y39" s="3337"/>
      <c r="Z39" s="1538">
        <f t="shared" si="15"/>
        <v>111</v>
      </c>
      <c r="AA39" s="1535">
        <f t="shared" si="3"/>
        <v>1</v>
      </c>
      <c r="AB39" s="1535">
        <f t="shared" si="4"/>
        <v>1</v>
      </c>
      <c r="AC39" s="1535">
        <f t="shared" si="5"/>
        <v>1</v>
      </c>
    </row>
    <row r="40" spans="1:29" ht="15.75" thickBot="1">
      <c r="A40" s="434"/>
      <c r="B40" s="2078">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78"/>
      <c r="Q40" s="1534">
        <f t="shared" si="11"/>
        <v>111</v>
      </c>
      <c r="R40" s="711" t="s">
        <v>14</v>
      </c>
      <c r="S40" s="712">
        <f t="shared" si="12"/>
        <v>100</v>
      </c>
      <c r="T40" s="711" t="s">
        <v>14</v>
      </c>
      <c r="U40" s="712">
        <f t="shared" si="13"/>
        <v>100</v>
      </c>
      <c r="V40" s="711" t="s">
        <v>14</v>
      </c>
      <c r="W40" s="712">
        <f t="shared" si="14"/>
        <v>100</v>
      </c>
      <c r="X40" s="1537"/>
      <c r="Y40" s="3378"/>
      <c r="Z40" s="1538">
        <f t="shared" si="15"/>
        <v>111</v>
      </c>
      <c r="AA40" s="1535">
        <f t="shared" si="3"/>
        <v>1</v>
      </c>
      <c r="AB40" s="1535">
        <f t="shared" si="4"/>
        <v>1</v>
      </c>
      <c r="AC40" s="1535">
        <f t="shared" si="5"/>
        <v>1</v>
      </c>
    </row>
    <row r="41" spans="1:29" ht="15">
      <c r="A41" s="435" t="s">
        <v>2373</v>
      </c>
      <c r="B41" s="436"/>
      <c r="C41" s="1313" t="s">
        <v>0</v>
      </c>
      <c r="D41" s="1314"/>
      <c r="E41" s="1315"/>
      <c r="F41" s="1316"/>
      <c r="G41" s="1317"/>
      <c r="H41" s="1318"/>
      <c r="I41" s="1315"/>
      <c r="J41" s="1318"/>
      <c r="K41" s="720"/>
      <c r="L41" s="1054"/>
      <c r="M41" s="1055"/>
      <c r="N41" s="1042"/>
      <c r="O41" s="1055"/>
      <c r="P41" s="3319" t="str">
        <f>A41</f>
        <v>成交单价（元/平方米）</v>
      </c>
      <c r="Q41" s="3319"/>
      <c r="R41" s="3374">
        <f>E41</f>
        <v>0</v>
      </c>
      <c r="S41" s="3374"/>
      <c r="T41" s="3374">
        <f>G41</f>
        <v>0</v>
      </c>
      <c r="U41" s="3374"/>
      <c r="V41" s="3374">
        <f>I41</f>
        <v>0</v>
      </c>
      <c r="W41" s="3374"/>
      <c r="X41" s="696"/>
      <c r="Y41" s="718"/>
      <c r="Z41" s="696"/>
      <c r="AA41" s="696"/>
      <c r="AB41" s="696"/>
      <c r="AC41" s="696"/>
    </row>
    <row r="42" spans="1:29" ht="15.75" thickBot="1">
      <c r="A42" s="442" t="s">
        <v>2465</v>
      </c>
      <c r="B42" s="443"/>
      <c r="C42" s="1319" t="e">
        <f>R43</f>
        <v>#DIV/0!</v>
      </c>
      <c r="D42" s="2535" t="s">
        <v>2856</v>
      </c>
      <c r="E42" s="1320" t="e">
        <f>R42</f>
        <v>#DIV/0!</v>
      </c>
      <c r="F42" s="2536"/>
      <c r="G42" s="1319" t="e">
        <f>T42</f>
        <v>#DIV/0!</v>
      </c>
      <c r="H42" s="2536"/>
      <c r="I42" s="1320" t="e">
        <f>V42</f>
        <v>#DIV/0!</v>
      </c>
      <c r="J42" s="2536"/>
      <c r="K42" s="2538">
        <f>F42+H42+J42</f>
        <v>0</v>
      </c>
      <c r="L42" s="1054"/>
      <c r="M42" s="1055"/>
      <c r="N42" s="1042"/>
      <c r="O42" s="1055"/>
      <c r="P42" s="3319" t="str">
        <f>A42</f>
        <v>比较价值（元/平方米）</v>
      </c>
      <c r="Q42" s="3319"/>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696"/>
      <c r="Y42" s="696"/>
      <c r="Z42" s="696"/>
      <c r="AA42" s="696"/>
      <c r="AB42" s="696"/>
      <c r="AC42" s="696"/>
    </row>
    <row r="43" spans="1:29" ht="15.75" thickBot="1">
      <c r="A43" s="446" t="s">
        <v>2466</v>
      </c>
      <c r="B43" s="447"/>
      <c r="C43" s="1322" t="e">
        <f>R43</f>
        <v>#DIV/0!</v>
      </c>
      <c r="D43" s="1322"/>
      <c r="E43" s="1322"/>
      <c r="F43" s="1322"/>
      <c r="G43" s="1322"/>
      <c r="H43" s="1322"/>
      <c r="I43" s="1322"/>
      <c r="J43" s="1322"/>
      <c r="K43" s="721"/>
      <c r="L43" s="1054"/>
      <c r="M43" s="1055"/>
      <c r="N43" s="1055"/>
      <c r="O43" s="1055"/>
      <c r="P43" s="3339" t="str">
        <f>A43</f>
        <v>估价对象XX用房的比较价值（楼面单价，元/平方米）</v>
      </c>
      <c r="Q43" s="3340"/>
      <c r="R43" s="3373" t="e">
        <f>IF(F1="售价",ROUND(IF(D42="简单平均",AVERAGE(R42:V42),R42*F42+T42*H42+V42*J42),0),ROUND(IF(D42="简单平均",AVERAGE(R42:V42),R42*F42+T42*H42+V42*J42),1))</f>
        <v>#DIV/0!</v>
      </c>
      <c r="S43" s="3373"/>
      <c r="T43" s="3373"/>
      <c r="U43" s="3373"/>
      <c r="V43" s="3373"/>
      <c r="W43" s="3373"/>
      <c r="X43" s="696"/>
      <c r="Y43" s="696"/>
      <c r="Z43" s="696"/>
      <c r="AA43" s="696"/>
      <c r="AB43" s="696"/>
      <c r="AC43" s="696"/>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1" t="s">
        <v>2467</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1017"/>
      <c r="M46" s="1055"/>
      <c r="N46" s="1055"/>
      <c r="O46" s="1055"/>
    </row>
    <row r="47" spans="1:29" ht="13.5" customHeight="1">
      <c r="A47" s="2951"/>
      <c r="B47" s="2951"/>
      <c r="C47" s="451" t="s">
        <v>2468</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1017"/>
      <c r="M47" s="1055"/>
      <c r="N47" s="1055"/>
      <c r="O47" s="1055"/>
    </row>
    <row r="48" spans="1:29" s="456" customFormat="1" ht="13.5" customHeight="1">
      <c r="A48" s="2954"/>
      <c r="B48" s="2954"/>
      <c r="C48" s="451" t="s">
        <v>2469</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1058"/>
      <c r="M48" s="1056"/>
      <c r="N48" s="1056"/>
      <c r="O48" s="1056"/>
    </row>
    <row r="49" spans="1:17" s="456"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0" t="s">
        <v>2470</v>
      </c>
      <c r="B51" s="696"/>
      <c r="C51" s="701"/>
      <c r="D51" s="701"/>
      <c r="E51" s="701"/>
      <c r="F51" s="702"/>
      <c r="G51" s="702"/>
      <c r="H51" s="701"/>
      <c r="I51" s="701"/>
      <c r="J51" s="701"/>
      <c r="K51" s="1069"/>
      <c r="L51" s="1070"/>
      <c r="M51" s="1068"/>
      <c r="N51" s="1068"/>
      <c r="O51" s="1068"/>
      <c r="P51" s="457"/>
      <c r="Q51" s="458"/>
    </row>
    <row r="52" spans="1:17" s="462" customFormat="1" ht="15">
      <c r="A52" s="459" t="s">
        <v>2344</v>
      </c>
      <c r="B52" s="460"/>
      <c r="C52" s="1343" t="str">
        <f>YEAR(C7)&amp;"-"&amp;MONTH(C7)</f>
        <v>2021-2</v>
      </c>
      <c r="D52" s="1344">
        <f>EDATE(C52,-1)</f>
        <v>44197</v>
      </c>
      <c r="E52" s="1344">
        <f t="shared" ref="E52:O52" si="16">EDATE(D52,-1)</f>
        <v>44166</v>
      </c>
      <c r="F52" s="1344">
        <f t="shared" si="16"/>
        <v>44136</v>
      </c>
      <c r="G52" s="1344">
        <f t="shared" si="16"/>
        <v>44105</v>
      </c>
      <c r="H52" s="1344">
        <f t="shared" si="16"/>
        <v>44075</v>
      </c>
      <c r="I52" s="1344">
        <f t="shared" si="16"/>
        <v>44044</v>
      </c>
      <c r="J52" s="1344">
        <f t="shared" si="16"/>
        <v>44013</v>
      </c>
      <c r="K52" s="1344">
        <f t="shared" si="16"/>
        <v>43983</v>
      </c>
      <c r="L52" s="1344">
        <f t="shared" si="16"/>
        <v>43952</v>
      </c>
      <c r="M52" s="1344">
        <f t="shared" si="16"/>
        <v>43922</v>
      </c>
      <c r="N52" s="1344">
        <f t="shared" si="16"/>
        <v>43891</v>
      </c>
      <c r="O52" s="1344">
        <f t="shared" si="16"/>
        <v>43862</v>
      </c>
      <c r="P52" s="461"/>
    </row>
    <row r="53" spans="1:17" s="110" customFormat="1" ht="15">
      <c r="A53" s="463"/>
      <c r="B53" s="464"/>
      <c r="C53" s="1342">
        <v>100</v>
      </c>
      <c r="D53" s="466"/>
      <c r="E53" s="466"/>
      <c r="F53" s="466"/>
      <c r="G53" s="466"/>
      <c r="H53" s="466"/>
      <c r="I53" s="466"/>
      <c r="J53" s="466"/>
      <c r="K53" s="466"/>
      <c r="L53" s="466"/>
      <c r="M53" s="467"/>
      <c r="N53" s="466"/>
      <c r="O53" s="468"/>
      <c r="P53" s="458"/>
    </row>
    <row r="54" spans="1:17" s="110" customFormat="1" ht="15.75" thickBot="1">
      <c r="A54" s="469" t="s">
        <v>2381</v>
      </c>
      <c r="B54" s="470"/>
      <c r="C54" s="471"/>
      <c r="D54" s="472"/>
      <c r="E54" s="472"/>
      <c r="F54" s="472"/>
      <c r="G54" s="472"/>
      <c r="H54" s="472"/>
      <c r="I54" s="472"/>
      <c r="J54" s="472"/>
      <c r="K54" s="472"/>
      <c r="L54" s="472"/>
      <c r="M54" s="473"/>
      <c r="N54" s="2996"/>
      <c r="O54" s="2997"/>
      <c r="P54" s="458"/>
      <c r="Q54" s="458"/>
    </row>
    <row r="55" spans="1:17" s="110" customFormat="1" ht="15">
      <c r="A55" s="475" t="s">
        <v>2346</v>
      </c>
      <c r="B55" s="464"/>
      <c r="C55" s="476" t="s">
        <v>2448</v>
      </c>
      <c r="D55" s="477"/>
      <c r="E55" s="477"/>
      <c r="F55" s="477"/>
      <c r="G55" s="477"/>
      <c r="H55" s="477"/>
      <c r="I55" s="477"/>
      <c r="J55" s="477"/>
      <c r="K55" s="477"/>
      <c r="L55" s="478"/>
      <c r="M55" s="479"/>
      <c r="N55" s="1060"/>
      <c r="O55" s="1060"/>
      <c r="P55" s="480"/>
      <c r="Q55" s="458"/>
    </row>
    <row r="56" spans="1:17" s="110"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2384</v>
      </c>
      <c r="B57" s="482" t="s">
        <v>2350</v>
      </c>
      <c r="C57" s="483">
        <f>C9</f>
        <v>0</v>
      </c>
      <c r="D57" s="484"/>
      <c r="E57" s="484"/>
      <c r="F57" s="484"/>
      <c r="G57" s="484"/>
      <c r="H57" s="484"/>
      <c r="I57" s="484"/>
      <c r="J57" s="484"/>
      <c r="K57" s="485"/>
      <c r="L57" s="486"/>
      <c r="M57" s="487"/>
      <c r="N57" s="1061"/>
      <c r="O57" s="1061"/>
      <c r="P57" s="42"/>
      <c r="Q57" s="458"/>
    </row>
    <row r="58" spans="1:17" ht="15.75" thickBot="1">
      <c r="A58" s="488"/>
      <c r="B58" s="489"/>
      <c r="C58" s="490">
        <v>100</v>
      </c>
      <c r="D58" s="490"/>
      <c r="E58" s="490"/>
      <c r="F58" s="490"/>
      <c r="G58" s="490"/>
      <c r="H58" s="490"/>
      <c r="I58" s="490"/>
      <c r="J58" s="490"/>
      <c r="K58" s="490"/>
      <c r="L58" s="490"/>
      <c r="M58" s="491"/>
      <c r="N58" s="1062"/>
      <c r="O58" s="1062"/>
      <c r="P58" s="42"/>
      <c r="Q58" s="458"/>
    </row>
    <row r="59" spans="1:17" ht="27.75" thickTop="1">
      <c r="A59" s="488"/>
      <c r="B59" s="492" t="s">
        <v>2353</v>
      </c>
      <c r="C59" s="493" t="s">
        <v>2385</v>
      </c>
      <c r="D59" s="493" t="s">
        <v>2386</v>
      </c>
      <c r="E59" s="493" t="s">
        <v>2387</v>
      </c>
      <c r="F59" s="493" t="s">
        <v>2388</v>
      </c>
      <c r="G59" s="493" t="s">
        <v>2389</v>
      </c>
      <c r="H59" s="493" t="s">
        <v>2390</v>
      </c>
      <c r="I59" s="493" t="s">
        <v>2391</v>
      </c>
      <c r="J59" s="493"/>
      <c r="K59" s="494"/>
      <c r="L59" s="495"/>
      <c r="M59" s="496"/>
      <c r="N59" s="1061"/>
      <c r="O59" s="1061"/>
      <c r="P59" s="42"/>
      <c r="Q59" s="458"/>
    </row>
    <row r="60" spans="1:17" ht="15.75" thickBot="1">
      <c r="A60" s="488"/>
      <c r="B60" s="497"/>
      <c r="C60" s="498" t="s">
        <v>21</v>
      </c>
      <c r="D60" s="498" t="s">
        <v>22</v>
      </c>
      <c r="E60" s="498">
        <v>100</v>
      </c>
      <c r="F60" s="498">
        <f>E60-$K10</f>
        <v>100</v>
      </c>
      <c r="G60" s="498">
        <f>F60-$K10</f>
        <v>100</v>
      </c>
      <c r="H60" s="498">
        <f>G60-$K10</f>
        <v>100</v>
      </c>
      <c r="I60" s="498">
        <f>H60-$K10</f>
        <v>100</v>
      </c>
      <c r="J60" s="498"/>
      <c r="K60" s="498"/>
      <c r="L60" s="498"/>
      <c r="M60" s="499"/>
      <c r="N60" s="1062"/>
      <c r="O60" s="1062"/>
      <c r="P60" s="42"/>
      <c r="Q60" s="458"/>
    </row>
    <row r="61" spans="1:17" ht="15.75" thickTop="1">
      <c r="A61" s="488"/>
      <c r="B61" s="500" t="s">
        <v>2354</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2"/>
      <c r="Q61" s="458"/>
    </row>
    <row r="62" spans="1:17" ht="15">
      <c r="A62" s="488"/>
      <c r="B62" s="502"/>
      <c r="C62" s="503"/>
      <c r="D62" s="503"/>
      <c r="E62" s="503"/>
      <c r="F62" s="503"/>
      <c r="G62" s="503"/>
      <c r="H62" s="503"/>
      <c r="I62" s="503"/>
      <c r="J62" s="503"/>
      <c r="K62" s="504"/>
      <c r="L62" s="505"/>
      <c r="M62" s="506"/>
      <c r="N62" s="1061"/>
      <c r="O62" s="1061"/>
      <c r="P62" s="42"/>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2"/>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2355</v>
      </c>
      <c r="B70" s="482" t="s">
        <v>2501</v>
      </c>
      <c r="C70" s="527" t="s">
        <v>2393</v>
      </c>
      <c r="D70" s="527" t="s">
        <v>2394</v>
      </c>
      <c r="E70" s="527" t="s">
        <v>2395</v>
      </c>
      <c r="F70" s="527" t="s">
        <v>2396</v>
      </c>
      <c r="G70" s="527" t="s">
        <v>2397</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2"/>
      <c r="Q71" s="458"/>
    </row>
    <row r="72" spans="1:17" ht="15.75" thickTop="1">
      <c r="A72" s="488"/>
      <c r="B72" s="492" t="s">
        <v>2398</v>
      </c>
      <c r="C72" s="532" t="s">
        <v>2393</v>
      </c>
      <c r="D72" s="532" t="s">
        <v>2394</v>
      </c>
      <c r="E72" s="532" t="s">
        <v>2395</v>
      </c>
      <c r="F72" s="532" t="s">
        <v>2396</v>
      </c>
      <c r="G72" s="532" t="s">
        <v>2397</v>
      </c>
      <c r="H72" s="493"/>
      <c r="I72" s="493"/>
      <c r="J72" s="493"/>
      <c r="K72" s="494"/>
      <c r="L72" s="495"/>
      <c r="M72" s="496"/>
      <c r="N72" s="1061"/>
      <c r="O72" s="1061"/>
      <c r="P72" s="42"/>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2"/>
      <c r="Q73" s="458"/>
    </row>
    <row r="74" spans="1:17" ht="15.75" thickTop="1">
      <c r="A74" s="488"/>
      <c r="B74" s="492" t="s">
        <v>2399</v>
      </c>
      <c r="C74" s="532" t="s">
        <v>2393</v>
      </c>
      <c r="D74" s="532" t="s">
        <v>2394</v>
      </c>
      <c r="E74" s="532" t="s">
        <v>2395</v>
      </c>
      <c r="F74" s="532" t="s">
        <v>2396</v>
      </c>
      <c r="G74" s="532" t="s">
        <v>2397</v>
      </c>
      <c r="H74" s="493"/>
      <c r="I74" s="493"/>
      <c r="J74" s="493"/>
      <c r="K74" s="494"/>
      <c r="L74" s="495"/>
      <c r="M74" s="496"/>
      <c r="N74" s="1061"/>
      <c r="O74" s="1061"/>
      <c r="P74" s="42"/>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2"/>
      <c r="Q75" s="458"/>
    </row>
    <row r="76" spans="1:17" ht="15.75" thickTop="1">
      <c r="A76" s="488"/>
      <c r="B76" s="500" t="s">
        <v>2485</v>
      </c>
      <c r="C76" s="613" t="s">
        <v>2471</v>
      </c>
      <c r="D76" s="613" t="s">
        <v>2472</v>
      </c>
      <c r="E76" s="613" t="s">
        <v>2473</v>
      </c>
      <c r="F76" s="613" t="s">
        <v>2474</v>
      </c>
      <c r="G76" s="613" t="s">
        <v>2475</v>
      </c>
      <c r="H76" s="493"/>
      <c r="I76" s="493"/>
      <c r="J76" s="493"/>
      <c r="K76" s="493"/>
      <c r="L76" s="493"/>
      <c r="M76" s="1288"/>
      <c r="N76" s="1062"/>
      <c r="O76" s="1062"/>
      <c r="P76" s="42"/>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2"/>
      <c r="Q77" s="458"/>
    </row>
    <row r="78" spans="1:17" ht="15.75" thickTop="1">
      <c r="A78" s="488"/>
      <c r="B78" s="492" t="s">
        <v>2494</v>
      </c>
      <c r="C78" s="532" t="s">
        <v>2393</v>
      </c>
      <c r="D78" s="532" t="s">
        <v>2394</v>
      </c>
      <c r="E78" s="532" t="s">
        <v>2395</v>
      </c>
      <c r="F78" s="532" t="s">
        <v>2396</v>
      </c>
      <c r="G78" s="532" t="s">
        <v>2397</v>
      </c>
      <c r="H78" s="493"/>
      <c r="I78" s="493"/>
      <c r="J78" s="493"/>
      <c r="K78" s="494"/>
      <c r="L78" s="495"/>
      <c r="M78" s="496"/>
      <c r="N78" s="1061"/>
      <c r="O78" s="1061"/>
      <c r="P78" s="42"/>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2"/>
      <c r="Q79" s="458"/>
    </row>
    <row r="80" spans="1:17" s="110" customFormat="1" ht="15.75" thickTop="1">
      <c r="A80" s="533"/>
      <c r="B80" s="492">
        <f>B25</f>
        <v>111</v>
      </c>
      <c r="C80" s="508"/>
      <c r="D80" s="508"/>
      <c r="E80" s="508"/>
      <c r="F80" s="508"/>
      <c r="G80" s="508"/>
      <c r="H80" s="508"/>
      <c r="I80" s="508"/>
      <c r="J80" s="508"/>
      <c r="K80" s="508"/>
      <c r="L80" s="534"/>
      <c r="M80" s="535"/>
      <c r="N80" s="1060"/>
      <c r="O80" s="1060"/>
      <c r="P80" s="42"/>
      <c r="Q80" s="458"/>
    </row>
    <row r="81" spans="1:17" s="110" customFormat="1" ht="15.75" thickBot="1">
      <c r="A81" s="533"/>
      <c r="B81" s="497"/>
      <c r="C81" s="514"/>
      <c r="D81" s="490"/>
      <c r="E81" s="490"/>
      <c r="F81" s="490"/>
      <c r="G81" s="490"/>
      <c r="H81" s="490"/>
      <c r="I81" s="490"/>
      <c r="J81" s="490"/>
      <c r="K81" s="490"/>
      <c r="L81" s="490"/>
      <c r="M81" s="491"/>
      <c r="N81" s="1062"/>
      <c r="O81" s="1062"/>
      <c r="P81" s="42"/>
      <c r="Q81" s="458"/>
    </row>
    <row r="82" spans="1:17" s="110" customFormat="1" ht="15.75" thickTop="1">
      <c r="A82" s="533"/>
      <c r="B82" s="492">
        <f>B26</f>
        <v>111</v>
      </c>
      <c r="C82" s="508"/>
      <c r="D82" s="508"/>
      <c r="E82" s="508"/>
      <c r="F82" s="508"/>
      <c r="G82" s="508"/>
      <c r="H82" s="508"/>
      <c r="I82" s="508"/>
      <c r="J82" s="508"/>
      <c r="K82" s="508"/>
      <c r="L82" s="534"/>
      <c r="M82" s="535"/>
      <c r="N82" s="1060"/>
      <c r="O82" s="1060"/>
      <c r="P82" s="42"/>
      <c r="Q82" s="458"/>
    </row>
    <row r="83" spans="1:17" s="110" customFormat="1" ht="15.75" thickBot="1">
      <c r="A83" s="533"/>
      <c r="B83" s="497"/>
      <c r="C83" s="514"/>
      <c r="D83" s="490"/>
      <c r="E83" s="490"/>
      <c r="F83" s="490"/>
      <c r="G83" s="490"/>
      <c r="H83" s="490"/>
      <c r="I83" s="490"/>
      <c r="J83" s="490"/>
      <c r="K83" s="490"/>
      <c r="L83" s="490"/>
      <c r="M83" s="491"/>
      <c r="N83" s="1062"/>
      <c r="O83" s="1062"/>
      <c r="P83" s="42"/>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2"/>
      <c r="Q86" s="458"/>
    </row>
    <row r="87" spans="1:17" ht="15.75" thickBot="1">
      <c r="A87" s="2111"/>
      <c r="B87" s="523"/>
      <c r="C87" s="524"/>
      <c r="D87" s="524"/>
      <c r="E87" s="524"/>
      <c r="F87" s="524"/>
      <c r="G87" s="545"/>
      <c r="H87" s="545"/>
      <c r="I87" s="545"/>
      <c r="J87" s="545"/>
      <c r="K87" s="545"/>
      <c r="L87" s="545"/>
      <c r="M87" s="546"/>
      <c r="N87" s="1062"/>
      <c r="O87" s="1062"/>
      <c r="P87" s="42"/>
      <c r="Q87" s="458"/>
    </row>
    <row r="88" spans="1:17">
      <c r="A88" s="481" t="s">
        <v>2359</v>
      </c>
      <c r="B88" s="482" t="s">
        <v>2408</v>
      </c>
      <c r="C88" s="484"/>
      <c r="D88" s="484"/>
      <c r="E88" s="484"/>
      <c r="F88" s="484"/>
      <c r="G88" s="484"/>
      <c r="H88" s="484"/>
      <c r="I88" s="484"/>
      <c r="J88" s="484"/>
      <c r="K88" s="485"/>
      <c r="L88" s="486"/>
      <c r="M88" s="487"/>
      <c r="N88" s="1061"/>
      <c r="O88" s="1061"/>
      <c r="P88" s="42"/>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2"/>
      <c r="Q89" s="458"/>
    </row>
    <row r="90" spans="1:17" ht="15.75" thickTop="1">
      <c r="A90" s="488"/>
      <c r="B90" s="492" t="s">
        <v>2409</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2"/>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2410</v>
      </c>
      <c r="C93" s="508"/>
      <c r="D93" s="508"/>
      <c r="E93" s="537"/>
      <c r="F93" s="537"/>
      <c r="G93" s="537"/>
      <c r="H93" s="537"/>
      <c r="I93" s="537"/>
      <c r="J93" s="537"/>
      <c r="K93" s="538"/>
      <c r="L93" s="539"/>
      <c r="M93" s="540"/>
      <c r="N93" s="1061"/>
      <c r="O93" s="1061"/>
      <c r="P93" s="42"/>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2"/>
      <c r="Q94" s="458"/>
    </row>
    <row r="95" spans="1:17" ht="15" thickTop="1">
      <c r="A95" s="553"/>
      <c r="B95" s="492" t="s">
        <v>2412</v>
      </c>
      <c r="C95" s="508"/>
      <c r="D95" s="508"/>
      <c r="E95" s="508"/>
      <c r="F95" s="537"/>
      <c r="G95" s="537"/>
      <c r="H95" s="537"/>
      <c r="I95" s="537"/>
      <c r="J95" s="537"/>
      <c r="K95" s="538"/>
      <c r="L95" s="539"/>
      <c r="M95" s="540"/>
      <c r="N95" s="1061"/>
      <c r="O95" s="1061"/>
      <c r="P95" s="42"/>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2"/>
      <c r="Q96" s="458"/>
    </row>
    <row r="97" spans="1:17" ht="15" thickTop="1">
      <c r="A97" s="553"/>
      <c r="B97" s="492" t="s">
        <v>1854</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2"/>
      <c r="Q97" s="458"/>
    </row>
    <row r="98" spans="1:17">
      <c r="A98" s="553"/>
      <c r="B98" s="500"/>
      <c r="C98" s="557">
        <v>0.5</v>
      </c>
      <c r="D98" s="557">
        <v>0.6</v>
      </c>
      <c r="E98" s="557">
        <v>0.7</v>
      </c>
      <c r="F98" s="557">
        <v>0.8</v>
      </c>
      <c r="G98" s="557">
        <v>0.9</v>
      </c>
      <c r="H98" s="557">
        <v>1.0001</v>
      </c>
      <c r="I98" s="576"/>
      <c r="J98" s="576"/>
      <c r="K98" s="577"/>
      <c r="L98" s="578"/>
      <c r="M98" s="579"/>
      <c r="N98" s="1061"/>
      <c r="O98" s="1061"/>
      <c r="P98" s="42"/>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2"/>
      <c r="Q99" s="458"/>
    </row>
    <row r="100" spans="1:17" s="427" customFormat="1" ht="15" thickTop="1">
      <c r="A100" s="547"/>
      <c r="B100" s="492" t="s">
        <v>2413</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2414</v>
      </c>
      <c r="C102" s="508"/>
      <c r="D102" s="508"/>
      <c r="E102" s="508"/>
      <c r="F102" s="508"/>
      <c r="G102" s="508"/>
      <c r="H102" s="537"/>
      <c r="I102" s="537"/>
      <c r="J102" s="537"/>
      <c r="K102" s="538"/>
      <c r="L102" s="539"/>
      <c r="M102" s="540"/>
      <c r="N102" s="1061"/>
      <c r="O102" s="1061"/>
      <c r="P102" s="42"/>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2"/>
      <c r="Q103" s="458"/>
    </row>
    <row r="104" spans="1:17" ht="15" thickTop="1">
      <c r="A104" s="553"/>
      <c r="B104" s="492" t="s">
        <v>2416</v>
      </c>
      <c r="C104" s="508"/>
      <c r="D104" s="508"/>
      <c r="E104" s="508"/>
      <c r="F104" s="508"/>
      <c r="G104" s="508"/>
      <c r="H104" s="537"/>
      <c r="I104" s="537"/>
      <c r="J104" s="537"/>
      <c r="K104" s="538"/>
      <c r="L104" s="539"/>
      <c r="M104" s="540"/>
      <c r="N104" s="1061"/>
      <c r="O104" s="1061"/>
      <c r="P104" s="42"/>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2"/>
      <c r="Q105" s="458"/>
    </row>
    <row r="106" spans="1:17" ht="15" thickTop="1">
      <c r="A106" s="553"/>
      <c r="B106" s="589" t="s">
        <v>2502</v>
      </c>
      <c r="C106" s="532" t="s">
        <v>2393</v>
      </c>
      <c r="D106" s="532" t="s">
        <v>2394</v>
      </c>
      <c r="E106" s="532" t="s">
        <v>2395</v>
      </c>
      <c r="F106" s="532" t="s">
        <v>2396</v>
      </c>
      <c r="G106" s="532" t="s">
        <v>2397</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2"/>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2"/>
      <c r="Q110" s="458"/>
    </row>
    <row r="111" spans="1:17" ht="15.75" thickBot="1">
      <c r="A111" s="488"/>
      <c r="B111" s="497"/>
      <c r="C111" s="514"/>
      <c r="D111" s="490"/>
      <c r="E111" s="490"/>
      <c r="F111" s="490"/>
      <c r="G111" s="514"/>
      <c r="H111" s="516"/>
      <c r="I111" s="516"/>
      <c r="J111" s="516"/>
      <c r="K111" s="516"/>
      <c r="L111" s="516"/>
      <c r="M111" s="517"/>
      <c r="N111" s="1062"/>
      <c r="O111" s="1062"/>
      <c r="P111" s="42"/>
      <c r="Q111" s="458"/>
    </row>
    <row r="112" spans="1:17" ht="15" thickTop="1">
      <c r="A112" s="553"/>
      <c r="B112" s="500">
        <f>B40</f>
        <v>111</v>
      </c>
      <c r="C112" s="477"/>
      <c r="D112" s="477"/>
      <c r="E112" s="477"/>
      <c r="F112" s="477"/>
      <c r="G112" s="541"/>
      <c r="H112" s="541"/>
      <c r="I112" s="541"/>
      <c r="J112" s="541"/>
      <c r="K112" s="477"/>
      <c r="L112" s="478"/>
      <c r="M112" s="544"/>
      <c r="N112" s="1061"/>
      <c r="O112" s="1061"/>
      <c r="P112" s="42"/>
      <c r="Q112" s="458"/>
    </row>
    <row r="113" spans="1:17" ht="15.75" thickBot="1">
      <c r="A113" s="2111"/>
      <c r="B113" s="523"/>
      <c r="C113" s="524"/>
      <c r="D113" s="524"/>
      <c r="E113" s="524"/>
      <c r="F113" s="524"/>
      <c r="G113" s="545"/>
      <c r="H113" s="545"/>
      <c r="I113" s="545"/>
      <c r="J113" s="545"/>
      <c r="K113" s="545"/>
      <c r="L113" s="545"/>
      <c r="M113" s="546"/>
      <c r="N113" s="1062"/>
      <c r="O113" s="1062"/>
      <c r="P113" s="42"/>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0" customWidth="1"/>
    <col min="2" max="2" width="15.875" style="360" customWidth="1"/>
    <col min="3" max="3" width="14.375" style="360" customWidth="1"/>
    <col min="4" max="4" width="12.125" style="360" customWidth="1"/>
    <col min="5" max="5" width="14.375" style="360" customWidth="1"/>
    <col min="6" max="6" width="12.125" style="360" customWidth="1"/>
    <col min="7" max="7" width="14.5" style="360" customWidth="1"/>
    <col min="8" max="8" width="12.125" style="360" customWidth="1"/>
    <col min="9" max="9" width="15.5" style="360" customWidth="1"/>
    <col min="10" max="10" width="12.125" style="360" customWidth="1"/>
    <col min="11" max="11" width="12.125" style="449" customWidth="1"/>
    <col min="12" max="12" width="12.125" style="450" customWidth="1"/>
    <col min="13" max="15" width="12.125" style="360" customWidth="1"/>
    <col min="16" max="16" width="4.875" style="1034"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1398" customFormat="1" ht="28.5" customHeight="1" thickBot="1">
      <c r="A1" s="1387" t="s">
        <v>2503</v>
      </c>
      <c r="B1" s="1388"/>
      <c r="C1" s="1389" t="s">
        <v>2326</v>
      </c>
      <c r="D1" s="1390"/>
      <c r="E1" s="1391"/>
      <c r="F1" s="2062"/>
      <c r="G1" s="1392" t="s">
        <v>2439</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2126</v>
      </c>
      <c r="B2" s="1323" t="e">
        <f ca="1">IF(C2="——",IF(B37="元/平方米",ROUND(C39*D3/10000,0),ROUND(F3*C39/10000,0)),IF(B37="元/平方米",ROUND(C39*D3/10000,0),ROUND(F3*C39/10000,0))-D2)</f>
        <v>#DIV/0!</v>
      </c>
      <c r="C2" s="2064"/>
      <c r="D2" s="1035" t="e">
        <f ca="1">SUMIF(INDIRECT("'"&amp;F2&amp;"'"&amp;"!A:A"),"承租人权益价值",INDIRECT("'"&amp;F2&amp;"'"&amp;"!c:c"))</f>
        <v>#REF!</v>
      </c>
      <c r="E2" s="2065" t="s">
        <v>2127</v>
      </c>
      <c r="F2" s="2066"/>
      <c r="G2" s="1036"/>
      <c r="H2" s="1036"/>
      <c r="I2" s="1036"/>
      <c r="J2" s="1036"/>
      <c r="K2" s="1038"/>
      <c r="L2" s="2960"/>
      <c r="M2" s="2961"/>
      <c r="N2" s="2961"/>
      <c r="O2" s="2961"/>
      <c r="P2" s="1324"/>
      <c r="Q2" s="705"/>
      <c r="R2" s="705"/>
      <c r="S2" s="705"/>
      <c r="T2" s="705"/>
      <c r="U2" s="705"/>
      <c r="V2" s="705"/>
      <c r="W2" s="705"/>
      <c r="X2" s="705"/>
      <c r="Y2" s="705"/>
      <c r="Z2" s="705"/>
      <c r="AA2" s="705"/>
      <c r="AB2" s="705"/>
      <c r="AC2" s="706"/>
    </row>
    <row r="3" spans="1:29" s="355" customFormat="1" ht="28.5" customHeight="1" thickBot="1">
      <c r="A3" s="206" t="s">
        <v>2128</v>
      </c>
      <c r="B3" s="563" t="e">
        <f ca="1">IF(AND(C2="——",B37="元/平方米"),C39,ROUND(B2*10000/D3,0))</f>
        <v>#DIV/0!</v>
      </c>
      <c r="C3" s="357" t="s">
        <v>2440</v>
      </c>
      <c r="D3" s="356">
        <f>SUMIF('数据-汇总表'!$C19:$C33,D1,'数据-汇总表'!$E19:$E33)</f>
        <v>0</v>
      </c>
      <c r="E3" s="357" t="s">
        <v>2504</v>
      </c>
      <c r="F3" s="356">
        <f>SUMIF('数据-取费表'!A5:A15,D1,'数据-取费表'!AH5:AH15)</f>
        <v>0</v>
      </c>
      <c r="G3" s="1036"/>
      <c r="H3" s="1036"/>
      <c r="I3" s="1036"/>
      <c r="J3" s="1036"/>
      <c r="K3" s="1038"/>
      <c r="L3" s="2960"/>
      <c r="M3" s="2961"/>
      <c r="N3" s="2961"/>
      <c r="O3" s="2961"/>
      <c r="P3" s="1324"/>
      <c r="Q3" s="705"/>
      <c r="R3" s="705"/>
      <c r="S3" s="705"/>
      <c r="T3" s="705"/>
      <c r="U3" s="705"/>
      <c r="V3" s="705"/>
      <c r="W3" s="705"/>
      <c r="X3" s="705"/>
      <c r="Y3" s="705"/>
      <c r="Z3" s="705"/>
      <c r="AA3" s="705"/>
      <c r="AB3" s="722"/>
      <c r="AC3" s="719"/>
    </row>
    <row r="4" spans="1:29" ht="15">
      <c r="A4" s="358" t="s">
        <v>2441</v>
      </c>
      <c r="B4" s="359"/>
      <c r="C4" s="3320" t="s">
        <v>2442</v>
      </c>
      <c r="D4" s="3321"/>
      <c r="E4" s="3322" t="s">
        <v>2443</v>
      </c>
      <c r="F4" s="3323"/>
      <c r="G4" s="3320" t="s">
        <v>2444</v>
      </c>
      <c r="H4" s="3321"/>
      <c r="I4" s="3320" t="s">
        <v>2445</v>
      </c>
      <c r="J4" s="3321"/>
      <c r="K4" s="564" t="s">
        <v>2446</v>
      </c>
      <c r="L4" s="2941"/>
      <c r="M4" s="2942"/>
      <c r="N4" s="2942"/>
      <c r="O4" s="2942"/>
      <c r="P4" s="3324" t="s">
        <v>2447</v>
      </c>
      <c r="Q4" s="3325"/>
      <c r="R4" s="3307" t="s">
        <v>2443</v>
      </c>
      <c r="S4" s="3308"/>
      <c r="T4" s="3307" t="s">
        <v>2444</v>
      </c>
      <c r="U4" s="3308"/>
      <c r="V4" s="3332" t="s">
        <v>2445</v>
      </c>
      <c r="W4" s="3332"/>
      <c r="X4" s="1537"/>
      <c r="Y4" s="3307" t="s">
        <v>2447</v>
      </c>
      <c r="Z4" s="3308"/>
      <c r="AA4" s="3302" t="s">
        <v>2443</v>
      </c>
      <c r="AB4" s="3303" t="s">
        <v>2444</v>
      </c>
      <c r="AC4" s="3302" t="s">
        <v>2445</v>
      </c>
    </row>
    <row r="5" spans="1:29" ht="15">
      <c r="A5" s="361"/>
      <c r="B5" s="362"/>
      <c r="C5" s="3313" t="s">
        <v>2338</v>
      </c>
      <c r="D5" s="3314"/>
      <c r="E5" s="3311" t="s">
        <v>2339</v>
      </c>
      <c r="F5" s="3312"/>
      <c r="G5" s="3313" t="s">
        <v>2340</v>
      </c>
      <c r="H5" s="3314"/>
      <c r="I5" s="3313" t="s">
        <v>2341</v>
      </c>
      <c r="J5" s="3314"/>
      <c r="K5" s="564"/>
      <c r="L5" s="2941"/>
      <c r="M5" s="2942"/>
      <c r="N5" s="2942"/>
      <c r="O5" s="2942"/>
      <c r="P5" s="3326"/>
      <c r="Q5" s="3327"/>
      <c r="R5" s="3309"/>
      <c r="S5" s="3310"/>
      <c r="T5" s="3309"/>
      <c r="U5" s="3310"/>
      <c r="V5" s="3332"/>
      <c r="W5" s="3332"/>
      <c r="X5" s="1537"/>
      <c r="Y5" s="3309"/>
      <c r="Z5" s="3310"/>
      <c r="AA5" s="3303"/>
      <c r="AB5" s="3303"/>
      <c r="AC5" s="3303"/>
    </row>
    <row r="6" spans="1:29" ht="15.75" thickBot="1">
      <c r="A6" s="363"/>
      <c r="B6" s="364"/>
      <c r="C6" s="3315" t="s">
        <v>2342</v>
      </c>
      <c r="D6" s="3316"/>
      <c r="E6" s="3317" t="s">
        <v>2342</v>
      </c>
      <c r="F6" s="3318"/>
      <c r="G6" s="3315" t="s">
        <v>2342</v>
      </c>
      <c r="H6" s="3316"/>
      <c r="I6" s="3315" t="s">
        <v>2342</v>
      </c>
      <c r="J6" s="3316"/>
      <c r="K6" s="564" t="s">
        <v>2343</v>
      </c>
      <c r="L6" s="2941"/>
      <c r="M6" s="2942"/>
      <c r="N6" s="2942"/>
      <c r="O6" s="2942"/>
      <c r="P6" s="3328"/>
      <c r="Q6" s="3329"/>
      <c r="R6" s="3309"/>
      <c r="S6" s="3310"/>
      <c r="T6" s="3330"/>
      <c r="U6" s="3331"/>
      <c r="V6" s="3332"/>
      <c r="W6" s="3332"/>
      <c r="X6" s="1537"/>
      <c r="Y6" s="3330"/>
      <c r="Z6" s="3331"/>
      <c r="AA6" s="3304"/>
      <c r="AB6" s="3304"/>
      <c r="AC6" s="3304"/>
    </row>
    <row r="7" spans="1:29" s="110" customFormat="1" ht="15.75" thickBot="1">
      <c r="A7" s="365" t="s">
        <v>2344</v>
      </c>
      <c r="B7" s="366"/>
      <c r="C7" s="367">
        <f>'数据-取费表'!B2</f>
        <v>44236</v>
      </c>
      <c r="D7" s="368">
        <v>100</v>
      </c>
      <c r="E7" s="369"/>
      <c r="F7" s="370">
        <f>SUMIF(48:48,YEAR(E7)&amp;"-"&amp;MONTH(E7),49:49)</f>
        <v>0</v>
      </c>
      <c r="G7" s="369"/>
      <c r="H7" s="368">
        <f>SUMIF(48:48,YEAR(G7)&amp;"-"&amp;MONTH(G7),49:49)</f>
        <v>0</v>
      </c>
      <c r="I7" s="369"/>
      <c r="J7" s="368">
        <f>SUMIF(48:48,YEAR(I7)&amp;"-"&amp;MONTH(I7),49:49)</f>
        <v>0</v>
      </c>
      <c r="K7" s="565"/>
      <c r="L7" s="2943"/>
      <c r="M7" s="2944"/>
      <c r="N7" s="2944"/>
      <c r="O7" s="2944"/>
      <c r="P7" s="3305" t="s">
        <v>2345</v>
      </c>
      <c r="Q7" s="3333"/>
      <c r="R7" s="707" t="s">
        <v>14</v>
      </c>
      <c r="S7" s="708">
        <f t="shared" ref="S7:S14" si="0">F7</f>
        <v>0</v>
      </c>
      <c r="T7" s="707" t="s">
        <v>14</v>
      </c>
      <c r="U7" s="708">
        <f t="shared" ref="U7:U14" si="1">H7</f>
        <v>0</v>
      </c>
      <c r="V7" s="707" t="s">
        <v>14</v>
      </c>
      <c r="W7" s="708">
        <f t="shared" ref="W7:W14" si="2">J7</f>
        <v>0</v>
      </c>
      <c r="X7" s="709"/>
      <c r="Y7" s="3305" t="s">
        <v>2345</v>
      </c>
      <c r="Z7" s="3306"/>
      <c r="AA7" s="710" t="e">
        <f>D7/F7</f>
        <v>#DIV/0!</v>
      </c>
      <c r="AB7" s="710" t="e">
        <f>D7/H7</f>
        <v>#DIV/0!</v>
      </c>
      <c r="AC7" s="710" t="e">
        <f>D7/J7</f>
        <v>#DIV/0!</v>
      </c>
    </row>
    <row r="8" spans="1:29" s="110" customFormat="1" ht="15.75" thickBot="1">
      <c r="A8" s="365" t="s">
        <v>2346</v>
      </c>
      <c r="B8" s="366"/>
      <c r="C8" s="371" t="s">
        <v>2448</v>
      </c>
      <c r="D8" s="368">
        <v>100</v>
      </c>
      <c r="E8" s="371"/>
      <c r="F8" s="370">
        <f>SUMIF(51:51,E8,52:52)-SUMIF(51:51,C8,52:52)+100</f>
        <v>0</v>
      </c>
      <c r="G8" s="371"/>
      <c r="H8" s="368">
        <f>SUMIF(51:51,G8,52:52)-SUMIF(51:51,C8,52:52)+100</f>
        <v>0</v>
      </c>
      <c r="I8" s="371"/>
      <c r="J8" s="368">
        <f>SUMIF(51:51,I8,52:52)-SUMIF(51:51,C8,52:52)+100</f>
        <v>0</v>
      </c>
      <c r="K8" s="565"/>
      <c r="L8" s="2943"/>
      <c r="M8" s="2944"/>
      <c r="N8" s="2944"/>
      <c r="O8" s="2944"/>
      <c r="P8" s="3305" t="s">
        <v>2348</v>
      </c>
      <c r="Q8" s="3306"/>
      <c r="R8" s="707" t="s">
        <v>14</v>
      </c>
      <c r="S8" s="708">
        <f t="shared" si="0"/>
        <v>0</v>
      </c>
      <c r="T8" s="707" t="s">
        <v>14</v>
      </c>
      <c r="U8" s="708">
        <f t="shared" si="1"/>
        <v>0</v>
      </c>
      <c r="V8" s="707" t="s">
        <v>14</v>
      </c>
      <c r="W8" s="708">
        <f t="shared" si="2"/>
        <v>0</v>
      </c>
      <c r="X8" s="709"/>
      <c r="Y8" s="3305" t="s">
        <v>2348</v>
      </c>
      <c r="Z8" s="3306"/>
      <c r="AA8" s="710" t="e">
        <f t="shared" ref="AA8:AA36" si="3">D8/F8</f>
        <v>#DIV/0!</v>
      </c>
      <c r="AB8" s="710" t="e">
        <f t="shared" ref="AB8:AB36" si="4">D8/H8</f>
        <v>#DIV/0!</v>
      </c>
      <c r="AC8" s="710" t="e">
        <f t="shared" ref="AC8:AC36" si="5">D8/J8</f>
        <v>#DIV/0!</v>
      </c>
    </row>
    <row r="9" spans="1:29" s="110" customFormat="1">
      <c r="A9" s="61" t="s">
        <v>2349</v>
      </c>
      <c r="B9" s="593" t="s">
        <v>2350</v>
      </c>
      <c r="C9" s="373"/>
      <c r="D9" s="128">
        <v>100</v>
      </c>
      <c r="E9" s="376"/>
      <c r="F9" s="128">
        <f>SUMIF(53:53,E9,54:54)-SUMIF(53:53,C9,54:54)+100</f>
        <v>100</v>
      </c>
      <c r="G9" s="374"/>
      <c r="H9" s="128">
        <f>SUMIF(53:53,G9,54:54)-SUMIF(53:53,C9,54:54)+100</f>
        <v>100</v>
      </c>
      <c r="I9" s="374"/>
      <c r="J9" s="128">
        <f>SUMIF(53:53,I9,54:54)-SUMIF(53:53,C9,54:54)+100</f>
        <v>100</v>
      </c>
      <c r="K9" s="565"/>
      <c r="L9" s="2943"/>
      <c r="M9" s="2944"/>
      <c r="N9" s="2944"/>
      <c r="O9" s="2944"/>
      <c r="P9" s="3319" t="s">
        <v>2351</v>
      </c>
      <c r="Q9" s="1525" t="str">
        <f t="shared" ref="Q9:Q14" si="6">B9</f>
        <v>用途</v>
      </c>
      <c r="R9" s="707" t="s">
        <v>14</v>
      </c>
      <c r="S9" s="708">
        <f t="shared" si="0"/>
        <v>100</v>
      </c>
      <c r="T9" s="707" t="s">
        <v>14</v>
      </c>
      <c r="U9" s="708">
        <f t="shared" si="1"/>
        <v>100</v>
      </c>
      <c r="V9" s="707" t="s">
        <v>14</v>
      </c>
      <c r="W9" s="708">
        <f t="shared" si="2"/>
        <v>100</v>
      </c>
      <c r="X9" s="709"/>
      <c r="Y9" s="3275" t="s">
        <v>2352</v>
      </c>
      <c r="Z9" s="52" t="str">
        <f t="shared" ref="Z9:Z14" si="7">Q9</f>
        <v>用途</v>
      </c>
      <c r="AA9" s="710">
        <f t="shared" si="3"/>
        <v>1</v>
      </c>
      <c r="AB9" s="710">
        <f t="shared" si="4"/>
        <v>1</v>
      </c>
      <c r="AC9" s="710">
        <f t="shared" si="5"/>
        <v>1</v>
      </c>
    </row>
    <row r="10" spans="1:29" s="383" customFormat="1" ht="27">
      <c r="A10" s="594"/>
      <c r="B10" s="595" t="s">
        <v>2353</v>
      </c>
      <c r="C10" s="379"/>
      <c r="D10" s="129">
        <v>100</v>
      </c>
      <c r="E10" s="379"/>
      <c r="F10" s="129">
        <f>SUMIF(55:55,E10,56:56)-SUMIF(55:55,C10,56:56)+100</f>
        <v>100</v>
      </c>
      <c r="G10" s="380"/>
      <c r="H10" s="129">
        <f>SUMIF(55:55,G10,56:56)-SUMIF(55:55,C10,56:56)+100</f>
        <v>100</v>
      </c>
      <c r="I10" s="379"/>
      <c r="J10" s="129">
        <f>SUMIF(55:55,I10,56:56)-SUMIF(55:55,C10,56:56)+100</f>
        <v>100</v>
      </c>
      <c r="K10" s="566"/>
      <c r="L10" s="2945"/>
      <c r="M10" s="2946"/>
      <c r="N10" s="2946"/>
      <c r="O10" s="2946"/>
      <c r="P10" s="3319"/>
      <c r="Q10" s="1525" t="str">
        <f t="shared" si="6"/>
        <v>土地使用年限（年）</v>
      </c>
      <c r="R10" s="707" t="s">
        <v>14</v>
      </c>
      <c r="S10" s="708">
        <f t="shared" si="0"/>
        <v>100</v>
      </c>
      <c r="T10" s="707" t="s">
        <v>14</v>
      </c>
      <c r="U10" s="708">
        <f t="shared" si="1"/>
        <v>100</v>
      </c>
      <c r="V10" s="707" t="s">
        <v>14</v>
      </c>
      <c r="W10" s="708">
        <f t="shared" si="2"/>
        <v>100</v>
      </c>
      <c r="X10" s="709"/>
      <c r="Y10" s="3275"/>
      <c r="Z10" s="52"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7"/>
      <c r="M11" s="2942"/>
      <c r="N11" s="2942"/>
      <c r="O11" s="2942"/>
      <c r="P11" s="3319"/>
      <c r="Q11" s="1525">
        <f t="shared" si="6"/>
        <v>111</v>
      </c>
      <c r="R11" s="707" t="s">
        <v>14</v>
      </c>
      <c r="S11" s="708">
        <f t="shared" si="0"/>
        <v>100</v>
      </c>
      <c r="T11" s="707" t="s">
        <v>14</v>
      </c>
      <c r="U11" s="708">
        <f t="shared" si="1"/>
        <v>100</v>
      </c>
      <c r="V11" s="707" t="s">
        <v>14</v>
      </c>
      <c r="W11" s="708">
        <f t="shared" si="2"/>
        <v>100</v>
      </c>
      <c r="X11" s="709"/>
      <c r="Y11" s="3275"/>
      <c r="Z11" s="52">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3"/>
      <c r="M12" s="2944"/>
      <c r="N12" s="2944"/>
      <c r="O12" s="2944"/>
      <c r="P12" s="3319"/>
      <c r="Q12" s="1525">
        <f t="shared" si="6"/>
        <v>111</v>
      </c>
      <c r="R12" s="707" t="s">
        <v>14</v>
      </c>
      <c r="S12" s="708">
        <f t="shared" si="0"/>
        <v>100</v>
      </c>
      <c r="T12" s="707" t="s">
        <v>14</v>
      </c>
      <c r="U12" s="708">
        <f t="shared" si="1"/>
        <v>100</v>
      </c>
      <c r="V12" s="707" t="s">
        <v>14</v>
      </c>
      <c r="W12" s="708">
        <f t="shared" si="2"/>
        <v>100</v>
      </c>
      <c r="X12" s="709"/>
      <c r="Y12" s="3275"/>
      <c r="Z12" s="52">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8"/>
      <c r="M13" s="2942"/>
      <c r="N13" s="2942"/>
      <c r="O13" s="2942"/>
      <c r="P13" s="3319"/>
      <c r="Q13" s="1525">
        <f t="shared" si="6"/>
        <v>111</v>
      </c>
      <c r="R13" s="707" t="s">
        <v>14</v>
      </c>
      <c r="S13" s="708">
        <f t="shared" si="0"/>
        <v>100</v>
      </c>
      <c r="T13" s="707" t="s">
        <v>14</v>
      </c>
      <c r="U13" s="708">
        <f t="shared" si="1"/>
        <v>100</v>
      </c>
      <c r="V13" s="707" t="s">
        <v>14</v>
      </c>
      <c r="W13" s="708">
        <f t="shared" si="2"/>
        <v>100</v>
      </c>
      <c r="X13" s="709"/>
      <c r="Y13" s="3275"/>
      <c r="Z13" s="52">
        <f t="shared" si="7"/>
        <v>111</v>
      </c>
      <c r="AA13" s="710">
        <f t="shared" si="3"/>
        <v>1</v>
      </c>
      <c r="AB13" s="710">
        <f t="shared" si="4"/>
        <v>1</v>
      </c>
      <c r="AC13" s="710">
        <f t="shared" si="5"/>
        <v>1</v>
      </c>
    </row>
    <row r="14" spans="1:29" ht="85.5">
      <c r="A14" s="358" t="s">
        <v>2355</v>
      </c>
      <c r="B14" s="582" t="s">
        <v>2505</v>
      </c>
      <c r="C14" s="2154"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8"/>
      <c r="M14" s="2942"/>
      <c r="N14" s="2942"/>
      <c r="O14" s="2942"/>
      <c r="P14" s="3334" t="s">
        <v>2356</v>
      </c>
      <c r="Q14" s="1534" t="str">
        <f t="shared" si="6"/>
        <v>交通便捷度</v>
      </c>
      <c r="R14" s="711" t="s">
        <v>14</v>
      </c>
      <c r="S14" s="712">
        <f t="shared" si="0"/>
        <v>100</v>
      </c>
      <c r="T14" s="711" t="s">
        <v>14</v>
      </c>
      <c r="U14" s="712">
        <f t="shared" si="1"/>
        <v>100</v>
      </c>
      <c r="V14" s="711" t="s">
        <v>14</v>
      </c>
      <c r="W14" s="712">
        <f t="shared" si="2"/>
        <v>100</v>
      </c>
      <c r="X14" s="1537"/>
      <c r="Y14" s="3334" t="s">
        <v>2356</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8"/>
      <c r="M15" s="2942"/>
      <c r="N15" s="2942"/>
      <c r="O15" s="2942"/>
      <c r="P15" s="3335"/>
      <c r="Q15" s="1534"/>
      <c r="R15" s="711"/>
      <c r="S15" s="712"/>
      <c r="T15" s="711"/>
      <c r="U15" s="712"/>
      <c r="V15" s="711"/>
      <c r="W15" s="712"/>
      <c r="X15" s="1537"/>
      <c r="Y15" s="3335"/>
      <c r="Z15" s="1538"/>
      <c r="AA15" s="1535">
        <v>1</v>
      </c>
      <c r="AB15" s="1535">
        <v>1</v>
      </c>
      <c r="AC15" s="1535">
        <v>1</v>
      </c>
    </row>
    <row r="16" spans="1:29" ht="42.75">
      <c r="A16" s="361"/>
      <c r="B16" s="584" t="s">
        <v>2484</v>
      </c>
      <c r="C16" s="2083"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8"/>
      <c r="M16" s="2942"/>
      <c r="N16" s="2942"/>
      <c r="O16" s="2942"/>
      <c r="P16" s="3335"/>
      <c r="Q16" s="1534" t="str">
        <f>B16</f>
        <v>公共配套设施</v>
      </c>
      <c r="R16" s="711" t="s">
        <v>14</v>
      </c>
      <c r="S16" s="712">
        <f>F16</f>
        <v>100</v>
      </c>
      <c r="T16" s="711" t="s">
        <v>14</v>
      </c>
      <c r="U16" s="712">
        <f>H16</f>
        <v>100</v>
      </c>
      <c r="V16" s="711" t="s">
        <v>14</v>
      </c>
      <c r="W16" s="712">
        <f>J16</f>
        <v>100</v>
      </c>
      <c r="X16" s="1537"/>
      <c r="Y16" s="3335"/>
      <c r="Z16" s="1538" t="str">
        <f>Q16</f>
        <v>公共配套设施</v>
      </c>
      <c r="AA16" s="1535">
        <f t="shared" si="3"/>
        <v>1</v>
      </c>
      <c r="AB16" s="1535">
        <f t="shared" si="4"/>
        <v>1</v>
      </c>
      <c r="AC16" s="1535">
        <f t="shared" si="5"/>
        <v>1</v>
      </c>
    </row>
    <row r="17" spans="1:29" ht="15">
      <c r="A17" s="361"/>
      <c r="B17" s="585"/>
      <c r="C17" s="2084"/>
      <c r="D17" s="404"/>
      <c r="E17" s="403"/>
      <c r="F17" s="405"/>
      <c r="G17" s="403"/>
      <c r="H17" s="404"/>
      <c r="I17" s="403"/>
      <c r="J17" s="404"/>
      <c r="K17" s="569"/>
      <c r="L17" s="2948"/>
      <c r="M17" s="2942"/>
      <c r="N17" s="2942"/>
      <c r="O17" s="2942"/>
      <c r="P17" s="3335"/>
      <c r="Q17" s="1534"/>
      <c r="R17" s="711"/>
      <c r="S17" s="712"/>
      <c r="T17" s="711"/>
      <c r="U17" s="712"/>
      <c r="V17" s="711"/>
      <c r="W17" s="712"/>
      <c r="X17" s="1537"/>
      <c r="Y17" s="3335"/>
      <c r="Z17" s="1538"/>
      <c r="AA17" s="1535">
        <v>1</v>
      </c>
      <c r="AB17" s="1535">
        <v>1</v>
      </c>
      <c r="AC17" s="1535">
        <v>1</v>
      </c>
    </row>
    <row r="18" spans="1:29" ht="28.5">
      <c r="A18" s="361"/>
      <c r="B18" s="586" t="s">
        <v>2485</v>
      </c>
      <c r="C18" s="2083"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8"/>
      <c r="M18" s="2942"/>
      <c r="N18" s="2942"/>
      <c r="O18" s="2942"/>
      <c r="P18" s="3335"/>
      <c r="Q18" s="1534" t="str">
        <f>B18</f>
        <v>基础设施水平</v>
      </c>
      <c r="R18" s="711" t="s">
        <v>14</v>
      </c>
      <c r="S18" s="712">
        <f>F18</f>
        <v>100</v>
      </c>
      <c r="T18" s="711" t="s">
        <v>14</v>
      </c>
      <c r="U18" s="712">
        <f>H18</f>
        <v>100</v>
      </c>
      <c r="V18" s="711" t="s">
        <v>14</v>
      </c>
      <c r="W18" s="712">
        <f>J18</f>
        <v>100</v>
      </c>
      <c r="X18" s="1537"/>
      <c r="Y18" s="3335"/>
      <c r="Z18" s="1538" t="str">
        <f>Q18</f>
        <v>基础设施水平</v>
      </c>
      <c r="AA18" s="1535">
        <f t="shared" ref="AA18" si="8">D18/F18</f>
        <v>1</v>
      </c>
      <c r="AB18" s="1535">
        <f t="shared" ref="AB18" si="9">D18/H18</f>
        <v>1</v>
      </c>
      <c r="AC18" s="1535">
        <f t="shared" ref="AC18" si="10">D18/J18</f>
        <v>1</v>
      </c>
    </row>
    <row r="19" spans="1:29" ht="15">
      <c r="A19" s="361"/>
      <c r="B19" s="586"/>
      <c r="C19" s="2084"/>
      <c r="D19" s="406"/>
      <c r="E19" s="2084"/>
      <c r="F19" s="409"/>
      <c r="G19" s="2084"/>
      <c r="H19" s="404"/>
      <c r="I19" s="403"/>
      <c r="J19" s="404"/>
      <c r="K19" s="1289"/>
      <c r="L19" s="2948"/>
      <c r="M19" s="2942"/>
      <c r="N19" s="2942"/>
      <c r="O19" s="2942"/>
      <c r="P19" s="3335"/>
      <c r="Q19" s="1534"/>
      <c r="R19" s="711"/>
      <c r="S19" s="712"/>
      <c r="T19" s="711"/>
      <c r="U19" s="712"/>
      <c r="V19" s="711"/>
      <c r="W19" s="712"/>
      <c r="X19" s="1537"/>
      <c r="Y19" s="3335"/>
      <c r="Z19" s="1538"/>
      <c r="AA19" s="1535">
        <v>1</v>
      </c>
      <c r="AB19" s="1535">
        <v>1</v>
      </c>
      <c r="AC19" s="1535">
        <v>1</v>
      </c>
    </row>
    <row r="20" spans="1:29" ht="57">
      <c r="A20" s="361"/>
      <c r="B20" s="584" t="s">
        <v>2506</v>
      </c>
      <c r="C20" s="2083"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8"/>
      <c r="M20" s="2942"/>
      <c r="N20" s="2942"/>
      <c r="O20" s="2942"/>
      <c r="P20" s="3335"/>
      <c r="Q20" s="1534" t="str">
        <f>B20</f>
        <v>自然及人文环境</v>
      </c>
      <c r="R20" s="711" t="s">
        <v>14</v>
      </c>
      <c r="S20" s="712">
        <f>F20</f>
        <v>100</v>
      </c>
      <c r="T20" s="711" t="s">
        <v>14</v>
      </c>
      <c r="U20" s="712">
        <f>H20</f>
        <v>100</v>
      </c>
      <c r="V20" s="711" t="s">
        <v>14</v>
      </c>
      <c r="W20" s="712">
        <f>J20</f>
        <v>100</v>
      </c>
      <c r="X20" s="1537"/>
      <c r="Y20" s="3335"/>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8"/>
      <c r="M21" s="2942"/>
      <c r="N21" s="2942"/>
      <c r="O21" s="2942"/>
      <c r="P21" s="3335"/>
      <c r="Q21" s="1534"/>
      <c r="R21" s="711"/>
      <c r="S21" s="712"/>
      <c r="T21" s="711"/>
      <c r="U21" s="712"/>
      <c r="V21" s="711"/>
      <c r="W21" s="712"/>
      <c r="X21" s="1537"/>
      <c r="Y21" s="3335"/>
      <c r="Z21" s="1538"/>
      <c r="AA21" s="1535">
        <v>1</v>
      </c>
      <c r="AB21" s="1535">
        <v>1</v>
      </c>
      <c r="AC21" s="1535">
        <v>1</v>
      </c>
    </row>
    <row r="22" spans="1:29" ht="15">
      <c r="A22" s="361"/>
      <c r="B22" s="584" t="s">
        <v>2507</v>
      </c>
      <c r="C22" s="570"/>
      <c r="D22" s="406">
        <v>100</v>
      </c>
      <c r="E22" s="570"/>
      <c r="F22" s="417">
        <f>SUMIF(71:71,E22,72:72)-SUMIF(71:71,C22,72:72)+100</f>
        <v>100</v>
      </c>
      <c r="G22" s="570"/>
      <c r="H22" s="391">
        <f>SUMIF(71:71,G22,72:72)-SUMIF(71:71,C22,72:72)+100</f>
        <v>100</v>
      </c>
      <c r="I22" s="570"/>
      <c r="J22" s="391">
        <f>SUMIF(71:71,I22,72:72)-SUMIF(71:71,C22,72:72)+100</f>
        <v>100</v>
      </c>
      <c r="K22" s="566"/>
      <c r="L22" s="2948"/>
      <c r="M22" s="2942"/>
      <c r="N22" s="2942"/>
      <c r="O22" s="2942"/>
      <c r="P22" s="3335"/>
      <c r="Q22" s="1534" t="str">
        <f>B22</f>
        <v>楼层</v>
      </c>
      <c r="R22" s="711" t="s">
        <v>14</v>
      </c>
      <c r="S22" s="712">
        <f>F22</f>
        <v>100</v>
      </c>
      <c r="T22" s="711" t="s">
        <v>14</v>
      </c>
      <c r="U22" s="712">
        <f>H22</f>
        <v>100</v>
      </c>
      <c r="V22" s="711" t="s">
        <v>14</v>
      </c>
      <c r="W22" s="712">
        <f>J22</f>
        <v>100</v>
      </c>
      <c r="X22" s="1537"/>
      <c r="Y22" s="3335"/>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8"/>
      <c r="M23" s="2942"/>
      <c r="N23" s="2942"/>
      <c r="O23" s="2942"/>
      <c r="P23" s="3335"/>
      <c r="Q23" s="1534">
        <f>B23</f>
        <v>111</v>
      </c>
      <c r="R23" s="711" t="s">
        <v>14</v>
      </c>
      <c r="S23" s="712">
        <f>F23</f>
        <v>100</v>
      </c>
      <c r="T23" s="711" t="s">
        <v>14</v>
      </c>
      <c r="U23" s="712">
        <f>H23</f>
        <v>100</v>
      </c>
      <c r="V23" s="711" t="s">
        <v>14</v>
      </c>
      <c r="W23" s="712">
        <f>J23</f>
        <v>100</v>
      </c>
      <c r="X23" s="1537"/>
      <c r="Y23" s="3335"/>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8"/>
      <c r="M24" s="2942"/>
      <c r="N24" s="2942"/>
      <c r="O24" s="2942"/>
      <c r="P24" s="3335"/>
      <c r="Q24" s="1534">
        <f t="shared" ref="Q24:Q36" si="11">B24</f>
        <v>111</v>
      </c>
      <c r="R24" s="711" t="s">
        <v>14</v>
      </c>
      <c r="S24" s="712">
        <f>F24</f>
        <v>100</v>
      </c>
      <c r="T24" s="711" t="s">
        <v>14</v>
      </c>
      <c r="U24" s="712">
        <f>H24</f>
        <v>100</v>
      </c>
      <c r="V24" s="711" t="s">
        <v>14</v>
      </c>
      <c r="W24" s="712">
        <f>J24</f>
        <v>100</v>
      </c>
      <c r="X24" s="1537"/>
      <c r="Y24" s="3335"/>
      <c r="Z24" s="1538">
        <f>Q24</f>
        <v>111</v>
      </c>
      <c r="AA24" s="1535">
        <f t="shared" si="3"/>
        <v>1</v>
      </c>
      <c r="AB24" s="1535">
        <f t="shared" si="4"/>
        <v>1</v>
      </c>
      <c r="AC24" s="1535">
        <f t="shared" si="5"/>
        <v>1</v>
      </c>
    </row>
    <row r="25" spans="1:29" s="110"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3"/>
      <c r="M25" s="2944"/>
      <c r="N25" s="2944"/>
      <c r="O25" s="2944"/>
      <c r="P25" s="3335"/>
      <c r="Q25" s="1525">
        <f t="shared" si="11"/>
        <v>111</v>
      </c>
      <c r="R25" s="707" t="s">
        <v>14</v>
      </c>
      <c r="S25" s="708">
        <f>F25</f>
        <v>100</v>
      </c>
      <c r="T25" s="707" t="s">
        <v>14</v>
      </c>
      <c r="U25" s="708">
        <f>H25</f>
        <v>100</v>
      </c>
      <c r="V25" s="707" t="s">
        <v>14</v>
      </c>
      <c r="W25" s="708">
        <f>J25</f>
        <v>100</v>
      </c>
      <c r="X25" s="709"/>
      <c r="Y25" s="3335"/>
      <c r="Z25" s="52">
        <f>Q25</f>
        <v>111</v>
      </c>
      <c r="AA25" s="1535">
        <f>D25/F25</f>
        <v>1</v>
      </c>
      <c r="AB25" s="1535">
        <f>D25/H25</f>
        <v>1</v>
      </c>
      <c r="AC25" s="1535">
        <f>D25/J25</f>
        <v>1</v>
      </c>
    </row>
    <row r="26" spans="1:29" ht="28.5">
      <c r="A26" s="605" t="s">
        <v>2359</v>
      </c>
      <c r="B26" s="63" t="s">
        <v>2508</v>
      </c>
      <c r="C26" s="2155">
        <f>B1</f>
        <v>0</v>
      </c>
      <c r="D26" s="404">
        <v>100</v>
      </c>
      <c r="E26" s="403"/>
      <c r="F26" s="405">
        <f>SUMIF(79:79,E26,80:80)-SUMIF(79:79,C26,80:80)+100</f>
        <v>100</v>
      </c>
      <c r="G26" s="403"/>
      <c r="H26" s="404">
        <f>SUMIF(79:79,G26,80:80)-SUMIF(79:79,C26,80:80)+100</f>
        <v>100</v>
      </c>
      <c r="I26" s="403"/>
      <c r="J26" s="404">
        <f>SUMIF(79:79,I26,80:80)-SUMIF(79:79,C26,80:80)+100</f>
        <v>100</v>
      </c>
      <c r="K26" s="566"/>
      <c r="L26" s="2948"/>
      <c r="M26" s="2942"/>
      <c r="N26" s="2942"/>
      <c r="O26" s="2942"/>
      <c r="P26" s="3336" t="s">
        <v>2361</v>
      </c>
      <c r="Q26" s="1534" t="str">
        <f t="shared" si="11"/>
        <v>配套类型</v>
      </c>
      <c r="R26" s="711" t="s">
        <v>14</v>
      </c>
      <c r="S26" s="712">
        <f t="shared" ref="S26:S36" si="12">F26</f>
        <v>100</v>
      </c>
      <c r="T26" s="711" t="s">
        <v>14</v>
      </c>
      <c r="U26" s="712">
        <f t="shared" ref="U26:U36" si="13">H26</f>
        <v>100</v>
      </c>
      <c r="V26" s="711" t="s">
        <v>14</v>
      </c>
      <c r="W26" s="712">
        <f t="shared" ref="W26:W36" si="14">J26</f>
        <v>100</v>
      </c>
      <c r="X26" s="1537"/>
      <c r="Y26" s="3337" t="s">
        <v>2361</v>
      </c>
      <c r="Z26" s="1538" t="str">
        <f t="shared" ref="Z26:Z36" si="15">Q26</f>
        <v>配套类型</v>
      </c>
      <c r="AA26" s="1535">
        <f t="shared" si="3"/>
        <v>1</v>
      </c>
      <c r="AB26" s="1535">
        <f t="shared" si="4"/>
        <v>1</v>
      </c>
      <c r="AC26" s="1535">
        <f t="shared" si="5"/>
        <v>1</v>
      </c>
    </row>
    <row r="27" spans="1:29" s="427" customFormat="1" ht="15">
      <c r="A27" s="606"/>
      <c r="B27" s="607" t="s">
        <v>2509</v>
      </c>
      <c r="C27" s="608"/>
      <c r="D27" s="129">
        <v>100</v>
      </c>
      <c r="E27" s="608"/>
      <c r="F27" s="417">
        <f>SUMIF(81:81,E27,82:82)-SUMIF(81:81,C27,82:82)+100</f>
        <v>100</v>
      </c>
      <c r="G27" s="608"/>
      <c r="H27" s="391">
        <f>SUMIF(81:81,G27,82:82)-SUMIF(81:81,C27,82:82)+100</f>
        <v>100</v>
      </c>
      <c r="I27" s="608"/>
      <c r="J27" s="391">
        <f>SUMIF(81:81,I27,82:82)-SUMIF(81:81,C27,82:82)+100</f>
        <v>100</v>
      </c>
      <c r="K27" s="567"/>
      <c r="L27" s="2947"/>
      <c r="M27" s="2949"/>
      <c r="N27" s="2949"/>
      <c r="O27" s="2949"/>
      <c r="P27" s="3337"/>
      <c r="Q27" s="713" t="str">
        <f t="shared" si="11"/>
        <v>项目停车位配比</v>
      </c>
      <c r="R27" s="714" t="s">
        <v>14</v>
      </c>
      <c r="S27" s="715">
        <f t="shared" si="12"/>
        <v>100</v>
      </c>
      <c r="T27" s="714" t="s">
        <v>14</v>
      </c>
      <c r="U27" s="715">
        <f t="shared" si="13"/>
        <v>100</v>
      </c>
      <c r="V27" s="714" t="s">
        <v>14</v>
      </c>
      <c r="W27" s="715">
        <f t="shared" si="14"/>
        <v>100</v>
      </c>
      <c r="X27" s="716"/>
      <c r="Y27" s="3337"/>
      <c r="Z27" s="717" t="str">
        <f t="shared" si="15"/>
        <v>项目停车位配比</v>
      </c>
      <c r="AA27" s="1535">
        <f t="shared" si="3"/>
        <v>1</v>
      </c>
      <c r="AB27" s="1535">
        <f t="shared" si="4"/>
        <v>1</v>
      </c>
      <c r="AC27" s="1535">
        <f t="shared" si="5"/>
        <v>1</v>
      </c>
    </row>
    <row r="28" spans="1:29" ht="15">
      <c r="A28" s="609"/>
      <c r="B28" s="607" t="s">
        <v>2510</v>
      </c>
      <c r="C28" s="416"/>
      <c r="D28" s="391">
        <v>100</v>
      </c>
      <c r="E28" s="416"/>
      <c r="F28" s="417">
        <f>SUMIF(83:83,E28,84:84)-SUMIF(83:83,C28,84:84)+100</f>
        <v>100</v>
      </c>
      <c r="G28" s="416"/>
      <c r="H28" s="391">
        <f>SUMIF(83:83,G28,84:84)-SUMIF(83:83,C28,84:84)+100</f>
        <v>100</v>
      </c>
      <c r="I28" s="416"/>
      <c r="J28" s="391">
        <f>SUMIF(83:83,I28,84:84)-SUMIF(83:83,C28,84:84)+100</f>
        <v>100</v>
      </c>
      <c r="K28" s="566"/>
      <c r="L28" s="2948"/>
      <c r="M28" s="2942"/>
      <c r="N28" s="2942"/>
      <c r="O28" s="2942"/>
      <c r="P28" s="3337"/>
      <c r="Q28" s="1534" t="str">
        <f t="shared" si="11"/>
        <v>公共部分装修</v>
      </c>
      <c r="R28" s="711" t="s">
        <v>14</v>
      </c>
      <c r="S28" s="712">
        <f t="shared" si="12"/>
        <v>100</v>
      </c>
      <c r="T28" s="711" t="s">
        <v>14</v>
      </c>
      <c r="U28" s="712">
        <f t="shared" si="13"/>
        <v>100</v>
      </c>
      <c r="V28" s="711" t="s">
        <v>14</v>
      </c>
      <c r="W28" s="712">
        <f t="shared" si="14"/>
        <v>100</v>
      </c>
      <c r="X28" s="1537"/>
      <c r="Y28" s="3337"/>
      <c r="Z28" s="1538" t="str">
        <f t="shared" si="15"/>
        <v>公共部分装修</v>
      </c>
      <c r="AA28" s="1535">
        <f t="shared" si="3"/>
        <v>1</v>
      </c>
      <c r="AB28" s="1535">
        <f t="shared" si="4"/>
        <v>1</v>
      </c>
      <c r="AC28" s="1535">
        <f t="shared" si="5"/>
        <v>1</v>
      </c>
    </row>
    <row r="29" spans="1:29" ht="15">
      <c r="A29" s="609"/>
      <c r="B29" s="607" t="s">
        <v>2511</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8"/>
      <c r="M29" s="2942"/>
      <c r="N29" s="2942"/>
      <c r="O29" s="2942"/>
      <c r="P29" s="3337"/>
      <c r="Q29" s="1534" t="str">
        <f t="shared" si="11"/>
        <v>成新率</v>
      </c>
      <c r="R29" s="711" t="s">
        <v>14</v>
      </c>
      <c r="S29" s="712" t="e">
        <f t="shared" si="12"/>
        <v>#N/A</v>
      </c>
      <c r="T29" s="711" t="s">
        <v>14</v>
      </c>
      <c r="U29" s="712" t="e">
        <f t="shared" si="13"/>
        <v>#N/A</v>
      </c>
      <c r="V29" s="711" t="s">
        <v>14</v>
      </c>
      <c r="W29" s="712" t="e">
        <f t="shared" si="14"/>
        <v>#N/A</v>
      </c>
      <c r="X29" s="1537"/>
      <c r="Y29" s="3337"/>
      <c r="Z29" s="1538" t="str">
        <f t="shared" si="15"/>
        <v>成新率</v>
      </c>
      <c r="AA29" s="1535" t="e">
        <f t="shared" si="3"/>
        <v>#N/A</v>
      </c>
      <c r="AB29" s="1535" t="e">
        <f t="shared" si="4"/>
        <v>#N/A</v>
      </c>
      <c r="AC29" s="1535" t="e">
        <f t="shared" si="5"/>
        <v>#N/A</v>
      </c>
    </row>
    <row r="30" spans="1:29" ht="15">
      <c r="A30" s="609"/>
      <c r="B30" s="607" t="s">
        <v>2512</v>
      </c>
      <c r="C30" s="610"/>
      <c r="D30" s="391">
        <v>100</v>
      </c>
      <c r="E30" s="610"/>
      <c r="F30" s="417">
        <f>SUMIF(88:88,E30,89:89)-SUMIF(88:88,C30,89:89)+100</f>
        <v>100</v>
      </c>
      <c r="G30" s="610"/>
      <c r="H30" s="391">
        <f>SUMIF(88:88,E30,89:89)-SUMIF(88:88,C30,89:89)+100</f>
        <v>100</v>
      </c>
      <c r="I30" s="610"/>
      <c r="J30" s="391">
        <f>SUMIF(88:88,E30,89:89)-SUMIF(88:88,C30,89:89)+100</f>
        <v>100</v>
      </c>
      <c r="K30" s="566"/>
      <c r="L30" s="2948"/>
      <c r="M30" s="2942"/>
      <c r="N30" s="2942"/>
      <c r="O30" s="2942"/>
      <c r="P30" s="3337"/>
      <c r="Q30" s="1534" t="str">
        <f t="shared" si="11"/>
        <v>物业等级</v>
      </c>
      <c r="R30" s="711" t="s">
        <v>14</v>
      </c>
      <c r="S30" s="712">
        <f t="shared" si="12"/>
        <v>100</v>
      </c>
      <c r="T30" s="711" t="s">
        <v>14</v>
      </c>
      <c r="U30" s="712">
        <f t="shared" si="13"/>
        <v>100</v>
      </c>
      <c r="V30" s="711" t="s">
        <v>14</v>
      </c>
      <c r="W30" s="712">
        <f t="shared" si="14"/>
        <v>100</v>
      </c>
      <c r="X30" s="1537"/>
      <c r="Y30" s="3337"/>
      <c r="Z30" s="1538" t="str">
        <f t="shared" si="15"/>
        <v>物业等级</v>
      </c>
      <c r="AA30" s="1535">
        <f t="shared" si="3"/>
        <v>1</v>
      </c>
      <c r="AB30" s="1535">
        <f t="shared" si="4"/>
        <v>1</v>
      </c>
      <c r="AC30" s="1535">
        <f t="shared" si="5"/>
        <v>1</v>
      </c>
    </row>
    <row r="31" spans="1:29" s="110" customFormat="1" ht="15">
      <c r="A31" s="611"/>
      <c r="B31" s="607" t="s">
        <v>2513</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3"/>
      <c r="M31" s="2944"/>
      <c r="N31" s="2944"/>
      <c r="O31" s="2944"/>
      <c r="P31" s="3337"/>
      <c r="Q31" s="1525" t="str">
        <f t="shared" si="11"/>
        <v>停车位面积</v>
      </c>
      <c r="R31" s="707" t="s">
        <v>14</v>
      </c>
      <c r="S31" s="708" t="e">
        <f t="shared" si="12"/>
        <v>#N/A</v>
      </c>
      <c r="T31" s="707" t="s">
        <v>14</v>
      </c>
      <c r="U31" s="708" t="e">
        <f t="shared" si="13"/>
        <v>#N/A</v>
      </c>
      <c r="V31" s="707" t="s">
        <v>14</v>
      </c>
      <c r="W31" s="708" t="e">
        <f t="shared" si="14"/>
        <v>#N/A</v>
      </c>
      <c r="X31" s="709"/>
      <c r="Y31" s="3337"/>
      <c r="Z31" s="52" t="str">
        <f t="shared" si="15"/>
        <v>停车位面积</v>
      </c>
      <c r="AA31" s="710" t="e">
        <f t="shared" si="3"/>
        <v>#N/A</v>
      </c>
      <c r="AB31" s="710" t="e">
        <f t="shared" si="4"/>
        <v>#N/A</v>
      </c>
      <c r="AC31" s="710" t="e">
        <f t="shared" si="5"/>
        <v>#N/A</v>
      </c>
    </row>
    <row r="32" spans="1:29" ht="15">
      <c r="A32" s="609"/>
      <c r="B32" s="607" t="s">
        <v>2514</v>
      </c>
      <c r="C32" s="416"/>
      <c r="D32" s="391">
        <v>100</v>
      </c>
      <c r="E32" s="416"/>
      <c r="F32" s="417">
        <f>SUMIF(93:93,E32,94:94)-SUMIF(93:93,C32,94:94)+100</f>
        <v>100</v>
      </c>
      <c r="G32" s="416"/>
      <c r="H32" s="391">
        <f>SUMIF(93:93,G32,94:94)-SUMIF(93:93,C32,94:94)+100</f>
        <v>100</v>
      </c>
      <c r="I32" s="416"/>
      <c r="J32" s="391">
        <f>SUMIF(93:93,I32,94:94)-SUMIF(93:93,C32,94:94)+100</f>
        <v>100</v>
      </c>
      <c r="K32" s="566"/>
      <c r="L32" s="2948"/>
      <c r="M32" s="2942"/>
      <c r="N32" s="2942"/>
      <c r="O32" s="2942"/>
      <c r="P32" s="3337" t="s">
        <v>2361</v>
      </c>
      <c r="Q32" s="1534" t="str">
        <f t="shared" si="11"/>
        <v>车位类型</v>
      </c>
      <c r="R32" s="711" t="s">
        <v>14</v>
      </c>
      <c r="S32" s="712">
        <f t="shared" si="12"/>
        <v>100</v>
      </c>
      <c r="T32" s="711" t="s">
        <v>14</v>
      </c>
      <c r="U32" s="712">
        <f t="shared" si="13"/>
        <v>100</v>
      </c>
      <c r="V32" s="711" t="s">
        <v>14</v>
      </c>
      <c r="W32" s="712">
        <f t="shared" si="14"/>
        <v>100</v>
      </c>
      <c r="X32" s="1537"/>
      <c r="Y32" s="3337" t="s">
        <v>2361</v>
      </c>
      <c r="Z32" s="1538" t="str">
        <f t="shared" si="15"/>
        <v>车位类型</v>
      </c>
      <c r="AA32" s="1535">
        <f t="shared" si="3"/>
        <v>1</v>
      </c>
      <c r="AB32" s="1535">
        <f t="shared" si="4"/>
        <v>1</v>
      </c>
      <c r="AC32" s="1535">
        <f t="shared" si="5"/>
        <v>1</v>
      </c>
    </row>
    <row r="33" spans="1:29" ht="15">
      <c r="A33" s="609"/>
      <c r="B33" s="607" t="s">
        <v>2515</v>
      </c>
      <c r="C33" s="416"/>
      <c r="D33" s="391">
        <v>100</v>
      </c>
      <c r="E33" s="416"/>
      <c r="F33" s="417">
        <f>SUMIF(95:95,E33,96:96)-SUMIF(95:95,C33,96:96)+100</f>
        <v>100</v>
      </c>
      <c r="G33" s="416"/>
      <c r="H33" s="391">
        <f>SUMIF(95:95,G33,96:96)-SUMIF(95:95,C33,96:96)+100</f>
        <v>100</v>
      </c>
      <c r="I33" s="416"/>
      <c r="J33" s="391">
        <f>SUMIF(95:95,I33,96:96)-SUMIF(95:95,C33,96:96)+100</f>
        <v>100</v>
      </c>
      <c r="K33" s="566"/>
      <c r="L33" s="2948"/>
      <c r="M33" s="2942"/>
      <c r="N33" s="2942"/>
      <c r="O33" s="2942"/>
      <c r="P33" s="3337"/>
      <c r="Q33" s="1534" t="str">
        <f t="shared" si="11"/>
        <v>是否直接入户</v>
      </c>
      <c r="R33" s="711" t="s">
        <v>14</v>
      </c>
      <c r="S33" s="712">
        <f t="shared" si="12"/>
        <v>100</v>
      </c>
      <c r="T33" s="711" t="s">
        <v>14</v>
      </c>
      <c r="U33" s="712">
        <f t="shared" si="13"/>
        <v>100</v>
      </c>
      <c r="V33" s="711" t="s">
        <v>14</v>
      </c>
      <c r="W33" s="712">
        <f t="shared" si="14"/>
        <v>100</v>
      </c>
      <c r="X33" s="1537"/>
      <c r="Y33" s="3337"/>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8"/>
      <c r="M34" s="2942"/>
      <c r="N34" s="2942"/>
      <c r="O34" s="2942"/>
      <c r="P34" s="3337"/>
      <c r="Q34" s="1534">
        <f t="shared" si="11"/>
        <v>111</v>
      </c>
      <c r="R34" s="711" t="s">
        <v>14</v>
      </c>
      <c r="S34" s="712">
        <f t="shared" si="12"/>
        <v>100</v>
      </c>
      <c r="T34" s="711" t="s">
        <v>14</v>
      </c>
      <c r="U34" s="712">
        <f t="shared" si="13"/>
        <v>100</v>
      </c>
      <c r="V34" s="711" t="s">
        <v>14</v>
      </c>
      <c r="W34" s="712">
        <f t="shared" si="14"/>
        <v>100</v>
      </c>
      <c r="X34" s="1537"/>
      <c r="Y34" s="3337"/>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7"/>
      <c r="M35" s="2949"/>
      <c r="N35" s="2949"/>
      <c r="O35" s="2949"/>
      <c r="P35" s="3337"/>
      <c r="Q35" s="713">
        <f t="shared" si="11"/>
        <v>111</v>
      </c>
      <c r="R35" s="714" t="s">
        <v>14</v>
      </c>
      <c r="S35" s="715">
        <f t="shared" si="12"/>
        <v>100</v>
      </c>
      <c r="T35" s="714" t="s">
        <v>14</v>
      </c>
      <c r="U35" s="715">
        <f t="shared" si="13"/>
        <v>100</v>
      </c>
      <c r="V35" s="714" t="s">
        <v>14</v>
      </c>
      <c r="W35" s="715">
        <f t="shared" si="14"/>
        <v>100</v>
      </c>
      <c r="X35" s="716"/>
      <c r="Y35" s="3337"/>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8"/>
      <c r="M36" s="2942"/>
      <c r="N36" s="2942"/>
      <c r="O36" s="2942"/>
      <c r="P36" s="3337"/>
      <c r="Q36" s="1534">
        <f t="shared" si="11"/>
        <v>111</v>
      </c>
      <c r="R36" s="711" t="s">
        <v>14</v>
      </c>
      <c r="S36" s="712">
        <f t="shared" si="12"/>
        <v>100</v>
      </c>
      <c r="T36" s="711" t="s">
        <v>14</v>
      </c>
      <c r="U36" s="712">
        <f t="shared" si="13"/>
        <v>100</v>
      </c>
      <c r="V36" s="711" t="s">
        <v>14</v>
      </c>
      <c r="W36" s="712">
        <f t="shared" si="14"/>
        <v>100</v>
      </c>
      <c r="X36" s="1537"/>
      <c r="Y36" s="3337"/>
      <c r="Z36" s="1538">
        <f t="shared" si="15"/>
        <v>111</v>
      </c>
      <c r="AA36" s="1535">
        <f t="shared" si="3"/>
        <v>1</v>
      </c>
      <c r="AB36" s="1535">
        <f t="shared" si="4"/>
        <v>1</v>
      </c>
      <c r="AC36" s="1535">
        <f t="shared" si="5"/>
        <v>1</v>
      </c>
    </row>
    <row r="37" spans="1:29" ht="15">
      <c r="A37" s="435" t="s">
        <v>2516</v>
      </c>
      <c r="B37" s="2156" t="s">
        <v>2517</v>
      </c>
      <c r="C37" s="1313" t="s">
        <v>0</v>
      </c>
      <c r="D37" s="1314"/>
      <c r="E37" s="1315"/>
      <c r="F37" s="1316"/>
      <c r="G37" s="1317"/>
      <c r="H37" s="1318"/>
      <c r="I37" s="1315"/>
      <c r="J37" s="1318"/>
      <c r="K37" s="573"/>
      <c r="L37" s="2950"/>
      <c r="M37" s="2951"/>
      <c r="N37" s="2942"/>
      <c r="O37" s="2951"/>
      <c r="P37" s="3319" t="str">
        <f>A37</f>
        <v>成交单价</v>
      </c>
      <c r="Q37" s="3319"/>
      <c r="R37" s="3374">
        <f>E37</f>
        <v>0</v>
      </c>
      <c r="S37" s="3374"/>
      <c r="T37" s="3374">
        <f>G37</f>
        <v>0</v>
      </c>
      <c r="U37" s="3374"/>
      <c r="V37" s="3374">
        <f>I37</f>
        <v>0</v>
      </c>
      <c r="W37" s="3374"/>
      <c r="X37" s="696"/>
      <c r="Y37" s="718"/>
      <c r="Z37" s="696"/>
      <c r="AA37" s="696"/>
      <c r="AB37" s="696"/>
      <c r="AC37" s="696"/>
    </row>
    <row r="38" spans="1:29" ht="15.75" thickBot="1">
      <c r="A38" s="442" t="s">
        <v>2518</v>
      </c>
      <c r="B38" s="443" t="str">
        <f>B37</f>
        <v>元/车位</v>
      </c>
      <c r="C38" s="1319" t="e">
        <f>R39</f>
        <v>#DIV/0!</v>
      </c>
      <c r="D38" s="2535" t="s">
        <v>2856</v>
      </c>
      <c r="E38" s="1320" t="e">
        <f>R38</f>
        <v>#DIV/0!</v>
      </c>
      <c r="F38" s="2536"/>
      <c r="G38" s="1319" t="e">
        <f>T38</f>
        <v>#DIV/0!</v>
      </c>
      <c r="H38" s="2536"/>
      <c r="I38" s="1320" t="e">
        <f>V38</f>
        <v>#DIV/0!</v>
      </c>
      <c r="J38" s="2536"/>
      <c r="K38" s="2538">
        <f>F38+H38+J38</f>
        <v>0</v>
      </c>
      <c r="L38" s="2950"/>
      <c r="M38" s="2951"/>
      <c r="N38" s="2951"/>
      <c r="O38" s="2951"/>
      <c r="P38" s="3319" t="str">
        <f>A38</f>
        <v>比较价值（元/平方米）</v>
      </c>
      <c r="Q38" s="3319"/>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696"/>
      <c r="Y38" s="696"/>
      <c r="Z38" s="696"/>
      <c r="AA38" s="696"/>
      <c r="AB38" s="696"/>
      <c r="AC38" s="696"/>
    </row>
    <row r="39" spans="1:29" ht="15.75" thickBot="1">
      <c r="A39" s="446" t="s">
        <v>2519</v>
      </c>
      <c r="B39" s="447"/>
      <c r="C39" s="1322" t="e">
        <f>R39</f>
        <v>#DIV/0!</v>
      </c>
      <c r="D39" s="1322"/>
      <c r="E39" s="1322"/>
      <c r="F39" s="1322"/>
      <c r="G39" s="1322"/>
      <c r="H39" s="1322"/>
      <c r="I39" s="1322"/>
      <c r="J39" s="1322"/>
      <c r="K39" s="574"/>
      <c r="L39" s="2950"/>
      <c r="M39" s="2951"/>
      <c r="N39" s="2951"/>
      <c r="O39" s="2951"/>
      <c r="P39" s="3339" t="str">
        <f>A39</f>
        <v>估价对象XX用房的比较价值（楼面单价，元/平方米）</v>
      </c>
      <c r="Q39" s="3340"/>
      <c r="R39" s="3396" t="e">
        <f>IF(F1="售价",ROUND(IF(D38="简单平均",AVERAGE(R38:W38),R38*F38+T38*H38+V38*J38),0),ROUND(IF(D38="简单平均",AVERAGE(R38:V38),R38*F38+T38*H38+V38*J38),1))</f>
        <v>#DIV/0!</v>
      </c>
      <c r="S39" s="3396"/>
      <c r="T39" s="3396"/>
      <c r="U39" s="3396"/>
      <c r="V39" s="3396"/>
      <c r="W39" s="3396"/>
      <c r="X39" s="696"/>
      <c r="Y39" s="696"/>
      <c r="Z39" s="696"/>
      <c r="AA39" s="696"/>
      <c r="AB39" s="696"/>
      <c r="AC39" s="696"/>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1" t="s">
        <v>2520</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1" t="s">
        <v>2521</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6" customFormat="1" ht="13.5" customHeight="1">
      <c r="A44" s="2954"/>
      <c r="B44" s="2954"/>
      <c r="C44" s="451" t="s">
        <v>2522</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6"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2523</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2" customFormat="1" ht="15">
      <c r="A48" s="459" t="s">
        <v>2524</v>
      </c>
      <c r="B48" s="460"/>
      <c r="C48" s="1343" t="str">
        <f>YEAR(C7)&amp;"-"&amp;MONTH(C7)</f>
        <v>2021-2</v>
      </c>
      <c r="D48" s="1344">
        <f>EDATE(C48,-1)</f>
        <v>44197</v>
      </c>
      <c r="E48" s="1344">
        <f t="shared" ref="E48:O48" si="16">EDATE(D48,-1)</f>
        <v>44166</v>
      </c>
      <c r="F48" s="1344">
        <f t="shared" si="16"/>
        <v>44136</v>
      </c>
      <c r="G48" s="1344">
        <f t="shared" si="16"/>
        <v>44105</v>
      </c>
      <c r="H48" s="1344">
        <f t="shared" si="16"/>
        <v>44075</v>
      </c>
      <c r="I48" s="1344">
        <f t="shared" si="16"/>
        <v>44044</v>
      </c>
      <c r="J48" s="1344">
        <f t="shared" si="16"/>
        <v>44013</v>
      </c>
      <c r="K48" s="1344">
        <f t="shared" si="16"/>
        <v>43983</v>
      </c>
      <c r="L48" s="1344">
        <f t="shared" si="16"/>
        <v>43952</v>
      </c>
      <c r="M48" s="1344">
        <f t="shared" si="16"/>
        <v>43922</v>
      </c>
      <c r="N48" s="1344">
        <f t="shared" si="16"/>
        <v>43891</v>
      </c>
      <c r="O48" s="1344">
        <f t="shared" si="16"/>
        <v>43862</v>
      </c>
      <c r="P48" s="2985"/>
      <c r="Q48" s="2967"/>
      <c r="R48" s="2967"/>
      <c r="S48" s="2967"/>
      <c r="T48" s="2967"/>
      <c r="U48" s="2967"/>
      <c r="V48" s="2967"/>
      <c r="W48" s="2967"/>
      <c r="X48" s="2967"/>
      <c r="Y48" s="2967"/>
      <c r="Z48" s="2967"/>
      <c r="AA48" s="2967"/>
      <c r="AB48" s="2967"/>
      <c r="AC48" s="2967"/>
    </row>
    <row r="49" spans="1:29" s="110" customFormat="1" ht="15">
      <c r="A49" s="463"/>
      <c r="B49" s="464"/>
      <c r="C49" s="1336">
        <v>100</v>
      </c>
      <c r="D49" s="466"/>
      <c r="E49" s="466"/>
      <c r="F49" s="466"/>
      <c r="G49" s="466"/>
      <c r="H49" s="466"/>
      <c r="I49" s="466"/>
      <c r="J49" s="466"/>
      <c r="K49" s="466"/>
      <c r="L49" s="466"/>
      <c r="M49" s="467"/>
      <c r="N49" s="466"/>
      <c r="O49" s="467"/>
      <c r="P49" s="2986"/>
      <c r="Q49" s="2885"/>
      <c r="R49" s="2885"/>
      <c r="S49" s="2885"/>
      <c r="T49" s="2885"/>
      <c r="U49" s="2885"/>
      <c r="V49" s="2885"/>
      <c r="W49" s="2885"/>
      <c r="X49" s="2885"/>
      <c r="Y49" s="2885"/>
      <c r="Z49" s="2885"/>
      <c r="AA49" s="2885"/>
      <c r="AB49" s="2885"/>
      <c r="AC49" s="2885"/>
    </row>
    <row r="50" spans="1:29" s="110" customFormat="1" ht="15.75" thickBot="1">
      <c r="A50" s="469" t="s">
        <v>2381</v>
      </c>
      <c r="B50" s="470"/>
      <c r="C50" s="471"/>
      <c r="D50" s="472"/>
      <c r="E50" s="472"/>
      <c r="F50" s="472"/>
      <c r="G50" s="472"/>
      <c r="H50" s="472"/>
      <c r="I50" s="472"/>
      <c r="J50" s="472"/>
      <c r="K50" s="472"/>
      <c r="L50" s="472"/>
      <c r="M50" s="473"/>
      <c r="N50" s="472"/>
      <c r="O50" s="473"/>
      <c r="P50" s="2986"/>
      <c r="Q50" s="2965"/>
      <c r="R50" s="2885"/>
      <c r="S50" s="2885"/>
      <c r="T50" s="2885"/>
      <c r="U50" s="2885"/>
      <c r="V50" s="2885"/>
      <c r="W50" s="2885"/>
      <c r="X50" s="2885"/>
      <c r="Y50" s="2885"/>
      <c r="Z50" s="2885"/>
      <c r="AA50" s="2885"/>
      <c r="AB50" s="2885"/>
      <c r="AC50" s="2885"/>
    </row>
    <row r="51" spans="1:29" s="110" customFormat="1" ht="15">
      <c r="A51" s="475" t="s">
        <v>2346</v>
      </c>
      <c r="B51" s="464"/>
      <c r="C51" s="476" t="s">
        <v>2448</v>
      </c>
      <c r="D51" s="477"/>
      <c r="E51" s="477"/>
      <c r="F51" s="477"/>
      <c r="G51" s="477"/>
      <c r="H51" s="477"/>
      <c r="I51" s="477"/>
      <c r="J51" s="477"/>
      <c r="K51" s="477"/>
      <c r="L51" s="478"/>
      <c r="M51" s="479"/>
      <c r="N51" s="2978"/>
      <c r="O51" s="2978"/>
      <c r="P51" s="2987"/>
      <c r="Q51" s="2965"/>
      <c r="R51" s="2885"/>
      <c r="S51" s="2885"/>
      <c r="T51" s="2885"/>
      <c r="U51" s="2885"/>
      <c r="V51" s="2885"/>
      <c r="W51" s="2885"/>
      <c r="X51" s="2885"/>
      <c r="Y51" s="2885"/>
      <c r="Z51" s="2885"/>
      <c r="AA51" s="2885"/>
      <c r="AB51" s="2885"/>
      <c r="AC51" s="2885"/>
    </row>
    <row r="52" spans="1:29" s="110" customFormat="1" ht="15.75" thickBot="1">
      <c r="A52" s="475"/>
      <c r="B52" s="464"/>
      <c r="C52" s="592">
        <v>100</v>
      </c>
      <c r="D52" s="466"/>
      <c r="E52" s="466"/>
      <c r="F52" s="466"/>
      <c r="G52" s="466"/>
      <c r="H52" s="466"/>
      <c r="I52" s="466"/>
      <c r="J52" s="466"/>
      <c r="K52" s="466"/>
      <c r="L52" s="466"/>
      <c r="M52" s="468"/>
      <c r="N52" s="2978"/>
      <c r="O52" s="2978"/>
      <c r="P52" s="2986"/>
      <c r="Q52" s="2965"/>
      <c r="R52" s="2885"/>
      <c r="S52" s="2885"/>
      <c r="T52" s="2885"/>
      <c r="U52" s="2885"/>
      <c r="V52" s="2885"/>
      <c r="W52" s="2885"/>
      <c r="X52" s="2885"/>
      <c r="Y52" s="2885"/>
      <c r="Z52" s="2885"/>
      <c r="AA52" s="2885"/>
      <c r="AB52" s="2885"/>
      <c r="AC52" s="2885"/>
    </row>
    <row r="53" spans="1:29">
      <c r="A53" s="481" t="s">
        <v>2384</v>
      </c>
      <c r="B53" s="482" t="s">
        <v>2350</v>
      </c>
      <c r="C53" s="483">
        <f>C9</f>
        <v>0</v>
      </c>
      <c r="D53" s="484"/>
      <c r="E53" s="484"/>
      <c r="F53" s="484"/>
      <c r="G53" s="484"/>
      <c r="H53" s="484"/>
      <c r="I53" s="484"/>
      <c r="J53" s="484"/>
      <c r="K53" s="485"/>
      <c r="L53" s="486"/>
      <c r="M53" s="487"/>
      <c r="N53" s="2979"/>
      <c r="O53" s="2979"/>
      <c r="P53" s="2988"/>
      <c r="Q53" s="2965"/>
      <c r="R53" s="2951"/>
      <c r="S53" s="2951"/>
      <c r="T53" s="2951"/>
      <c r="U53" s="2951"/>
      <c r="V53" s="2951"/>
      <c r="W53" s="2951"/>
      <c r="X53" s="2951"/>
      <c r="Y53" s="2951"/>
      <c r="Z53" s="2951"/>
      <c r="AA53" s="2951"/>
      <c r="AB53" s="2951"/>
      <c r="AC53" s="2951"/>
    </row>
    <row r="54" spans="1:29" ht="15.75" thickBot="1">
      <c r="A54" s="488"/>
      <c r="B54" s="489"/>
      <c r="C54" s="490">
        <v>100</v>
      </c>
      <c r="D54" s="490"/>
      <c r="E54" s="490"/>
      <c r="F54" s="490"/>
      <c r="G54" s="490"/>
      <c r="H54" s="490"/>
      <c r="I54" s="490"/>
      <c r="J54" s="490"/>
      <c r="K54" s="490"/>
      <c r="L54" s="490"/>
      <c r="M54" s="491"/>
      <c r="N54" s="2980"/>
      <c r="O54" s="2980"/>
      <c r="P54" s="2988"/>
      <c r="Q54" s="2965"/>
      <c r="R54" s="2951"/>
      <c r="S54" s="2951"/>
      <c r="T54" s="2951"/>
      <c r="U54" s="2951"/>
      <c r="V54" s="2951"/>
      <c r="W54" s="2951"/>
      <c r="X54" s="2951"/>
      <c r="Y54" s="2951"/>
      <c r="Z54" s="2951"/>
      <c r="AA54" s="2951"/>
      <c r="AB54" s="2951"/>
      <c r="AC54" s="2951"/>
    </row>
    <row r="55" spans="1:29" ht="27.75" thickTop="1">
      <c r="A55" s="488"/>
      <c r="B55" s="492" t="s">
        <v>2353</v>
      </c>
      <c r="C55" s="493" t="s">
        <v>2385</v>
      </c>
      <c r="D55" s="493" t="s">
        <v>2386</v>
      </c>
      <c r="E55" s="493" t="s">
        <v>2387</v>
      </c>
      <c r="F55" s="493" t="s">
        <v>2388</v>
      </c>
      <c r="G55" s="493" t="s">
        <v>2389</v>
      </c>
      <c r="H55" s="493" t="s">
        <v>2390</v>
      </c>
      <c r="I55" s="493" t="s">
        <v>2391</v>
      </c>
      <c r="J55" s="493"/>
      <c r="K55" s="494"/>
      <c r="L55" s="495"/>
      <c r="M55" s="496"/>
      <c r="N55" s="2979"/>
      <c r="O55" s="2979"/>
      <c r="P55" s="2988"/>
      <c r="Q55" s="2965"/>
      <c r="R55" s="2951"/>
      <c r="S55" s="2951"/>
      <c r="T55" s="2951"/>
      <c r="U55" s="2951"/>
      <c r="V55" s="2951"/>
      <c r="W55" s="2951"/>
      <c r="X55" s="2951"/>
      <c r="Y55" s="2951"/>
      <c r="Z55" s="2951"/>
      <c r="AA55" s="2951"/>
      <c r="AB55" s="2951"/>
      <c r="AC55" s="2951"/>
    </row>
    <row r="56" spans="1:29" ht="15.75" thickBot="1">
      <c r="A56" s="488"/>
      <c r="B56" s="497"/>
      <c r="C56" s="498" t="s">
        <v>21</v>
      </c>
      <c r="D56" s="498" t="s">
        <v>22</v>
      </c>
      <c r="E56" s="498">
        <v>100</v>
      </c>
      <c r="F56" s="498">
        <f>E56-$K10</f>
        <v>100</v>
      </c>
      <c r="G56" s="498">
        <f>F56-$K10</f>
        <v>100</v>
      </c>
      <c r="H56" s="498">
        <f>G56-$K10</f>
        <v>100</v>
      </c>
      <c r="I56" s="498">
        <f>H56-$K10</f>
        <v>100</v>
      </c>
      <c r="J56" s="498"/>
      <c r="K56" s="498"/>
      <c r="L56" s="498"/>
      <c r="M56" s="499"/>
      <c r="N56" s="2980"/>
      <c r="O56" s="2980"/>
      <c r="P56" s="2988"/>
      <c r="Q56" s="2965"/>
      <c r="R56" s="2951"/>
      <c r="S56" s="2951"/>
      <c r="T56" s="2951"/>
      <c r="U56" s="2951"/>
      <c r="V56" s="2951"/>
      <c r="W56" s="2951"/>
      <c r="X56" s="2951"/>
      <c r="Y56" s="2951"/>
      <c r="Z56" s="2951"/>
      <c r="AA56" s="2951"/>
      <c r="AB56" s="2951"/>
      <c r="AC56" s="2951"/>
    </row>
    <row r="57" spans="1:29" ht="15.75" thickTop="1">
      <c r="A57" s="488"/>
      <c r="B57" s="613">
        <f>B11</f>
        <v>111</v>
      </c>
      <c r="C57" s="503"/>
      <c r="D57" s="503"/>
      <c r="E57" s="503"/>
      <c r="F57" s="503"/>
      <c r="G57" s="503"/>
      <c r="H57" s="503"/>
      <c r="I57" s="503"/>
      <c r="J57" s="503"/>
      <c r="K57" s="504"/>
      <c r="L57" s="505"/>
      <c r="M57" s="506"/>
      <c r="N57" s="2979"/>
      <c r="O57" s="2979"/>
      <c r="P57" s="2988"/>
      <c r="Q57" s="2965"/>
      <c r="R57" s="2951"/>
      <c r="S57" s="2951"/>
      <c r="T57" s="2951"/>
      <c r="U57" s="2951"/>
      <c r="V57" s="2951"/>
      <c r="W57" s="2951"/>
      <c r="X57" s="2951"/>
      <c r="Y57" s="2951"/>
      <c r="Z57" s="2951"/>
      <c r="AA57" s="2951"/>
      <c r="AB57" s="2951"/>
      <c r="AC57" s="2951"/>
    </row>
    <row r="58" spans="1:29" ht="15.75" thickBot="1">
      <c r="A58" s="488"/>
      <c r="B58" s="489"/>
      <c r="C58" s="514"/>
      <c r="D58" s="490"/>
      <c r="E58" s="490"/>
      <c r="F58" s="490"/>
      <c r="G58" s="490"/>
      <c r="H58" s="490"/>
      <c r="I58" s="490"/>
      <c r="J58" s="490"/>
      <c r="K58" s="490"/>
      <c r="L58" s="490"/>
      <c r="M58" s="491"/>
      <c r="N58" s="2980"/>
      <c r="O58" s="2980"/>
      <c r="P58" s="2988"/>
      <c r="Q58" s="2965"/>
      <c r="R58" s="2951"/>
      <c r="S58" s="2951"/>
      <c r="T58" s="2951"/>
      <c r="U58" s="2951"/>
      <c r="V58" s="2951"/>
      <c r="W58" s="2951"/>
      <c r="X58" s="2951"/>
      <c r="Y58" s="2951"/>
      <c r="Z58" s="2951"/>
      <c r="AA58" s="2951"/>
      <c r="AB58" s="2951"/>
      <c r="AC58" s="2951"/>
    </row>
    <row r="59" spans="1:29" s="427" customFormat="1" ht="15.75" thickTop="1">
      <c r="A59" s="507"/>
      <c r="B59" s="492">
        <f>B12</f>
        <v>111</v>
      </c>
      <c r="C59" s="503"/>
      <c r="D59" s="503"/>
      <c r="E59" s="503"/>
      <c r="F59" s="503"/>
      <c r="G59" s="508"/>
      <c r="H59" s="509"/>
      <c r="I59" s="509"/>
      <c r="J59" s="509"/>
      <c r="K59" s="509"/>
      <c r="L59" s="510"/>
      <c r="M59" s="511"/>
      <c r="N59" s="2981"/>
      <c r="O59" s="2981"/>
      <c r="P59" s="2989"/>
      <c r="Q59" s="2972"/>
      <c r="R59" s="2973"/>
      <c r="S59" s="2973"/>
      <c r="T59" s="2973"/>
      <c r="U59" s="2973"/>
      <c r="V59" s="2973"/>
      <c r="W59" s="2973"/>
      <c r="X59" s="2973"/>
      <c r="Y59" s="2973"/>
      <c r="Z59" s="2973"/>
      <c r="AA59" s="2973"/>
      <c r="AB59" s="2973"/>
      <c r="AC59" s="2973"/>
    </row>
    <row r="60" spans="1:29" s="427" customFormat="1" ht="15.75" thickBot="1">
      <c r="A60" s="507"/>
      <c r="B60" s="497"/>
      <c r="C60" s="514"/>
      <c r="D60" s="490"/>
      <c r="E60" s="490"/>
      <c r="F60" s="490"/>
      <c r="G60" s="490"/>
      <c r="H60" s="490"/>
      <c r="I60" s="490"/>
      <c r="J60" s="490"/>
      <c r="K60" s="490"/>
      <c r="L60" s="490"/>
      <c r="M60" s="491"/>
      <c r="N60" s="2980"/>
      <c r="O60" s="2980"/>
      <c r="P60" s="2989"/>
      <c r="Q60" s="2972"/>
      <c r="R60" s="2973"/>
      <c r="S60" s="2973"/>
      <c r="T60" s="2973"/>
      <c r="U60" s="2973"/>
      <c r="V60" s="2973"/>
      <c r="W60" s="2973"/>
      <c r="X60" s="2973"/>
      <c r="Y60" s="2973"/>
      <c r="Z60" s="2973"/>
      <c r="AA60" s="2973"/>
      <c r="AB60" s="2973"/>
      <c r="AC60" s="2973"/>
    </row>
    <row r="61" spans="1:29" s="427" customFormat="1" ht="15.75" thickTop="1">
      <c r="A61" s="507"/>
      <c r="B61" s="492">
        <f>B13</f>
        <v>111</v>
      </c>
      <c r="C61" s="508"/>
      <c r="D61" s="508"/>
      <c r="E61" s="508"/>
      <c r="F61" s="508"/>
      <c r="G61" s="508"/>
      <c r="H61" s="509"/>
      <c r="I61" s="509"/>
      <c r="J61" s="509"/>
      <c r="K61" s="509"/>
      <c r="L61" s="510"/>
      <c r="M61" s="511"/>
      <c r="N61" s="2981"/>
      <c r="O61" s="2981"/>
      <c r="P61" s="2990"/>
      <c r="Q61" s="2975"/>
      <c r="R61" s="2973"/>
      <c r="S61" s="2973"/>
      <c r="T61" s="2973"/>
      <c r="U61" s="2973"/>
      <c r="V61" s="2973"/>
      <c r="W61" s="2973"/>
      <c r="X61" s="2973"/>
      <c r="Y61" s="2973"/>
      <c r="Z61" s="2973"/>
      <c r="AA61" s="2973"/>
      <c r="AB61" s="2973"/>
      <c r="AC61" s="2973"/>
    </row>
    <row r="62" spans="1:29" s="427" customFormat="1" ht="15.75" thickBot="1">
      <c r="A62" s="507"/>
      <c r="B62" s="497"/>
      <c r="C62" s="514"/>
      <c r="D62" s="514"/>
      <c r="E62" s="514"/>
      <c r="F62" s="514"/>
      <c r="G62" s="514"/>
      <c r="H62" s="516"/>
      <c r="I62" s="516"/>
      <c r="J62" s="516"/>
      <c r="K62" s="516"/>
      <c r="L62" s="516"/>
      <c r="M62" s="517"/>
      <c r="N62" s="2981"/>
      <c r="O62" s="2981"/>
      <c r="P62" s="2989"/>
      <c r="Q62" s="2972"/>
      <c r="R62" s="2973"/>
      <c r="S62" s="2973"/>
      <c r="T62" s="2973"/>
      <c r="U62" s="2973"/>
      <c r="V62" s="2973"/>
      <c r="W62" s="2973"/>
      <c r="X62" s="2973"/>
      <c r="Y62" s="2973"/>
      <c r="Z62" s="2973"/>
      <c r="AA62" s="2973"/>
      <c r="AB62" s="2973"/>
      <c r="AC62" s="2973"/>
    </row>
    <row r="63" spans="1:29" ht="15" thickTop="1">
      <c r="A63" s="481" t="s">
        <v>2355</v>
      </c>
      <c r="B63" s="482" t="s">
        <v>2398</v>
      </c>
      <c r="C63" s="527" t="s">
        <v>2393</v>
      </c>
      <c r="D63" s="527" t="s">
        <v>2394</v>
      </c>
      <c r="E63" s="527" t="s">
        <v>2395</v>
      </c>
      <c r="F63" s="527" t="s">
        <v>2396</v>
      </c>
      <c r="G63" s="527" t="s">
        <v>2397</v>
      </c>
      <c r="H63" s="483"/>
      <c r="I63" s="483"/>
      <c r="J63" s="483"/>
      <c r="K63" s="528"/>
      <c r="L63" s="529"/>
      <c r="M63" s="530"/>
      <c r="N63" s="2979"/>
      <c r="O63" s="2979"/>
      <c r="P63" s="2992"/>
      <c r="Q63" s="2965"/>
      <c r="R63" s="2951"/>
      <c r="S63" s="2951"/>
      <c r="T63" s="2951"/>
      <c r="U63" s="2951"/>
      <c r="V63" s="2951"/>
      <c r="W63" s="2951"/>
      <c r="X63" s="2951"/>
      <c r="Y63" s="2951"/>
      <c r="Z63" s="2951"/>
      <c r="AA63" s="2951"/>
      <c r="AB63" s="2951"/>
      <c r="AC63" s="2951"/>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0"/>
      <c r="O64" s="2980"/>
      <c r="P64" s="2988"/>
      <c r="Q64" s="2965"/>
      <c r="R64" s="2951"/>
      <c r="S64" s="2951"/>
      <c r="T64" s="2951"/>
      <c r="U64" s="2951"/>
      <c r="V64" s="2951"/>
      <c r="W64" s="2951"/>
      <c r="X64" s="2951"/>
      <c r="Y64" s="2951"/>
      <c r="Z64" s="2951"/>
      <c r="AA64" s="2951"/>
      <c r="AB64" s="2951"/>
      <c r="AC64" s="2951"/>
    </row>
    <row r="65" spans="1:29" ht="15.75" thickTop="1">
      <c r="A65" s="488"/>
      <c r="B65" s="492" t="s">
        <v>2399</v>
      </c>
      <c r="C65" s="532" t="s">
        <v>2393</v>
      </c>
      <c r="D65" s="532" t="s">
        <v>2394</v>
      </c>
      <c r="E65" s="532" t="s">
        <v>2395</v>
      </c>
      <c r="F65" s="532" t="s">
        <v>2396</v>
      </c>
      <c r="G65" s="532" t="s">
        <v>2397</v>
      </c>
      <c r="H65" s="493"/>
      <c r="I65" s="493"/>
      <c r="J65" s="493"/>
      <c r="K65" s="494"/>
      <c r="L65" s="495"/>
      <c r="M65" s="496"/>
      <c r="N65" s="2979"/>
      <c r="O65" s="2979"/>
      <c r="P65" s="2988"/>
      <c r="Q65" s="2965"/>
      <c r="R65" s="2951"/>
      <c r="S65" s="2951"/>
      <c r="T65" s="2951"/>
      <c r="U65" s="2951"/>
      <c r="V65" s="2951"/>
      <c r="W65" s="2951"/>
      <c r="X65" s="2951"/>
      <c r="Y65" s="2951"/>
      <c r="Z65" s="2951"/>
      <c r="AA65" s="2951"/>
      <c r="AB65" s="2951"/>
      <c r="AC65" s="2951"/>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0"/>
      <c r="O66" s="2980"/>
      <c r="P66" s="2988"/>
      <c r="Q66" s="2965"/>
      <c r="R66" s="2951"/>
      <c r="S66" s="2951"/>
      <c r="T66" s="2951"/>
      <c r="U66" s="2951"/>
      <c r="V66" s="2951"/>
      <c r="W66" s="2951"/>
      <c r="X66" s="2951"/>
      <c r="Y66" s="2951"/>
      <c r="Z66" s="2951"/>
      <c r="AA66" s="2951"/>
      <c r="AB66" s="2951"/>
      <c r="AC66" s="2951"/>
    </row>
    <row r="67" spans="1:29" ht="15.75" thickTop="1">
      <c r="A67" s="488"/>
      <c r="B67" s="500" t="s">
        <v>2485</v>
      </c>
      <c r="C67" s="613" t="s">
        <v>2471</v>
      </c>
      <c r="D67" s="613" t="s">
        <v>2472</v>
      </c>
      <c r="E67" s="613" t="s">
        <v>2473</v>
      </c>
      <c r="F67" s="613" t="s">
        <v>2474</v>
      </c>
      <c r="G67" s="613" t="s">
        <v>2475</v>
      </c>
      <c r="H67" s="493"/>
      <c r="I67" s="493"/>
      <c r="J67" s="493"/>
      <c r="K67" s="493"/>
      <c r="L67" s="493"/>
      <c r="M67" s="1288"/>
      <c r="N67" s="2980"/>
      <c r="O67" s="2980"/>
      <c r="P67" s="2988"/>
      <c r="Q67" s="2965"/>
      <c r="R67" s="2951"/>
      <c r="S67" s="2951"/>
      <c r="T67" s="2951"/>
      <c r="U67" s="2951"/>
      <c r="V67" s="2951"/>
      <c r="W67" s="2951"/>
      <c r="X67" s="2951"/>
      <c r="Y67" s="2951"/>
      <c r="Z67" s="2951"/>
      <c r="AA67" s="2951"/>
      <c r="AB67" s="2951"/>
      <c r="AC67" s="2951"/>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0"/>
      <c r="O68" s="2980"/>
      <c r="P68" s="2988"/>
      <c r="Q68" s="2965"/>
      <c r="R68" s="2951"/>
      <c r="S68" s="2951"/>
      <c r="T68" s="2951"/>
      <c r="U68" s="2951"/>
      <c r="V68" s="2951"/>
      <c r="W68" s="2951"/>
      <c r="X68" s="2951"/>
      <c r="Y68" s="2951"/>
      <c r="Z68" s="2951"/>
      <c r="AA68" s="2951"/>
      <c r="AB68" s="2951"/>
      <c r="AC68" s="2951"/>
    </row>
    <row r="69" spans="1:29" ht="15.75" thickTop="1">
      <c r="A69" s="488"/>
      <c r="B69" s="492" t="s">
        <v>2405</v>
      </c>
      <c r="C69" s="532" t="s">
        <v>2393</v>
      </c>
      <c r="D69" s="532" t="s">
        <v>2394</v>
      </c>
      <c r="E69" s="532" t="s">
        <v>2395</v>
      </c>
      <c r="F69" s="532" t="s">
        <v>2396</v>
      </c>
      <c r="G69" s="532" t="s">
        <v>2397</v>
      </c>
      <c r="H69" s="493"/>
      <c r="I69" s="493"/>
      <c r="J69" s="493"/>
      <c r="K69" s="494"/>
      <c r="L69" s="495"/>
      <c r="M69" s="496"/>
      <c r="N69" s="2979"/>
      <c r="O69" s="2979"/>
      <c r="P69" s="2988"/>
      <c r="Q69" s="2965"/>
      <c r="R69" s="2951"/>
      <c r="S69" s="2951"/>
      <c r="T69" s="2951"/>
      <c r="U69" s="2951"/>
      <c r="V69" s="2951"/>
      <c r="W69" s="2951"/>
      <c r="X69" s="2951"/>
      <c r="Y69" s="2951"/>
      <c r="Z69" s="2951"/>
      <c r="AA69" s="2951"/>
      <c r="AB69" s="2951"/>
      <c r="AC69" s="2951"/>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0"/>
      <c r="O70" s="2980"/>
      <c r="P70" s="2988"/>
      <c r="Q70" s="2965"/>
      <c r="R70" s="2951"/>
      <c r="S70" s="2951"/>
      <c r="T70" s="2951"/>
      <c r="U70" s="2951"/>
      <c r="V70" s="2951"/>
      <c r="W70" s="2951"/>
      <c r="X70" s="2951"/>
      <c r="Y70" s="2951"/>
      <c r="Z70" s="2951"/>
      <c r="AA70" s="2951"/>
      <c r="AB70" s="2951"/>
      <c r="AC70" s="2951"/>
    </row>
    <row r="71" spans="1:29" ht="15.75" thickTop="1">
      <c r="A71" s="488"/>
      <c r="B71" s="492" t="s">
        <v>2525</v>
      </c>
      <c r="C71" s="508"/>
      <c r="D71" s="508"/>
      <c r="E71" s="508"/>
      <c r="F71" s="508"/>
      <c r="G71" s="508"/>
      <c r="H71" s="537"/>
      <c r="I71" s="537"/>
      <c r="J71" s="537"/>
      <c r="K71" s="538"/>
      <c r="L71" s="539"/>
      <c r="M71" s="540"/>
      <c r="N71" s="2979"/>
      <c r="O71" s="2979"/>
      <c r="P71" s="2988"/>
      <c r="Q71" s="2965"/>
      <c r="R71" s="2951"/>
      <c r="S71" s="2951"/>
      <c r="T71" s="2951"/>
      <c r="U71" s="2951"/>
      <c r="V71" s="2951"/>
      <c r="W71" s="2951"/>
      <c r="X71" s="2951"/>
      <c r="Y71" s="2951"/>
      <c r="Z71" s="2951"/>
      <c r="AA71" s="2951"/>
      <c r="AB71" s="2951"/>
      <c r="AC71" s="2951"/>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0"/>
      <c r="O72" s="2980"/>
      <c r="P72" s="2988"/>
      <c r="Q72" s="2965"/>
      <c r="R72" s="2951"/>
      <c r="S72" s="2951"/>
      <c r="T72" s="2951"/>
      <c r="U72" s="2951"/>
      <c r="V72" s="2951"/>
      <c r="W72" s="2951"/>
      <c r="X72" s="2951"/>
      <c r="Y72" s="2951"/>
      <c r="Z72" s="2951"/>
      <c r="AA72" s="2951"/>
      <c r="AB72" s="2951"/>
      <c r="AC72" s="2951"/>
    </row>
    <row r="73" spans="1:29" s="110" customFormat="1" ht="15.75" thickTop="1">
      <c r="A73" s="533"/>
      <c r="B73" s="492">
        <f>B23</f>
        <v>111</v>
      </c>
      <c r="C73" s="503"/>
      <c r="D73" s="503"/>
      <c r="E73" s="503"/>
      <c r="F73" s="503"/>
      <c r="G73" s="508"/>
      <c r="H73" s="508"/>
      <c r="I73" s="508"/>
      <c r="J73" s="508"/>
      <c r="K73" s="508"/>
      <c r="L73" s="534"/>
      <c r="M73" s="535"/>
      <c r="N73" s="2978"/>
      <c r="O73" s="2978"/>
      <c r="P73" s="2988"/>
      <c r="Q73" s="2965"/>
      <c r="R73" s="2885"/>
      <c r="S73" s="2885"/>
      <c r="T73" s="2885"/>
      <c r="U73" s="2885"/>
      <c r="V73" s="2885"/>
      <c r="W73" s="2885"/>
      <c r="X73" s="2885"/>
      <c r="Y73" s="2885"/>
      <c r="Z73" s="2885"/>
      <c r="AA73" s="2885"/>
      <c r="AB73" s="2885"/>
      <c r="AC73" s="2885"/>
    </row>
    <row r="74" spans="1:29" s="110" customFormat="1" ht="15.75" thickBot="1">
      <c r="A74" s="533"/>
      <c r="B74" s="497"/>
      <c r="C74" s="514"/>
      <c r="D74" s="490"/>
      <c r="E74" s="490"/>
      <c r="F74" s="490"/>
      <c r="G74" s="490"/>
      <c r="H74" s="490"/>
      <c r="I74" s="490"/>
      <c r="J74" s="490"/>
      <c r="K74" s="490"/>
      <c r="L74" s="490"/>
      <c r="M74" s="491"/>
      <c r="N74" s="2980"/>
      <c r="O74" s="2980"/>
      <c r="P74" s="2988"/>
      <c r="Q74" s="2965"/>
      <c r="R74" s="2885"/>
      <c r="S74" s="2885"/>
      <c r="T74" s="2885"/>
      <c r="U74" s="2885"/>
      <c r="V74" s="2885"/>
      <c r="W74" s="2885"/>
      <c r="X74" s="2885"/>
      <c r="Y74" s="2885"/>
      <c r="Z74" s="2885"/>
      <c r="AA74" s="2885"/>
      <c r="AB74" s="2885"/>
      <c r="AC74" s="2885"/>
    </row>
    <row r="75" spans="1:29" s="110" customFormat="1" ht="15.75" thickTop="1">
      <c r="A75" s="533"/>
      <c r="B75" s="492">
        <f>B24</f>
        <v>111</v>
      </c>
      <c r="C75" s="503"/>
      <c r="D75" s="503"/>
      <c r="E75" s="503"/>
      <c r="F75" s="503"/>
      <c r="G75" s="508"/>
      <c r="H75" s="508"/>
      <c r="I75" s="508"/>
      <c r="J75" s="508"/>
      <c r="K75" s="508"/>
      <c r="L75" s="508"/>
      <c r="M75" s="535"/>
      <c r="N75" s="2978"/>
      <c r="O75" s="2978"/>
      <c r="P75" s="2988"/>
      <c r="Q75" s="2965"/>
      <c r="R75" s="2885"/>
      <c r="S75" s="2885"/>
      <c r="T75" s="2885"/>
      <c r="U75" s="2885"/>
      <c r="V75" s="2885"/>
      <c r="W75" s="2885"/>
      <c r="X75" s="2885"/>
      <c r="Y75" s="2885"/>
      <c r="Z75" s="2885"/>
      <c r="AA75" s="2885"/>
      <c r="AB75" s="2885"/>
      <c r="AC75" s="2885"/>
    </row>
    <row r="76" spans="1:29" s="110" customFormat="1" ht="15.75" thickBot="1">
      <c r="A76" s="533"/>
      <c r="B76" s="497"/>
      <c r="C76" s="514"/>
      <c r="D76" s="490"/>
      <c r="E76" s="490"/>
      <c r="F76" s="490"/>
      <c r="G76" s="490"/>
      <c r="H76" s="490"/>
      <c r="I76" s="490"/>
      <c r="J76" s="490"/>
      <c r="K76" s="490"/>
      <c r="L76" s="490"/>
      <c r="M76" s="491"/>
      <c r="N76" s="2980"/>
      <c r="O76" s="2980"/>
      <c r="P76" s="2988"/>
      <c r="Q76" s="2965"/>
      <c r="R76" s="2885"/>
      <c r="S76" s="2885"/>
      <c r="T76" s="2885"/>
      <c r="U76" s="2885"/>
      <c r="V76" s="2885"/>
      <c r="W76" s="2885"/>
      <c r="X76" s="2885"/>
      <c r="Y76" s="2885"/>
      <c r="Z76" s="2885"/>
      <c r="AA76" s="2885"/>
      <c r="AB76" s="2885"/>
      <c r="AC76" s="2885"/>
    </row>
    <row r="77" spans="1:29" s="427" customFormat="1" ht="15.75" thickTop="1">
      <c r="A77" s="507"/>
      <c r="B77" s="492">
        <f>B25</f>
        <v>111</v>
      </c>
      <c r="C77" s="508"/>
      <c r="D77" s="508"/>
      <c r="E77" s="508"/>
      <c r="F77" s="508"/>
      <c r="G77" s="508"/>
      <c r="H77" s="509"/>
      <c r="I77" s="509"/>
      <c r="J77" s="509"/>
      <c r="K77" s="509"/>
      <c r="L77" s="510"/>
      <c r="M77" s="511"/>
      <c r="N77" s="2981"/>
      <c r="O77" s="2981"/>
      <c r="P77" s="2989"/>
      <c r="Q77" s="2972"/>
      <c r="R77" s="2973"/>
      <c r="S77" s="2973"/>
      <c r="T77" s="2973"/>
      <c r="U77" s="2973"/>
      <c r="V77" s="2973"/>
      <c r="W77" s="2973"/>
      <c r="X77" s="2973"/>
      <c r="Y77" s="2973"/>
      <c r="Z77" s="2973"/>
      <c r="AA77" s="2973"/>
      <c r="AB77" s="2973"/>
      <c r="AC77" s="2973"/>
    </row>
    <row r="78" spans="1:29" s="427" customFormat="1" ht="15.75" thickBot="1">
      <c r="A78" s="507"/>
      <c r="B78" s="497"/>
      <c r="C78" s="514"/>
      <c r="D78" s="514"/>
      <c r="E78" s="514"/>
      <c r="F78" s="514"/>
      <c r="G78" s="490"/>
      <c r="H78" s="490"/>
      <c r="I78" s="490"/>
      <c r="J78" s="490"/>
      <c r="K78" s="490"/>
      <c r="L78" s="490"/>
      <c r="M78" s="491"/>
      <c r="N78" s="2981"/>
      <c r="O78" s="2981"/>
      <c r="P78" s="2989"/>
      <c r="Q78" s="2972"/>
      <c r="R78" s="2973"/>
      <c r="S78" s="2973"/>
      <c r="T78" s="2973"/>
      <c r="U78" s="2973"/>
      <c r="V78" s="2973"/>
      <c r="W78" s="2973"/>
      <c r="X78" s="2973"/>
      <c r="Y78" s="2973"/>
      <c r="Z78" s="2973"/>
      <c r="AA78" s="2973"/>
      <c r="AB78" s="2973"/>
      <c r="AC78" s="2973"/>
    </row>
    <row r="79" spans="1:29" ht="27.75" thickTop="1">
      <c r="A79" s="481" t="s">
        <v>2359</v>
      </c>
      <c r="B79" s="482" t="s">
        <v>2526</v>
      </c>
      <c r="C79" s="483">
        <f>C26</f>
        <v>0</v>
      </c>
      <c r="D79" s="484"/>
      <c r="E79" s="484"/>
      <c r="F79" s="484"/>
      <c r="G79" s="484"/>
      <c r="H79" s="484"/>
      <c r="I79" s="484"/>
      <c r="J79" s="484"/>
      <c r="K79" s="485"/>
      <c r="L79" s="486"/>
      <c r="M79" s="487"/>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8"/>
      <c r="B81" s="492" t="s">
        <v>2527</v>
      </c>
      <c r="C81" s="614"/>
      <c r="D81" s="614"/>
      <c r="E81" s="614"/>
      <c r="F81" s="614"/>
      <c r="G81" s="614"/>
      <c r="H81" s="614"/>
      <c r="I81" s="614"/>
      <c r="J81" s="614"/>
      <c r="K81" s="615"/>
      <c r="L81" s="616"/>
      <c r="M81" s="617"/>
      <c r="N81" s="2978"/>
      <c r="O81" s="2978"/>
      <c r="P81" s="2988"/>
      <c r="Q81" s="2965"/>
      <c r="R81" s="2951"/>
      <c r="S81" s="2951"/>
      <c r="T81" s="2951"/>
      <c r="U81" s="2951"/>
      <c r="V81" s="2951"/>
      <c r="W81" s="2951"/>
      <c r="X81" s="2951"/>
      <c r="Y81" s="2951"/>
      <c r="Z81" s="2951"/>
      <c r="AA81" s="2951"/>
      <c r="AB81" s="2951"/>
      <c r="AC81" s="2951"/>
    </row>
    <row r="82" spans="1:29" s="427" customFormat="1" ht="15.75" thickBot="1">
      <c r="A82" s="507"/>
      <c r="B82" s="497"/>
      <c r="C82" s="514"/>
      <c r="D82" s="490"/>
      <c r="E82" s="490"/>
      <c r="F82" s="490"/>
      <c r="G82" s="490"/>
      <c r="H82" s="490"/>
      <c r="I82" s="490"/>
      <c r="J82" s="490"/>
      <c r="K82" s="490"/>
      <c r="L82" s="490"/>
      <c r="M82" s="491"/>
      <c r="N82" s="2980"/>
      <c r="O82" s="2980"/>
      <c r="P82" s="2989"/>
      <c r="Q82" s="2972"/>
      <c r="R82" s="2973"/>
      <c r="S82" s="2973"/>
      <c r="T82" s="2973"/>
      <c r="U82" s="2973"/>
      <c r="V82" s="2973"/>
      <c r="W82" s="2973"/>
      <c r="X82" s="2973"/>
      <c r="Y82" s="2973"/>
      <c r="Z82" s="2973"/>
      <c r="AA82" s="2973"/>
      <c r="AB82" s="2973"/>
      <c r="AC82" s="2973"/>
    </row>
    <row r="83" spans="1:29" ht="15" thickTop="1">
      <c r="A83" s="553"/>
      <c r="B83" s="492" t="s">
        <v>2412</v>
      </c>
      <c r="C83" s="508"/>
      <c r="D83" s="508"/>
      <c r="E83" s="537"/>
      <c r="F83" s="537"/>
      <c r="G83" s="537"/>
      <c r="H83" s="537"/>
      <c r="I83" s="537"/>
      <c r="J83" s="537"/>
      <c r="K83" s="538"/>
      <c r="L83" s="539"/>
      <c r="M83" s="540"/>
      <c r="N83" s="2979"/>
      <c r="O83" s="2979"/>
      <c r="P83" s="2988"/>
      <c r="Q83" s="2965"/>
      <c r="R83" s="2951"/>
      <c r="S83" s="2951"/>
      <c r="T83" s="2951"/>
      <c r="U83" s="2951"/>
      <c r="V83" s="2951"/>
      <c r="W83" s="2951"/>
      <c r="X83" s="2951"/>
      <c r="Y83" s="2951"/>
      <c r="Z83" s="2951"/>
      <c r="AA83" s="2951"/>
      <c r="AB83" s="2951"/>
      <c r="AC83" s="2951"/>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3"/>
      <c r="B85" s="492" t="s">
        <v>2528</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9"/>
      <c r="O85" s="2979"/>
      <c r="P85" s="2988"/>
      <c r="Q85" s="2965"/>
      <c r="R85" s="2951"/>
      <c r="S85" s="2951"/>
      <c r="T85" s="2951"/>
      <c r="U85" s="2951"/>
      <c r="V85" s="2951"/>
      <c r="W85" s="2951"/>
      <c r="X85" s="2951"/>
      <c r="Y85" s="2951"/>
      <c r="Z85" s="2951"/>
      <c r="AA85" s="2951"/>
      <c r="AB85" s="2951"/>
      <c r="AC85" s="2951"/>
    </row>
    <row r="86" spans="1:29">
      <c r="A86" s="553"/>
      <c r="B86" s="500"/>
      <c r="C86" s="557">
        <v>0.5</v>
      </c>
      <c r="D86" s="557">
        <v>0.6</v>
      </c>
      <c r="E86" s="557">
        <v>0.7</v>
      </c>
      <c r="F86" s="557">
        <v>0.8</v>
      </c>
      <c r="G86" s="557">
        <v>0.9</v>
      </c>
      <c r="H86" s="557">
        <v>1.0001</v>
      </c>
      <c r="I86" s="576"/>
      <c r="J86" s="576"/>
      <c r="K86" s="577"/>
      <c r="L86" s="578"/>
      <c r="M86" s="579"/>
      <c r="N86" s="2979"/>
      <c r="O86" s="2979"/>
      <c r="P86" s="2988"/>
      <c r="Q86" s="2965"/>
      <c r="R86" s="2951"/>
      <c r="S86" s="2951"/>
      <c r="T86" s="2951"/>
      <c r="U86" s="2951"/>
      <c r="V86" s="2951"/>
      <c r="W86" s="2951"/>
      <c r="X86" s="2951"/>
      <c r="Y86" s="2951"/>
      <c r="Z86" s="2951"/>
      <c r="AA86" s="2951"/>
      <c r="AB86" s="2951"/>
      <c r="AC86" s="2951"/>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3"/>
      <c r="B88" s="500" t="s">
        <v>2529</v>
      </c>
      <c r="C88" s="484"/>
      <c r="D88" s="484"/>
      <c r="E88" s="484"/>
      <c r="F88" s="484"/>
      <c r="G88" s="484"/>
      <c r="H88" s="484"/>
      <c r="I88" s="484"/>
      <c r="J88" s="484"/>
      <c r="K88" s="485"/>
      <c r="L88" s="486"/>
      <c r="M88" s="487"/>
      <c r="N88" s="2979"/>
      <c r="O88" s="2979"/>
      <c r="P88" s="2988"/>
      <c r="Q88" s="2965"/>
      <c r="R88" s="2951"/>
      <c r="S88" s="2951"/>
      <c r="T88" s="2951"/>
      <c r="U88" s="2951"/>
      <c r="V88" s="2951"/>
      <c r="W88" s="2951"/>
      <c r="X88" s="2951"/>
      <c r="Y88" s="2951"/>
      <c r="Z88" s="2951"/>
      <c r="AA88" s="2951"/>
      <c r="AB88" s="2951"/>
      <c r="AC88" s="2951"/>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0"/>
      <c r="O89" s="2980"/>
      <c r="P89" s="2988"/>
      <c r="Q89" s="2965"/>
      <c r="R89" s="2951"/>
      <c r="S89" s="2951"/>
      <c r="T89" s="2951"/>
      <c r="U89" s="2951"/>
      <c r="V89" s="2951"/>
      <c r="W89" s="2951"/>
      <c r="X89" s="2951"/>
      <c r="Y89" s="2951"/>
      <c r="Z89" s="2951"/>
      <c r="AA89" s="2951"/>
      <c r="AB89" s="2951"/>
      <c r="AC89" s="2951"/>
    </row>
    <row r="90" spans="1:29" s="427" customFormat="1" ht="15" thickTop="1">
      <c r="A90" s="547"/>
      <c r="B90" s="492" t="s">
        <v>2530</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1"/>
      <c r="O90" s="2981"/>
      <c r="P90" s="2989"/>
      <c r="Q90" s="2972"/>
      <c r="R90" s="2973"/>
      <c r="S90" s="2973"/>
      <c r="T90" s="2973"/>
      <c r="U90" s="2973"/>
      <c r="V90" s="2973"/>
      <c r="W90" s="2973"/>
      <c r="X90" s="2973"/>
      <c r="Y90" s="2973"/>
      <c r="Z90" s="2973"/>
      <c r="AA90" s="2973"/>
      <c r="AB90" s="2973"/>
      <c r="AC90" s="2973"/>
    </row>
    <row r="91" spans="1:29" s="427" customFormat="1">
      <c r="A91" s="547"/>
      <c r="B91" s="500"/>
      <c r="C91" s="549"/>
      <c r="D91" s="549"/>
      <c r="E91" s="549"/>
      <c r="F91" s="549"/>
      <c r="G91" s="549"/>
      <c r="H91" s="549"/>
      <c r="I91" s="549"/>
      <c r="J91" s="550"/>
      <c r="K91" s="550"/>
      <c r="L91" s="551"/>
      <c r="M91" s="552"/>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14"/>
      <c r="D92" s="490"/>
      <c r="E92" s="490"/>
      <c r="F92" s="490"/>
      <c r="G92" s="490"/>
      <c r="H92" s="490"/>
      <c r="I92" s="490"/>
      <c r="J92" s="490"/>
      <c r="K92" s="490"/>
      <c r="L92" s="490"/>
      <c r="M92" s="491"/>
      <c r="N92" s="2981"/>
      <c r="O92" s="2981"/>
      <c r="P92" s="2989"/>
      <c r="Q92" s="2972"/>
      <c r="R92" s="2973"/>
      <c r="S92" s="2973"/>
      <c r="T92" s="2973"/>
      <c r="U92" s="2973"/>
      <c r="V92" s="2973"/>
      <c r="W92" s="2973"/>
      <c r="X92" s="2973"/>
      <c r="Y92" s="2973"/>
      <c r="Z92" s="2973"/>
      <c r="AA92" s="2973"/>
      <c r="AB92" s="2973"/>
      <c r="AC92" s="2973"/>
    </row>
    <row r="93" spans="1:29" ht="15" thickTop="1">
      <c r="A93" s="553"/>
      <c r="B93" s="492" t="s">
        <v>2531</v>
      </c>
      <c r="C93" s="508"/>
      <c r="D93" s="508"/>
      <c r="E93" s="537"/>
      <c r="F93" s="537"/>
      <c r="G93" s="537"/>
      <c r="H93" s="537"/>
      <c r="I93" s="537"/>
      <c r="J93" s="537"/>
      <c r="K93" s="538"/>
      <c r="L93" s="539"/>
      <c r="M93" s="540"/>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3"/>
      <c r="B95" s="492" t="s">
        <v>2532</v>
      </c>
      <c r="C95" s="484"/>
      <c r="D95" s="484"/>
      <c r="E95" s="484"/>
      <c r="F95" s="484"/>
      <c r="G95" s="484"/>
      <c r="H95" s="484"/>
      <c r="I95" s="484"/>
      <c r="J95" s="484"/>
      <c r="K95" s="485"/>
      <c r="L95" s="486"/>
      <c r="M95" s="487"/>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0"/>
      <c r="O96" s="2980"/>
      <c r="P96" s="2988"/>
      <c r="Q96" s="2965"/>
      <c r="R96" s="2951"/>
      <c r="S96" s="2951"/>
      <c r="T96" s="2951"/>
      <c r="U96" s="2951"/>
      <c r="V96" s="2951"/>
      <c r="W96" s="2951"/>
      <c r="X96" s="2951"/>
      <c r="Y96" s="2951"/>
      <c r="Z96" s="2951"/>
      <c r="AA96" s="2951"/>
      <c r="AB96" s="2951"/>
      <c r="AC96" s="2951"/>
    </row>
    <row r="97" spans="1:29" ht="15" thickTop="1">
      <c r="A97" s="553"/>
      <c r="B97" s="589">
        <f>B34</f>
        <v>111</v>
      </c>
      <c r="C97" s="503"/>
      <c r="D97" s="503"/>
      <c r="E97" s="503"/>
      <c r="F97" s="503"/>
      <c r="G97" s="508"/>
      <c r="H97" s="509"/>
      <c r="I97" s="509"/>
      <c r="J97" s="509"/>
      <c r="K97" s="509"/>
      <c r="L97" s="510"/>
      <c r="M97" s="511"/>
      <c r="N97" s="2980"/>
      <c r="O97" s="2980"/>
      <c r="P97" s="2993"/>
      <c r="Q97" s="2994"/>
      <c r="R97" s="2951"/>
      <c r="S97" s="2951"/>
      <c r="T97" s="2951"/>
      <c r="U97" s="2951"/>
      <c r="V97" s="2951"/>
      <c r="W97" s="2951"/>
      <c r="X97" s="2951"/>
      <c r="Y97" s="2951"/>
      <c r="Z97" s="2951"/>
      <c r="AA97" s="2951"/>
      <c r="AB97" s="2951"/>
      <c r="AC97" s="2951"/>
    </row>
    <row r="98" spans="1:29" ht="15.75" thickBot="1">
      <c r="A98" s="488"/>
      <c r="B98" s="497"/>
      <c r="C98" s="514"/>
      <c r="D98" s="490"/>
      <c r="E98" s="490"/>
      <c r="F98" s="490"/>
      <c r="G98" s="514"/>
      <c r="H98" s="516"/>
      <c r="I98" s="516"/>
      <c r="J98" s="516"/>
      <c r="K98" s="516"/>
      <c r="L98" s="516"/>
      <c r="M98" s="517"/>
      <c r="N98" s="2980"/>
      <c r="O98" s="2980"/>
      <c r="P98" s="2988"/>
      <c r="Q98" s="2965"/>
      <c r="R98" s="2951"/>
      <c r="S98" s="2951"/>
      <c r="T98" s="2951"/>
      <c r="U98" s="2951"/>
      <c r="V98" s="2951"/>
      <c r="W98" s="2951"/>
      <c r="X98" s="2951"/>
      <c r="Y98" s="2951"/>
      <c r="Z98" s="2951"/>
      <c r="AA98" s="2951"/>
      <c r="AB98" s="2951"/>
      <c r="AC98" s="2951"/>
    </row>
    <row r="99" spans="1:29" s="427" customFormat="1" ht="15" thickTop="1">
      <c r="A99" s="547"/>
      <c r="B99" s="492">
        <f>B35</f>
        <v>111</v>
      </c>
      <c r="C99" s="503"/>
      <c r="D99" s="503"/>
      <c r="E99" s="503"/>
      <c r="F99" s="503"/>
      <c r="G99" s="508"/>
      <c r="H99" s="509"/>
      <c r="I99" s="509"/>
      <c r="J99" s="509"/>
      <c r="K99" s="509"/>
      <c r="L99" s="510"/>
      <c r="M99" s="511"/>
      <c r="N99" s="2981"/>
      <c r="O99" s="2981"/>
      <c r="P99" s="2989"/>
      <c r="Q99" s="2972"/>
      <c r="R99" s="2973"/>
      <c r="S99" s="2973"/>
      <c r="T99" s="2973"/>
      <c r="U99" s="2973"/>
      <c r="V99" s="2973"/>
      <c r="W99" s="2973"/>
      <c r="X99" s="2973"/>
      <c r="Y99" s="2973"/>
      <c r="Z99" s="2973"/>
      <c r="AA99" s="2973"/>
      <c r="AB99" s="2973"/>
      <c r="AC99" s="2973"/>
    </row>
    <row r="100" spans="1:29" s="427" customFormat="1" ht="15.75" thickBot="1">
      <c r="A100" s="507"/>
      <c r="B100" s="489"/>
      <c r="C100" s="514"/>
      <c r="D100" s="490"/>
      <c r="E100" s="490"/>
      <c r="F100" s="490"/>
      <c r="G100" s="514"/>
      <c r="H100" s="516"/>
      <c r="I100" s="516"/>
      <c r="J100" s="516"/>
      <c r="K100" s="516"/>
      <c r="L100" s="516"/>
      <c r="M100" s="517"/>
      <c r="N100" s="2981"/>
      <c r="O100" s="2981"/>
      <c r="P100" s="2989"/>
      <c r="Q100" s="2972"/>
      <c r="R100" s="2973"/>
      <c r="S100" s="2973"/>
      <c r="T100" s="2973"/>
      <c r="U100" s="2973"/>
      <c r="V100" s="2973"/>
      <c r="W100" s="2973"/>
      <c r="X100" s="2973"/>
      <c r="Y100" s="2973"/>
      <c r="Z100" s="2973"/>
      <c r="AA100" s="2973"/>
      <c r="AB100" s="2973"/>
      <c r="AC100" s="2973"/>
    </row>
    <row r="101" spans="1:29" ht="15" thickTop="1">
      <c r="A101" s="553"/>
      <c r="B101" s="492">
        <f>B36</f>
        <v>111</v>
      </c>
      <c r="C101" s="508"/>
      <c r="D101" s="508"/>
      <c r="E101" s="508"/>
      <c r="F101" s="508"/>
      <c r="G101" s="508"/>
      <c r="H101" s="509"/>
      <c r="I101" s="509"/>
      <c r="J101" s="509"/>
      <c r="K101" s="509"/>
      <c r="L101" s="510"/>
      <c r="M101" s="511"/>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514"/>
      <c r="D102" s="514"/>
      <c r="E102" s="514"/>
      <c r="F102" s="514"/>
      <c r="G102" s="514"/>
      <c r="H102" s="516"/>
      <c r="I102" s="516"/>
      <c r="J102" s="516"/>
      <c r="K102" s="516"/>
      <c r="L102" s="516"/>
      <c r="M102" s="517"/>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0" customWidth="1"/>
    <col min="2" max="2" width="15.875" style="360" customWidth="1"/>
    <col min="3" max="3" width="14.375" style="360" customWidth="1"/>
    <col min="4" max="4" width="12.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360"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1398" customFormat="1" ht="28.5" customHeight="1" thickBot="1">
      <c r="A1" s="1387" t="s">
        <v>2503</v>
      </c>
      <c r="B1" s="1388"/>
      <c r="C1" s="1389" t="s">
        <v>2326</v>
      </c>
      <c r="D1" s="1390"/>
      <c r="E1" s="1399"/>
      <c r="F1" s="2062"/>
      <c r="G1" s="1400" t="s">
        <v>2439</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2126</v>
      </c>
      <c r="B2" s="1323" t="e">
        <f ca="1">IF(C2="——",ROUND(C37*D3/10000,0),ROUND(C37*D3/10000,0)-D2)</f>
        <v>#DIV/0!</v>
      </c>
      <c r="C2" s="2064"/>
      <c r="D2" s="1035" t="e">
        <f ca="1">SUMIF(INDIRECT("'"&amp;F2&amp;"'"&amp;"!A:A"),"承租人权益价值",INDIRECT("'"&amp;F2&amp;"'"&amp;"!c:c"))</f>
        <v>#REF!</v>
      </c>
      <c r="E2" s="2065" t="s">
        <v>2127</v>
      </c>
      <c r="F2" s="2066"/>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2128</v>
      </c>
      <c r="B3" s="563" t="e">
        <f ca="1">IF(C2="——",C37,ROUND(B2*10000/D3,0))</f>
        <v>#DIV/0!</v>
      </c>
      <c r="C3" s="357" t="s">
        <v>2440</v>
      </c>
      <c r="D3" s="356">
        <f>SUMIF('数据-汇总表'!$C19:$C33,D1,'数据-汇总表'!$E19:$E33)</f>
        <v>0</v>
      </c>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2441</v>
      </c>
      <c r="B4" s="359"/>
      <c r="C4" s="3320" t="s">
        <v>2442</v>
      </c>
      <c r="D4" s="3321"/>
      <c r="E4" s="3322" t="s">
        <v>2443</v>
      </c>
      <c r="F4" s="3323"/>
      <c r="G4" s="3320" t="s">
        <v>2444</v>
      </c>
      <c r="H4" s="3321"/>
      <c r="I4" s="3320" t="s">
        <v>2445</v>
      </c>
      <c r="J4" s="3321"/>
      <c r="K4" s="564" t="s">
        <v>2446</v>
      </c>
      <c r="L4" s="2941"/>
      <c r="M4" s="2942"/>
      <c r="N4" s="2942"/>
      <c r="O4" s="2942"/>
      <c r="P4" s="3324" t="s">
        <v>2447</v>
      </c>
      <c r="Q4" s="3325"/>
      <c r="R4" s="3307" t="s">
        <v>2443</v>
      </c>
      <c r="S4" s="3308"/>
      <c r="T4" s="3307" t="s">
        <v>2444</v>
      </c>
      <c r="U4" s="3308"/>
      <c r="V4" s="3332" t="s">
        <v>2445</v>
      </c>
      <c r="W4" s="3332"/>
      <c r="X4" s="1537"/>
      <c r="Y4" s="3307" t="s">
        <v>2447</v>
      </c>
      <c r="Z4" s="3308"/>
      <c r="AA4" s="3302" t="s">
        <v>2443</v>
      </c>
      <c r="AB4" s="3303" t="s">
        <v>2444</v>
      </c>
      <c r="AC4" s="3302" t="s">
        <v>2445</v>
      </c>
    </row>
    <row r="5" spans="1:29" ht="15">
      <c r="A5" s="361"/>
      <c r="B5" s="362"/>
      <c r="C5" s="3313" t="s">
        <v>2338</v>
      </c>
      <c r="D5" s="3314"/>
      <c r="E5" s="3311" t="s">
        <v>2339</v>
      </c>
      <c r="F5" s="3312"/>
      <c r="G5" s="3313" t="s">
        <v>2340</v>
      </c>
      <c r="H5" s="3314"/>
      <c r="I5" s="3313" t="s">
        <v>2341</v>
      </c>
      <c r="J5" s="3314"/>
      <c r="K5" s="564"/>
      <c r="L5" s="2941"/>
      <c r="M5" s="2942"/>
      <c r="N5" s="2942"/>
      <c r="O5" s="2942"/>
      <c r="P5" s="3326"/>
      <c r="Q5" s="3327"/>
      <c r="R5" s="3309"/>
      <c r="S5" s="3310"/>
      <c r="T5" s="3309"/>
      <c r="U5" s="3310"/>
      <c r="V5" s="3332"/>
      <c r="W5" s="3332"/>
      <c r="X5" s="1537"/>
      <c r="Y5" s="3309"/>
      <c r="Z5" s="3310"/>
      <c r="AA5" s="3303"/>
      <c r="AB5" s="3303"/>
      <c r="AC5" s="3303"/>
    </row>
    <row r="6" spans="1:29" ht="15.75" thickBot="1">
      <c r="A6" s="363"/>
      <c r="B6" s="364"/>
      <c r="C6" s="3315" t="s">
        <v>2342</v>
      </c>
      <c r="D6" s="3316"/>
      <c r="E6" s="3317" t="s">
        <v>2342</v>
      </c>
      <c r="F6" s="3318"/>
      <c r="G6" s="3315" t="s">
        <v>2342</v>
      </c>
      <c r="H6" s="3316"/>
      <c r="I6" s="3315" t="s">
        <v>2342</v>
      </c>
      <c r="J6" s="3316"/>
      <c r="K6" s="564" t="s">
        <v>2343</v>
      </c>
      <c r="L6" s="2941"/>
      <c r="M6" s="2942"/>
      <c r="N6" s="2942"/>
      <c r="O6" s="2942"/>
      <c r="P6" s="3328"/>
      <c r="Q6" s="3329"/>
      <c r="R6" s="3309"/>
      <c r="S6" s="3310"/>
      <c r="T6" s="3330"/>
      <c r="U6" s="3331"/>
      <c r="V6" s="3332"/>
      <c r="W6" s="3332"/>
      <c r="X6" s="1537"/>
      <c r="Y6" s="3330"/>
      <c r="Z6" s="3331"/>
      <c r="AA6" s="3304"/>
      <c r="AB6" s="3304"/>
      <c r="AC6" s="3304"/>
    </row>
    <row r="7" spans="1:29" s="110" customFormat="1" ht="15.75" thickBot="1">
      <c r="A7" s="365" t="s">
        <v>2344</v>
      </c>
      <c r="B7" s="366"/>
      <c r="C7" s="367">
        <f>'数据-取费表'!B2</f>
        <v>44236</v>
      </c>
      <c r="D7" s="368">
        <v>100</v>
      </c>
      <c r="E7" s="369"/>
      <c r="F7" s="370">
        <f>SUMIF(46:46,YEAR(E7)&amp;"-"&amp;MONTH(E7),47:47)</f>
        <v>0</v>
      </c>
      <c r="G7" s="2157"/>
      <c r="H7" s="368">
        <f>SUMIF(46:46,YEAR(G7)&amp;"-"&amp;MONTH(G7),47:47)</f>
        <v>0</v>
      </c>
      <c r="I7" s="369"/>
      <c r="J7" s="368">
        <f>SUMIF(46:46,YEAR(I7)&amp;"-"&amp;MONTH(I7),47:47)</f>
        <v>0</v>
      </c>
      <c r="K7" s="565"/>
      <c r="L7" s="2943"/>
      <c r="M7" s="2944"/>
      <c r="N7" s="2944"/>
      <c r="O7" s="2944"/>
      <c r="P7" s="3305" t="s">
        <v>2345</v>
      </c>
      <c r="Q7" s="3333"/>
      <c r="R7" s="707" t="s">
        <v>14</v>
      </c>
      <c r="S7" s="708">
        <f t="shared" ref="S7:S14" si="0">F7</f>
        <v>0</v>
      </c>
      <c r="T7" s="707" t="s">
        <v>14</v>
      </c>
      <c r="U7" s="708">
        <f t="shared" ref="U7:U14" si="1">H7</f>
        <v>0</v>
      </c>
      <c r="V7" s="707" t="s">
        <v>14</v>
      </c>
      <c r="W7" s="708">
        <f t="shared" ref="W7:W14" si="2">J7</f>
        <v>0</v>
      </c>
      <c r="X7" s="709"/>
      <c r="Y7" s="3305" t="s">
        <v>2345</v>
      </c>
      <c r="Z7" s="3306"/>
      <c r="AA7" s="710" t="e">
        <f>D7/F7</f>
        <v>#DIV/0!</v>
      </c>
      <c r="AB7" s="710" t="e">
        <f>D7/H7</f>
        <v>#DIV/0!</v>
      </c>
      <c r="AC7" s="710" t="e">
        <f>D7/J7</f>
        <v>#DIV/0!</v>
      </c>
    </row>
    <row r="8" spans="1:29" s="110" customFormat="1" ht="15.75" thickBot="1">
      <c r="A8" s="365" t="s">
        <v>2346</v>
      </c>
      <c r="B8" s="366"/>
      <c r="C8" s="371" t="s">
        <v>2448</v>
      </c>
      <c r="D8" s="368">
        <v>100</v>
      </c>
      <c r="E8" s="371"/>
      <c r="F8" s="370">
        <f>SUMIF(49:49,E8,50:50)-SUMIF(49:49,C8,50:50)+100</f>
        <v>0</v>
      </c>
      <c r="G8" s="371"/>
      <c r="H8" s="368">
        <f>SUMIF(49:49,G8,50:50)-SUMIF(49:49,C8,50:50)+100</f>
        <v>0</v>
      </c>
      <c r="I8" s="371"/>
      <c r="J8" s="368">
        <f>SUMIF(49:49,I8,50:50)-SUMIF(49:49,C8,50:50)+100</f>
        <v>0</v>
      </c>
      <c r="K8" s="565"/>
      <c r="L8" s="2943"/>
      <c r="M8" s="2944"/>
      <c r="N8" s="2944"/>
      <c r="O8" s="2944"/>
      <c r="P8" s="3305" t="s">
        <v>2348</v>
      </c>
      <c r="Q8" s="3306"/>
      <c r="R8" s="707" t="s">
        <v>14</v>
      </c>
      <c r="S8" s="708">
        <f t="shared" si="0"/>
        <v>0</v>
      </c>
      <c r="T8" s="707" t="s">
        <v>14</v>
      </c>
      <c r="U8" s="708">
        <f t="shared" si="1"/>
        <v>0</v>
      </c>
      <c r="V8" s="707" t="s">
        <v>14</v>
      </c>
      <c r="W8" s="708">
        <f t="shared" si="2"/>
        <v>0</v>
      </c>
      <c r="X8" s="709"/>
      <c r="Y8" s="3305" t="s">
        <v>2348</v>
      </c>
      <c r="Z8" s="3306"/>
      <c r="AA8" s="710" t="e">
        <f t="shared" ref="AA8:AA34" si="3">D8/F8</f>
        <v>#DIV/0!</v>
      </c>
      <c r="AB8" s="710" t="e">
        <f t="shared" ref="AB8:AB34" si="4">D8/H8</f>
        <v>#DIV/0!</v>
      </c>
      <c r="AC8" s="710" t="e">
        <f t="shared" ref="AC8:AC34" si="5">D8/J8</f>
        <v>#DIV/0!</v>
      </c>
    </row>
    <row r="9" spans="1:29" s="110" customFormat="1">
      <c r="A9" s="372" t="s">
        <v>2349</v>
      </c>
      <c r="B9" s="64" t="s">
        <v>2350</v>
      </c>
      <c r="C9" s="373"/>
      <c r="D9" s="128">
        <v>100</v>
      </c>
      <c r="E9" s="376"/>
      <c r="F9" s="375">
        <f>SUMIF(51:51,E9,52:52)-SUMIF(51:51,C9,52:52)+100</f>
        <v>100</v>
      </c>
      <c r="G9" s="376"/>
      <c r="H9" s="128">
        <f>SUMIF(51:51,G9,52:52)-SUMIF(51:51,C9,52:52)+100</f>
        <v>100</v>
      </c>
      <c r="I9" s="376"/>
      <c r="J9" s="128">
        <f>SUMIF(51:51,I9,52:52)-SUMIF(51:51,C9,52:52)+100</f>
        <v>100</v>
      </c>
      <c r="K9" s="565"/>
      <c r="L9" s="2943"/>
      <c r="M9" s="2944"/>
      <c r="N9" s="2944"/>
      <c r="O9" s="2998"/>
      <c r="P9" s="3319" t="s">
        <v>2351</v>
      </c>
      <c r="Q9" s="1525" t="str">
        <f t="shared" ref="Q9:Q14" si="6">B9</f>
        <v>用途</v>
      </c>
      <c r="R9" s="707" t="s">
        <v>14</v>
      </c>
      <c r="S9" s="708">
        <f t="shared" si="0"/>
        <v>100</v>
      </c>
      <c r="T9" s="707" t="s">
        <v>14</v>
      </c>
      <c r="U9" s="708">
        <f t="shared" si="1"/>
        <v>100</v>
      </c>
      <c r="V9" s="707" t="s">
        <v>14</v>
      </c>
      <c r="W9" s="708">
        <f t="shared" si="2"/>
        <v>100</v>
      </c>
      <c r="X9" s="709"/>
      <c r="Y9" s="3275" t="s">
        <v>2352</v>
      </c>
      <c r="Z9" s="52" t="str">
        <f t="shared" ref="Z9:Z14" si="7">Q9</f>
        <v>用途</v>
      </c>
      <c r="AA9" s="710">
        <f t="shared" si="3"/>
        <v>1</v>
      </c>
      <c r="AB9" s="710">
        <f t="shared" si="4"/>
        <v>1</v>
      </c>
      <c r="AC9" s="710">
        <f t="shared" si="5"/>
        <v>1</v>
      </c>
    </row>
    <row r="10" spans="1:29" s="383" customFormat="1" ht="27">
      <c r="A10" s="377"/>
      <c r="B10" s="378" t="s">
        <v>2353</v>
      </c>
      <c r="C10" s="379"/>
      <c r="D10" s="129">
        <v>100</v>
      </c>
      <c r="E10" s="379"/>
      <c r="F10" s="381">
        <f>SUMIF(53:53,E10,54:54)-SUMIF(53:53,C10,54:54)+100</f>
        <v>100</v>
      </c>
      <c r="G10" s="379"/>
      <c r="H10" s="129">
        <f>SUMIF(53:53,G10,54:54)-SUMIF(53:53,C10,54:54)+100</f>
        <v>100</v>
      </c>
      <c r="I10" s="379"/>
      <c r="J10" s="129">
        <f>SUMIF(53:53,I10,54:54)-SUMIF(53:53,C10,54:54)+100</f>
        <v>100</v>
      </c>
      <c r="K10" s="566"/>
      <c r="L10" s="2945"/>
      <c r="M10" s="2946"/>
      <c r="N10" s="2946"/>
      <c r="O10" s="2999"/>
      <c r="P10" s="3319"/>
      <c r="Q10" s="1525" t="str">
        <f t="shared" si="6"/>
        <v>土地使用年限（年）</v>
      </c>
      <c r="R10" s="707" t="s">
        <v>14</v>
      </c>
      <c r="S10" s="708">
        <f t="shared" si="0"/>
        <v>100</v>
      </c>
      <c r="T10" s="707" t="s">
        <v>14</v>
      </c>
      <c r="U10" s="708">
        <f t="shared" si="1"/>
        <v>100</v>
      </c>
      <c r="V10" s="707" t="s">
        <v>14</v>
      </c>
      <c r="W10" s="708">
        <f t="shared" si="2"/>
        <v>100</v>
      </c>
      <c r="X10" s="709"/>
      <c r="Y10" s="3275"/>
      <c r="Z10" s="52" t="str">
        <f t="shared" si="7"/>
        <v>土地使用年限（年）</v>
      </c>
      <c r="AA10" s="710">
        <f t="shared" si="3"/>
        <v>1</v>
      </c>
      <c r="AB10" s="710">
        <f t="shared" si="4"/>
        <v>1</v>
      </c>
      <c r="AC10" s="710">
        <f t="shared" si="5"/>
        <v>1</v>
      </c>
    </row>
    <row r="11" spans="1:29" ht="15">
      <c r="A11" s="384"/>
      <c r="B11" s="2076">
        <v>111</v>
      </c>
      <c r="C11" s="388"/>
      <c r="D11" s="129">
        <v>100</v>
      </c>
      <c r="E11" s="425"/>
      <c r="F11" s="381">
        <f>SUMIF(55:55,E11,56:56)-SUMIF(55:55,C11,56:56)+100</f>
        <v>100</v>
      </c>
      <c r="G11" s="425"/>
      <c r="H11" s="129">
        <f>SUMIF(55:55,G11,56:56)-SUMIF(55:55,C11,56:56)+100</f>
        <v>100</v>
      </c>
      <c r="I11" s="425"/>
      <c r="J11" s="129">
        <f>SUMIF(55:55,I11,56:56)-SUMIF(55:55,C11,56:56)+100</f>
        <v>100</v>
      </c>
      <c r="K11" s="567"/>
      <c r="L11" s="2947"/>
      <c r="M11" s="2942"/>
      <c r="N11" s="2942"/>
      <c r="O11" s="3000"/>
      <c r="P11" s="3319"/>
      <c r="Q11" s="1525">
        <f t="shared" si="6"/>
        <v>111</v>
      </c>
      <c r="R11" s="707" t="s">
        <v>14</v>
      </c>
      <c r="S11" s="708">
        <f t="shared" si="0"/>
        <v>100</v>
      </c>
      <c r="T11" s="707" t="s">
        <v>14</v>
      </c>
      <c r="U11" s="708">
        <f t="shared" si="1"/>
        <v>100</v>
      </c>
      <c r="V11" s="707" t="s">
        <v>14</v>
      </c>
      <c r="W11" s="708">
        <f t="shared" si="2"/>
        <v>100</v>
      </c>
      <c r="X11" s="709"/>
      <c r="Y11" s="3275"/>
      <c r="Z11" s="52">
        <f t="shared" si="7"/>
        <v>111</v>
      </c>
      <c r="AA11" s="710">
        <f t="shared" si="3"/>
        <v>1</v>
      </c>
      <c r="AB11" s="710">
        <f t="shared" si="4"/>
        <v>1</v>
      </c>
      <c r="AC11" s="710">
        <f t="shared" si="5"/>
        <v>1</v>
      </c>
    </row>
    <row r="12" spans="1:29" s="110" customFormat="1" ht="15">
      <c r="A12" s="387"/>
      <c r="B12" s="2076">
        <v>111</v>
      </c>
      <c r="C12" s="388"/>
      <c r="D12" s="389">
        <v>100</v>
      </c>
      <c r="E12" s="425"/>
      <c r="F12" s="381">
        <f>SUMIF(57:57,E12,58:58)-SUMIF(57:57,C12,58:58)+100</f>
        <v>100</v>
      </c>
      <c r="G12" s="425"/>
      <c r="H12" s="129">
        <f>SUMIF(57:57,G12,58:58)-SUMIF(57:57,C12,58:58)+100</f>
        <v>100</v>
      </c>
      <c r="I12" s="425"/>
      <c r="J12" s="129">
        <f>SUMIF(57:57,I12,58:58)-SUMIF(57:57,C12,58:58)+100</f>
        <v>100</v>
      </c>
      <c r="K12" s="567"/>
      <c r="L12" s="2943"/>
      <c r="M12" s="2944"/>
      <c r="N12" s="2944"/>
      <c r="O12" s="2998"/>
      <c r="P12" s="3319"/>
      <c r="Q12" s="1525">
        <f t="shared" si="6"/>
        <v>111</v>
      </c>
      <c r="R12" s="707" t="s">
        <v>14</v>
      </c>
      <c r="S12" s="708">
        <f t="shared" si="0"/>
        <v>100</v>
      </c>
      <c r="T12" s="707" t="s">
        <v>14</v>
      </c>
      <c r="U12" s="708">
        <f t="shared" si="1"/>
        <v>100</v>
      </c>
      <c r="V12" s="707" t="s">
        <v>14</v>
      </c>
      <c r="W12" s="708">
        <f t="shared" si="2"/>
        <v>100</v>
      </c>
      <c r="X12" s="709"/>
      <c r="Y12" s="3275"/>
      <c r="Z12" s="52">
        <f t="shared" si="7"/>
        <v>111</v>
      </c>
      <c r="AA12" s="710">
        <f>D12/F12</f>
        <v>1</v>
      </c>
      <c r="AB12" s="710">
        <f>D12/H12</f>
        <v>1</v>
      </c>
      <c r="AC12" s="710">
        <f>D12/J12</f>
        <v>1</v>
      </c>
    </row>
    <row r="13" spans="1:29" ht="15.75" thickBot="1">
      <c r="A13" s="384"/>
      <c r="B13" s="2076">
        <v>111</v>
      </c>
      <c r="C13" s="390"/>
      <c r="D13" s="391">
        <v>100</v>
      </c>
      <c r="E13" s="425"/>
      <c r="F13" s="381">
        <f>SUMIF(59:59,E13,60:60)-SUMIF(59:59,C13,60:60)+100</f>
        <v>100</v>
      </c>
      <c r="G13" s="2158"/>
      <c r="H13" s="394">
        <f>SUMIF(59:59,G13,60:60)-SUMIF(59:59,C13,60:60)+100</f>
        <v>100</v>
      </c>
      <c r="I13" s="425"/>
      <c r="J13" s="391">
        <f>SUMIF(59:59,I13,60:60)-SUMIF(59:59,C13,60:60)+100</f>
        <v>100</v>
      </c>
      <c r="K13" s="567"/>
      <c r="L13" s="2948"/>
      <c r="M13" s="2942"/>
      <c r="N13" s="2942"/>
      <c r="O13" s="3000"/>
      <c r="P13" s="3319"/>
      <c r="Q13" s="1525">
        <f t="shared" si="6"/>
        <v>111</v>
      </c>
      <c r="R13" s="707" t="s">
        <v>14</v>
      </c>
      <c r="S13" s="708">
        <f t="shared" si="0"/>
        <v>100</v>
      </c>
      <c r="T13" s="707" t="s">
        <v>14</v>
      </c>
      <c r="U13" s="708">
        <f t="shared" si="1"/>
        <v>100</v>
      </c>
      <c r="V13" s="707" t="s">
        <v>14</v>
      </c>
      <c r="W13" s="708">
        <f t="shared" si="2"/>
        <v>100</v>
      </c>
      <c r="X13" s="709"/>
      <c r="Y13" s="3275"/>
      <c r="Z13" s="52">
        <f t="shared" si="7"/>
        <v>111</v>
      </c>
      <c r="AA13" s="710">
        <f t="shared" si="3"/>
        <v>1</v>
      </c>
      <c r="AB13" s="710">
        <f t="shared" si="4"/>
        <v>1</v>
      </c>
      <c r="AC13" s="710">
        <f t="shared" si="5"/>
        <v>1</v>
      </c>
    </row>
    <row r="14" spans="1:29" ht="85.5">
      <c r="A14" s="396" t="s">
        <v>2355</v>
      </c>
      <c r="B14" s="62" t="s">
        <v>2505</v>
      </c>
      <c r="C14" s="2154"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8"/>
      <c r="M14" s="2942"/>
      <c r="N14" s="2942"/>
      <c r="O14" s="3000"/>
      <c r="P14" s="3334" t="s">
        <v>2356</v>
      </c>
      <c r="Q14" s="1534" t="str">
        <f t="shared" si="6"/>
        <v>交通便捷度</v>
      </c>
      <c r="R14" s="711" t="s">
        <v>14</v>
      </c>
      <c r="S14" s="712">
        <f t="shared" si="0"/>
        <v>100</v>
      </c>
      <c r="T14" s="711" t="s">
        <v>14</v>
      </c>
      <c r="U14" s="712">
        <f t="shared" si="1"/>
        <v>100</v>
      </c>
      <c r="V14" s="711" t="s">
        <v>14</v>
      </c>
      <c r="W14" s="712">
        <f t="shared" si="2"/>
        <v>100</v>
      </c>
      <c r="X14" s="1537"/>
      <c r="Y14" s="3334" t="s">
        <v>2356</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8"/>
      <c r="M15" s="2942"/>
      <c r="N15" s="2942"/>
      <c r="O15" s="3000"/>
      <c r="P15" s="3335"/>
      <c r="Q15" s="1534"/>
      <c r="R15" s="711"/>
      <c r="S15" s="712"/>
      <c r="T15" s="711"/>
      <c r="U15" s="712"/>
      <c r="V15" s="711"/>
      <c r="W15" s="712"/>
      <c r="X15" s="1537"/>
      <c r="Y15" s="3335"/>
      <c r="Z15" s="1538"/>
      <c r="AA15" s="1535">
        <v>1</v>
      </c>
      <c r="AB15" s="1535">
        <v>1</v>
      </c>
      <c r="AC15" s="1535">
        <v>1</v>
      </c>
    </row>
    <row r="16" spans="1:29" ht="42.75">
      <c r="A16" s="384"/>
      <c r="B16" s="407" t="s">
        <v>2484</v>
      </c>
      <c r="C16" s="2083"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8"/>
      <c r="M16" s="2942"/>
      <c r="N16" s="2942"/>
      <c r="O16" s="3000"/>
      <c r="P16" s="3335"/>
      <c r="Q16" s="1534" t="str">
        <f>B16</f>
        <v>公共配套设施</v>
      </c>
      <c r="R16" s="711" t="s">
        <v>14</v>
      </c>
      <c r="S16" s="712">
        <f>F16</f>
        <v>100</v>
      </c>
      <c r="T16" s="711" t="s">
        <v>14</v>
      </c>
      <c r="U16" s="712">
        <f>H16</f>
        <v>100</v>
      </c>
      <c r="V16" s="711" t="s">
        <v>14</v>
      </c>
      <c r="W16" s="712">
        <f>J16</f>
        <v>100</v>
      </c>
      <c r="X16" s="1537"/>
      <c r="Y16" s="3335"/>
      <c r="Z16" s="1538" t="str">
        <f>Q16</f>
        <v>公共配套设施</v>
      </c>
      <c r="AA16" s="1535">
        <f t="shared" si="3"/>
        <v>1</v>
      </c>
      <c r="AB16" s="1535">
        <f t="shared" si="4"/>
        <v>1</v>
      </c>
      <c r="AC16" s="1535">
        <f t="shared" si="5"/>
        <v>1</v>
      </c>
    </row>
    <row r="17" spans="1:29" ht="15">
      <c r="A17" s="384"/>
      <c r="B17" s="412"/>
      <c r="C17" s="2084"/>
      <c r="D17" s="404"/>
      <c r="E17" s="403"/>
      <c r="F17" s="405"/>
      <c r="G17" s="403"/>
      <c r="H17" s="404"/>
      <c r="I17" s="403"/>
      <c r="J17" s="404"/>
      <c r="K17" s="569"/>
      <c r="L17" s="2948"/>
      <c r="M17" s="2942"/>
      <c r="N17" s="2942"/>
      <c r="O17" s="3000"/>
      <c r="P17" s="3335"/>
      <c r="Q17" s="1534"/>
      <c r="R17" s="711"/>
      <c r="S17" s="712"/>
      <c r="T17" s="711"/>
      <c r="U17" s="712"/>
      <c r="V17" s="711"/>
      <c r="W17" s="712"/>
      <c r="X17" s="1537"/>
      <c r="Y17" s="3335"/>
      <c r="Z17" s="1538"/>
      <c r="AA17" s="1535">
        <v>1</v>
      </c>
      <c r="AB17" s="1535">
        <v>1</v>
      </c>
      <c r="AC17" s="1535">
        <v>1</v>
      </c>
    </row>
    <row r="18" spans="1:29" ht="28.5">
      <c r="A18" s="384"/>
      <c r="B18" s="1290" t="s">
        <v>2485</v>
      </c>
      <c r="C18" s="2083"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8"/>
      <c r="M18" s="2942"/>
      <c r="N18" s="2942"/>
      <c r="O18" s="3000"/>
      <c r="P18" s="3335"/>
      <c r="Q18" s="1534" t="str">
        <f>B18</f>
        <v>基础设施水平</v>
      </c>
      <c r="R18" s="711" t="s">
        <v>14</v>
      </c>
      <c r="S18" s="712">
        <f>F18</f>
        <v>100</v>
      </c>
      <c r="T18" s="711" t="s">
        <v>14</v>
      </c>
      <c r="U18" s="712">
        <f>H18</f>
        <v>100</v>
      </c>
      <c r="V18" s="711" t="s">
        <v>14</v>
      </c>
      <c r="W18" s="712">
        <f>J18</f>
        <v>100</v>
      </c>
      <c r="X18" s="1537"/>
      <c r="Y18" s="3335"/>
      <c r="Z18" s="1538" t="str">
        <f>Q18</f>
        <v>基础设施水平</v>
      </c>
      <c r="AA18" s="1535">
        <f t="shared" ref="AA18" si="8">D18/F18</f>
        <v>1</v>
      </c>
      <c r="AB18" s="1535">
        <f t="shared" ref="AB18" si="9">D18/H18</f>
        <v>1</v>
      </c>
      <c r="AC18" s="1535">
        <f t="shared" ref="AC18" si="10">D18/J18</f>
        <v>1</v>
      </c>
    </row>
    <row r="19" spans="1:29" ht="15">
      <c r="A19" s="384"/>
      <c r="B19" s="1290"/>
      <c r="C19" s="2084"/>
      <c r="D19" s="406"/>
      <c r="E19" s="2084"/>
      <c r="F19" s="409"/>
      <c r="G19" s="2084"/>
      <c r="H19" s="404"/>
      <c r="I19" s="403"/>
      <c r="J19" s="404"/>
      <c r="K19" s="1289"/>
      <c r="L19" s="2948"/>
      <c r="M19" s="2942"/>
      <c r="N19" s="2942"/>
      <c r="O19" s="3000"/>
      <c r="P19" s="3335"/>
      <c r="Q19" s="1534"/>
      <c r="R19" s="711"/>
      <c r="S19" s="712"/>
      <c r="T19" s="711"/>
      <c r="U19" s="712"/>
      <c r="V19" s="711"/>
      <c r="W19" s="712"/>
      <c r="X19" s="1537"/>
      <c r="Y19" s="3335"/>
      <c r="Z19" s="1538"/>
      <c r="AA19" s="1535">
        <v>1</v>
      </c>
      <c r="AB19" s="1535">
        <v>1</v>
      </c>
      <c r="AC19" s="1535">
        <v>1</v>
      </c>
    </row>
    <row r="20" spans="1:29" ht="57">
      <c r="A20" s="384"/>
      <c r="B20" s="407" t="s">
        <v>2506</v>
      </c>
      <c r="C20" s="2083"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8"/>
      <c r="M20" s="2942"/>
      <c r="N20" s="2942"/>
      <c r="O20" s="3000"/>
      <c r="P20" s="3335"/>
      <c r="Q20" s="1534" t="str">
        <f>B20</f>
        <v>自然及人文环境</v>
      </c>
      <c r="R20" s="711" t="s">
        <v>14</v>
      </c>
      <c r="S20" s="712">
        <f>F20</f>
        <v>100</v>
      </c>
      <c r="T20" s="711" t="s">
        <v>14</v>
      </c>
      <c r="U20" s="712">
        <f>H20</f>
        <v>100</v>
      </c>
      <c r="V20" s="711" t="s">
        <v>14</v>
      </c>
      <c r="W20" s="712">
        <f>J20</f>
        <v>100</v>
      </c>
      <c r="X20" s="1537"/>
      <c r="Y20" s="3335"/>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8"/>
      <c r="M21" s="2942"/>
      <c r="N21" s="2942"/>
      <c r="O21" s="3000"/>
      <c r="P21" s="3335"/>
      <c r="Q21" s="1534"/>
      <c r="R21" s="711"/>
      <c r="S21" s="712"/>
      <c r="T21" s="711"/>
      <c r="U21" s="712"/>
      <c r="V21" s="711"/>
      <c r="W21" s="712"/>
      <c r="X21" s="1537"/>
      <c r="Y21" s="3335"/>
      <c r="Z21" s="1538"/>
      <c r="AA21" s="1535">
        <v>1</v>
      </c>
      <c r="AB21" s="1535">
        <v>1</v>
      </c>
      <c r="AC21" s="1535">
        <v>1</v>
      </c>
    </row>
    <row r="22" spans="1:29" ht="15">
      <c r="A22" s="384"/>
      <c r="B22" s="407" t="s">
        <v>2507</v>
      </c>
      <c r="C22" s="570"/>
      <c r="D22" s="406">
        <v>100</v>
      </c>
      <c r="E22" s="570"/>
      <c r="F22" s="417">
        <f>SUMIF(69:69,E22,70:70)-SUMIF(69:69,C22,70:70)+100</f>
        <v>100</v>
      </c>
      <c r="G22" s="570"/>
      <c r="H22" s="391">
        <f>SUMIF(69:69,G22,70:70)-SUMIF(69:69,C22,70:70)+100</f>
        <v>100</v>
      </c>
      <c r="I22" s="570"/>
      <c r="J22" s="391">
        <f>SUMIF(69:69,I22,70:70)-SUMIF(69:69,C22,70:70)+100</f>
        <v>100</v>
      </c>
      <c r="K22" s="566"/>
      <c r="L22" s="2948"/>
      <c r="M22" s="2942"/>
      <c r="N22" s="2942"/>
      <c r="O22" s="3000"/>
      <c r="P22" s="3335"/>
      <c r="Q22" s="1534" t="str">
        <f>B22</f>
        <v>楼层</v>
      </c>
      <c r="R22" s="711" t="s">
        <v>14</v>
      </c>
      <c r="S22" s="712">
        <f>F22</f>
        <v>100</v>
      </c>
      <c r="T22" s="711" t="s">
        <v>14</v>
      </c>
      <c r="U22" s="712">
        <f>H22</f>
        <v>100</v>
      </c>
      <c r="V22" s="711" t="s">
        <v>14</v>
      </c>
      <c r="W22" s="712">
        <f>J22</f>
        <v>100</v>
      </c>
      <c r="X22" s="1537"/>
      <c r="Y22" s="3335"/>
      <c r="Z22" s="1538" t="str">
        <f>Q22</f>
        <v>楼层</v>
      </c>
      <c r="AA22" s="1535">
        <f t="shared" si="3"/>
        <v>1</v>
      </c>
      <c r="AB22" s="1535">
        <f t="shared" si="4"/>
        <v>1</v>
      </c>
      <c r="AC22" s="1535">
        <f t="shared" si="5"/>
        <v>1</v>
      </c>
    </row>
    <row r="23" spans="1:29" ht="15">
      <c r="A23" s="361"/>
      <c r="B23" s="2076">
        <v>111</v>
      </c>
      <c r="C23" s="388"/>
      <c r="D23" s="391">
        <v>100</v>
      </c>
      <c r="E23" s="390"/>
      <c r="F23" s="417">
        <f>SUMIF(71:71,E23,72:72)-SUMIF(71:71,C23,72:72)+100</f>
        <v>100</v>
      </c>
      <c r="G23" s="390"/>
      <c r="H23" s="391">
        <f>SUMIF(71:71,G23,72:72)-SUMIF(71:71,C23,72:72)+100</f>
        <v>100</v>
      </c>
      <c r="I23" s="390"/>
      <c r="J23" s="391">
        <f>SUMIF(71:71,I23,72:72)-SUMIF(71:71,C23,72:72)+100</f>
        <v>100</v>
      </c>
      <c r="K23" s="567"/>
      <c r="L23" s="2948"/>
      <c r="M23" s="2942"/>
      <c r="N23" s="2942"/>
      <c r="O23" s="3000"/>
      <c r="P23" s="3335"/>
      <c r="Q23" s="1534">
        <f>B23</f>
        <v>111</v>
      </c>
      <c r="R23" s="711" t="s">
        <v>14</v>
      </c>
      <c r="S23" s="712">
        <f>F23</f>
        <v>100</v>
      </c>
      <c r="T23" s="711" t="s">
        <v>14</v>
      </c>
      <c r="U23" s="712">
        <f>H23</f>
        <v>100</v>
      </c>
      <c r="V23" s="711" t="s">
        <v>14</v>
      </c>
      <c r="W23" s="712">
        <f>J23</f>
        <v>100</v>
      </c>
      <c r="X23" s="1537"/>
      <c r="Y23" s="3335"/>
      <c r="Z23" s="1538">
        <f>Q23</f>
        <v>111</v>
      </c>
      <c r="AA23" s="1535">
        <f t="shared" si="3"/>
        <v>1</v>
      </c>
      <c r="AB23" s="1535">
        <f t="shared" si="4"/>
        <v>1</v>
      </c>
      <c r="AC23" s="1535">
        <f t="shared" si="5"/>
        <v>1</v>
      </c>
    </row>
    <row r="24" spans="1:29" ht="15">
      <c r="A24" s="384"/>
      <c r="B24" s="2076">
        <v>111</v>
      </c>
      <c r="C24" s="388"/>
      <c r="D24" s="391">
        <v>100</v>
      </c>
      <c r="E24" s="390"/>
      <c r="F24" s="417">
        <f>SUMIF(73:73,E24,74:74)-SUMIF(73:73,C24,74:74)+100</f>
        <v>100</v>
      </c>
      <c r="G24" s="390"/>
      <c r="H24" s="391">
        <f>SUMIF(73:73,G24,74:74)-SUMIF(73:73,C24,74:74)+100</f>
        <v>100</v>
      </c>
      <c r="I24" s="390"/>
      <c r="J24" s="391">
        <f>SUMIF(73:73,I24,74:74)-SUMIF(73:73,C24,74:74)+100</f>
        <v>100</v>
      </c>
      <c r="K24" s="567"/>
      <c r="L24" s="2948"/>
      <c r="M24" s="2942"/>
      <c r="N24" s="2942"/>
      <c r="O24" s="3000"/>
      <c r="P24" s="3335"/>
      <c r="Q24" s="1534">
        <f t="shared" ref="Q24:Q34" si="11">B24</f>
        <v>111</v>
      </c>
      <c r="R24" s="711" t="s">
        <v>14</v>
      </c>
      <c r="S24" s="712">
        <f>F24</f>
        <v>100</v>
      </c>
      <c r="T24" s="711" t="s">
        <v>14</v>
      </c>
      <c r="U24" s="712">
        <f>H24</f>
        <v>100</v>
      </c>
      <c r="V24" s="711" t="s">
        <v>14</v>
      </c>
      <c r="W24" s="712">
        <f>J24</f>
        <v>100</v>
      </c>
      <c r="X24" s="1537"/>
      <c r="Y24" s="3335"/>
      <c r="Z24" s="1538">
        <f>Q24</f>
        <v>111</v>
      </c>
      <c r="AA24" s="1535">
        <f t="shared" si="3"/>
        <v>1</v>
      </c>
      <c r="AB24" s="1535">
        <f t="shared" si="4"/>
        <v>1</v>
      </c>
      <c r="AC24" s="1535">
        <f t="shared" si="5"/>
        <v>1</v>
      </c>
    </row>
    <row r="25" spans="1:29" s="110" customFormat="1" ht="15.75" thickBot="1">
      <c r="A25" s="387"/>
      <c r="B25" s="2076">
        <v>111</v>
      </c>
      <c r="C25" s="2159"/>
      <c r="D25" s="618">
        <v>100</v>
      </c>
      <c r="E25" s="2159"/>
      <c r="F25" s="619">
        <f>SUMIF(75:75,E25,76:76)-SUMIF(75:75,C25,76:76)+100</f>
        <v>100</v>
      </c>
      <c r="G25" s="2159"/>
      <c r="H25" s="618">
        <f>SUMIF(75:75,G25,76:76)-SUMIF(75:75,C25,76:76)+100</f>
        <v>100</v>
      </c>
      <c r="I25" s="2159"/>
      <c r="J25" s="618">
        <f>SUMIF(75:75,I25,76:76)-SUMIF(75:75,C25,76:76)+100</f>
        <v>100</v>
      </c>
      <c r="K25" s="567"/>
      <c r="L25" s="2943"/>
      <c r="M25" s="2944"/>
      <c r="N25" s="2944"/>
      <c r="O25" s="2998"/>
      <c r="P25" s="3335"/>
      <c r="Q25" s="1525">
        <f t="shared" si="11"/>
        <v>111</v>
      </c>
      <c r="R25" s="707" t="s">
        <v>14</v>
      </c>
      <c r="S25" s="708">
        <f>F25</f>
        <v>100</v>
      </c>
      <c r="T25" s="707" t="s">
        <v>14</v>
      </c>
      <c r="U25" s="708">
        <f>H25</f>
        <v>100</v>
      </c>
      <c r="V25" s="707" t="s">
        <v>14</v>
      </c>
      <c r="W25" s="708">
        <f>J25</f>
        <v>100</v>
      </c>
      <c r="X25" s="709"/>
      <c r="Y25" s="3335"/>
      <c r="Z25" s="52">
        <f>Q25</f>
        <v>111</v>
      </c>
      <c r="AA25" s="1535">
        <f>D25/F25</f>
        <v>1</v>
      </c>
      <c r="AB25" s="1535">
        <f>D25/H25</f>
        <v>1</v>
      </c>
      <c r="AC25" s="1535">
        <f>D25/J25</f>
        <v>1</v>
      </c>
    </row>
    <row r="26" spans="1:29" ht="28.5">
      <c r="A26" s="422" t="s">
        <v>2359</v>
      </c>
      <c r="B26" s="64" t="s">
        <v>2510</v>
      </c>
      <c r="C26" s="2150"/>
      <c r="D26" s="423">
        <v>100</v>
      </c>
      <c r="E26" s="2150"/>
      <c r="F26" s="620">
        <f>SUMIF(77:77,E26,78:78)-SUMIF(77:77,C26,78:78)+100</f>
        <v>100</v>
      </c>
      <c r="G26" s="2150"/>
      <c r="H26" s="423">
        <f>SUMIF(77:77,G26,78:78)-SUMIF(77:77,C26,78:78)+100</f>
        <v>100</v>
      </c>
      <c r="I26" s="2150"/>
      <c r="J26" s="423">
        <f>SUMIF(77:77,I26,78:78)-SUMIF(77:77,C26,78:78)+100</f>
        <v>100</v>
      </c>
      <c r="K26" s="566"/>
      <c r="L26" s="2948"/>
      <c r="M26" s="2942"/>
      <c r="N26" s="2942"/>
      <c r="O26" s="3000"/>
      <c r="P26" s="3336" t="s">
        <v>2361</v>
      </c>
      <c r="Q26" s="1534" t="str">
        <f t="shared" si="11"/>
        <v>公共部分装修</v>
      </c>
      <c r="R26" s="711" t="s">
        <v>14</v>
      </c>
      <c r="S26" s="712">
        <f t="shared" ref="S26:S34" si="12">F26</f>
        <v>100</v>
      </c>
      <c r="T26" s="711" t="s">
        <v>14</v>
      </c>
      <c r="U26" s="712">
        <f t="shared" ref="U26:U34" si="13">H26</f>
        <v>100</v>
      </c>
      <c r="V26" s="711" t="s">
        <v>14</v>
      </c>
      <c r="W26" s="712">
        <f t="shared" ref="W26:W34" si="14">J26</f>
        <v>100</v>
      </c>
      <c r="X26" s="1537"/>
      <c r="Y26" s="3337" t="s">
        <v>2361</v>
      </c>
      <c r="Z26" s="1538" t="str">
        <f t="shared" ref="Z26:Z34" si="15">Q26</f>
        <v>公共部分装修</v>
      </c>
      <c r="AA26" s="1535">
        <f t="shared" si="3"/>
        <v>1</v>
      </c>
      <c r="AB26" s="1535">
        <f t="shared" si="4"/>
        <v>1</v>
      </c>
      <c r="AC26" s="1535">
        <f t="shared" si="5"/>
        <v>1</v>
      </c>
    </row>
    <row r="27" spans="1:29" s="427" customFormat="1" ht="15">
      <c r="A27" s="424"/>
      <c r="B27" s="378" t="s">
        <v>2511</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7"/>
      <c r="M27" s="2949"/>
      <c r="N27" s="2949"/>
      <c r="O27" s="3001"/>
      <c r="P27" s="3337"/>
      <c r="Q27" s="713" t="str">
        <f t="shared" si="11"/>
        <v>成新率</v>
      </c>
      <c r="R27" s="714" t="s">
        <v>14</v>
      </c>
      <c r="S27" s="715" t="e">
        <f t="shared" si="12"/>
        <v>#N/A</v>
      </c>
      <c r="T27" s="714" t="s">
        <v>14</v>
      </c>
      <c r="U27" s="715" t="e">
        <f t="shared" si="13"/>
        <v>#N/A</v>
      </c>
      <c r="V27" s="714" t="s">
        <v>14</v>
      </c>
      <c r="W27" s="715" t="e">
        <f t="shared" si="14"/>
        <v>#N/A</v>
      </c>
      <c r="X27" s="716"/>
      <c r="Y27" s="3337"/>
      <c r="Z27" s="717" t="str">
        <f t="shared" si="15"/>
        <v>成新率</v>
      </c>
      <c r="AA27" s="1535" t="e">
        <f t="shared" si="3"/>
        <v>#N/A</v>
      </c>
      <c r="AB27" s="1535" t="e">
        <f t="shared" si="4"/>
        <v>#N/A</v>
      </c>
      <c r="AC27" s="1535" t="e">
        <f t="shared" si="5"/>
        <v>#N/A</v>
      </c>
    </row>
    <row r="28" spans="1:29" ht="15">
      <c r="A28" s="428"/>
      <c r="B28" s="378" t="s">
        <v>2512</v>
      </c>
      <c r="C28" s="416"/>
      <c r="D28" s="391">
        <v>100</v>
      </c>
      <c r="E28" s="416"/>
      <c r="F28" s="417">
        <f>SUMIF(82:82,E28,83:83)-SUMIF(82:82,C28,83:83)+100</f>
        <v>100</v>
      </c>
      <c r="G28" s="416"/>
      <c r="H28" s="391">
        <f>SUMIF(82:82,G28,83:83)-SUMIF(82:82,C28,83:83)+100</f>
        <v>100</v>
      </c>
      <c r="I28" s="416"/>
      <c r="J28" s="391">
        <f>SUMIF(82:82,I28,83:83)-SUMIF(82:82,C28,83:83)+100</f>
        <v>100</v>
      </c>
      <c r="K28" s="566"/>
      <c r="L28" s="2948"/>
      <c r="M28" s="2942"/>
      <c r="N28" s="2942"/>
      <c r="O28" s="3000"/>
      <c r="P28" s="3337"/>
      <c r="Q28" s="1534" t="str">
        <f t="shared" si="11"/>
        <v>物业等级</v>
      </c>
      <c r="R28" s="711" t="s">
        <v>14</v>
      </c>
      <c r="S28" s="712">
        <f t="shared" si="12"/>
        <v>100</v>
      </c>
      <c r="T28" s="711" t="s">
        <v>14</v>
      </c>
      <c r="U28" s="712">
        <f t="shared" si="13"/>
        <v>100</v>
      </c>
      <c r="V28" s="711" t="s">
        <v>14</v>
      </c>
      <c r="W28" s="712">
        <f t="shared" si="14"/>
        <v>100</v>
      </c>
      <c r="X28" s="1537"/>
      <c r="Y28" s="3337"/>
      <c r="Z28" s="1538" t="str">
        <f t="shared" si="15"/>
        <v>物业等级</v>
      </c>
      <c r="AA28" s="1535">
        <f t="shared" si="3"/>
        <v>1</v>
      </c>
      <c r="AB28" s="1535">
        <f t="shared" si="4"/>
        <v>1</v>
      </c>
      <c r="AC28" s="1535">
        <f t="shared" si="5"/>
        <v>1</v>
      </c>
    </row>
    <row r="29" spans="1:29" ht="15">
      <c r="A29" s="428"/>
      <c r="B29" s="378" t="s">
        <v>2533</v>
      </c>
      <c r="C29" s="610"/>
      <c r="D29" s="391">
        <v>100</v>
      </c>
      <c r="E29" s="610"/>
      <c r="F29" s="417">
        <f>SUMIF(84:84,E29,85:85)-SUMIF(84:84,C29,85:85)+100</f>
        <v>100</v>
      </c>
      <c r="G29" s="610"/>
      <c r="H29" s="391">
        <f>SUMIF(84:84,G29,85:85)-SUMIF(84:84,C29,85:85)+100</f>
        <v>100</v>
      </c>
      <c r="I29" s="610"/>
      <c r="J29" s="391">
        <f>SUMIF(84:84,I29,85:85)-SUMIF(84:84,C29,85:85)+100</f>
        <v>100</v>
      </c>
      <c r="K29" s="566"/>
      <c r="L29" s="2948"/>
      <c r="M29" s="2942"/>
      <c r="N29" s="2942"/>
      <c r="O29" s="3000"/>
      <c r="P29" s="3337"/>
      <c r="Q29" s="1534" t="str">
        <f t="shared" si="11"/>
        <v>有无电梯</v>
      </c>
      <c r="R29" s="711" t="s">
        <v>14</v>
      </c>
      <c r="S29" s="712">
        <f t="shared" si="12"/>
        <v>100</v>
      </c>
      <c r="T29" s="711" t="s">
        <v>14</v>
      </c>
      <c r="U29" s="712">
        <f t="shared" si="13"/>
        <v>100</v>
      </c>
      <c r="V29" s="711" t="s">
        <v>14</v>
      </c>
      <c r="W29" s="712">
        <f t="shared" si="14"/>
        <v>100</v>
      </c>
      <c r="X29" s="1537"/>
      <c r="Y29" s="3337"/>
      <c r="Z29" s="1538" t="str">
        <f t="shared" si="15"/>
        <v>有无电梯</v>
      </c>
      <c r="AA29" s="1535">
        <f t="shared" si="3"/>
        <v>1</v>
      </c>
      <c r="AB29" s="1535">
        <f t="shared" si="4"/>
        <v>1</v>
      </c>
      <c r="AC29" s="1535">
        <f t="shared" si="5"/>
        <v>1</v>
      </c>
    </row>
    <row r="30" spans="1:29" ht="15">
      <c r="A30" s="428"/>
      <c r="B30" s="378" t="s">
        <v>2534</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8"/>
      <c r="M30" s="2942"/>
      <c r="N30" s="2942"/>
      <c r="O30" s="3000"/>
      <c r="P30" s="3337"/>
      <c r="Q30" s="1534" t="str">
        <f t="shared" si="11"/>
        <v>建筑面积</v>
      </c>
      <c r="R30" s="711" t="s">
        <v>14</v>
      </c>
      <c r="S30" s="712" t="e">
        <f t="shared" si="12"/>
        <v>#N/A</v>
      </c>
      <c r="T30" s="711" t="s">
        <v>14</v>
      </c>
      <c r="U30" s="712" t="e">
        <f t="shared" si="13"/>
        <v>#N/A</v>
      </c>
      <c r="V30" s="711" t="s">
        <v>14</v>
      </c>
      <c r="W30" s="712" t="e">
        <f t="shared" si="14"/>
        <v>#N/A</v>
      </c>
      <c r="X30" s="1537"/>
      <c r="Y30" s="3337"/>
      <c r="Z30" s="1538" t="str">
        <f t="shared" si="15"/>
        <v>建筑面积</v>
      </c>
      <c r="AA30" s="1535" t="e">
        <f t="shared" si="3"/>
        <v>#N/A</v>
      </c>
      <c r="AB30" s="1535" t="e">
        <f t="shared" si="4"/>
        <v>#N/A</v>
      </c>
      <c r="AC30" s="1535" t="e">
        <f t="shared" si="5"/>
        <v>#N/A</v>
      </c>
    </row>
    <row r="31" spans="1:29" s="110" customFormat="1" ht="15">
      <c r="A31" s="429"/>
      <c r="B31" s="378" t="s">
        <v>2535</v>
      </c>
      <c r="C31" s="610"/>
      <c r="D31" s="129">
        <v>100</v>
      </c>
      <c r="E31" s="610"/>
      <c r="F31" s="417">
        <f>SUMIF(89:89,E31,90:90)-SUMIF(89:89,C31,90:90)+100</f>
        <v>100</v>
      </c>
      <c r="G31" s="610"/>
      <c r="H31" s="391">
        <f>SUMIF(89:89,G31,90:90)-SUMIF(89:89,C31,90:90)+100</f>
        <v>100</v>
      </c>
      <c r="I31" s="610"/>
      <c r="J31" s="391">
        <f>SUMIF(89:89,I31,90:90)-SUMIF(89:89,C31,90:90)+100</f>
        <v>100</v>
      </c>
      <c r="K31" s="566"/>
      <c r="L31" s="2943"/>
      <c r="M31" s="2944"/>
      <c r="N31" s="2944"/>
      <c r="O31" s="2998"/>
      <c r="P31" s="3337"/>
      <c r="Q31" s="1525" t="str">
        <f t="shared" si="11"/>
        <v>是否封闭</v>
      </c>
      <c r="R31" s="707" t="s">
        <v>14</v>
      </c>
      <c r="S31" s="708">
        <f t="shared" si="12"/>
        <v>100</v>
      </c>
      <c r="T31" s="707" t="s">
        <v>14</v>
      </c>
      <c r="U31" s="708">
        <f t="shared" si="13"/>
        <v>100</v>
      </c>
      <c r="V31" s="707" t="s">
        <v>14</v>
      </c>
      <c r="W31" s="708">
        <f t="shared" si="14"/>
        <v>100</v>
      </c>
      <c r="X31" s="709"/>
      <c r="Y31" s="3337"/>
      <c r="Z31" s="52" t="str">
        <f t="shared" si="15"/>
        <v>是否封闭</v>
      </c>
      <c r="AA31" s="710">
        <f t="shared" si="3"/>
        <v>1</v>
      </c>
      <c r="AB31" s="710">
        <f t="shared" si="4"/>
        <v>1</v>
      </c>
      <c r="AC31" s="710">
        <f t="shared" si="5"/>
        <v>1</v>
      </c>
    </row>
    <row r="32" spans="1:29" ht="15">
      <c r="A32" s="428"/>
      <c r="B32" s="2076">
        <v>111</v>
      </c>
      <c r="C32" s="388"/>
      <c r="D32" s="391">
        <v>100</v>
      </c>
      <c r="E32" s="425"/>
      <c r="F32" s="417">
        <f>SUMIF(91:91,E32,92:92)-SUMIF(91:91,C32,92:92)+100</f>
        <v>100</v>
      </c>
      <c r="G32" s="425"/>
      <c r="H32" s="391">
        <f>SUMIF(91:91,G32,92:92)-SUMIF(91:91,C32,92:92)+100</f>
        <v>100</v>
      </c>
      <c r="I32" s="425"/>
      <c r="J32" s="391">
        <f>SUMIF(91:91,I32,92:92)-SUMIF(91:91,C32,92:92)+100</f>
        <v>100</v>
      </c>
      <c r="K32" s="567"/>
      <c r="L32" s="2948"/>
      <c r="M32" s="2942"/>
      <c r="N32" s="2942"/>
      <c r="O32" s="3000"/>
      <c r="P32" s="3337" t="s">
        <v>2361</v>
      </c>
      <c r="Q32" s="1534">
        <f t="shared" si="11"/>
        <v>111</v>
      </c>
      <c r="R32" s="711" t="s">
        <v>14</v>
      </c>
      <c r="S32" s="712">
        <f t="shared" si="12"/>
        <v>100</v>
      </c>
      <c r="T32" s="711" t="s">
        <v>14</v>
      </c>
      <c r="U32" s="712">
        <f t="shared" si="13"/>
        <v>100</v>
      </c>
      <c r="V32" s="711" t="s">
        <v>14</v>
      </c>
      <c r="W32" s="712">
        <f t="shared" si="14"/>
        <v>100</v>
      </c>
      <c r="X32" s="1537"/>
      <c r="Y32" s="3337" t="s">
        <v>2361</v>
      </c>
      <c r="Z32" s="1538">
        <f t="shared" si="15"/>
        <v>111</v>
      </c>
      <c r="AA32" s="1535">
        <f t="shared" si="3"/>
        <v>1</v>
      </c>
      <c r="AB32" s="1535">
        <f t="shared" si="4"/>
        <v>1</v>
      </c>
      <c r="AC32" s="1535">
        <f t="shared" si="5"/>
        <v>1</v>
      </c>
    </row>
    <row r="33" spans="1:30" ht="15">
      <c r="A33" s="428"/>
      <c r="B33" s="2076">
        <v>111</v>
      </c>
      <c r="C33" s="388"/>
      <c r="D33" s="391">
        <v>100</v>
      </c>
      <c r="E33" s="425"/>
      <c r="F33" s="417">
        <f>SUMIF(93:93,E33,94:94)-SUMIF(93:93,C33,94:94)+100</f>
        <v>100</v>
      </c>
      <c r="G33" s="425"/>
      <c r="H33" s="391">
        <f>SUMIF(93:93,G33,94:94)-SUMIF(93:93,C33,94:94)+100</f>
        <v>100</v>
      </c>
      <c r="I33" s="425"/>
      <c r="J33" s="391">
        <f>SUMIF(93:93,I33,94:94)-SUMIF(93:93,C33,94:94)+100</f>
        <v>100</v>
      </c>
      <c r="K33" s="567"/>
      <c r="L33" s="2948"/>
      <c r="M33" s="2942"/>
      <c r="N33" s="2942"/>
      <c r="O33" s="3000"/>
      <c r="P33" s="3337"/>
      <c r="Q33" s="1534">
        <f t="shared" si="11"/>
        <v>111</v>
      </c>
      <c r="R33" s="711" t="s">
        <v>14</v>
      </c>
      <c r="S33" s="712">
        <f t="shared" si="12"/>
        <v>100</v>
      </c>
      <c r="T33" s="711" t="s">
        <v>14</v>
      </c>
      <c r="U33" s="712">
        <f t="shared" si="13"/>
        <v>100</v>
      </c>
      <c r="V33" s="711" t="s">
        <v>14</v>
      </c>
      <c r="W33" s="712">
        <f t="shared" si="14"/>
        <v>100</v>
      </c>
      <c r="X33" s="1537"/>
      <c r="Y33" s="3337"/>
      <c r="Z33" s="1538">
        <f t="shared" si="15"/>
        <v>111</v>
      </c>
      <c r="AA33" s="1535">
        <f t="shared" si="3"/>
        <v>1</v>
      </c>
      <c r="AB33" s="1535">
        <f t="shared" si="4"/>
        <v>1</v>
      </c>
      <c r="AC33" s="1535">
        <f t="shared" si="5"/>
        <v>1</v>
      </c>
    </row>
    <row r="34" spans="1:30" ht="15.75" thickBot="1">
      <c r="A34" s="434"/>
      <c r="B34" s="2078">
        <v>111</v>
      </c>
      <c r="C34" s="393"/>
      <c r="D34" s="394">
        <v>100</v>
      </c>
      <c r="E34" s="2158"/>
      <c r="F34" s="395">
        <f>SUMIF(95:95,E34,96:96)-SUMIF(95:95,C34,96:96)+100</f>
        <v>100</v>
      </c>
      <c r="G34" s="2158"/>
      <c r="H34" s="394">
        <f>SUMIF(95:95,G34,96:96)-SUMIF(95:95,C34,96:96)+100</f>
        <v>100</v>
      </c>
      <c r="I34" s="2158"/>
      <c r="J34" s="394">
        <f>SUMIF(95:95,I34,96:96)-SUMIF(95:95,C34,96:96)+100</f>
        <v>100</v>
      </c>
      <c r="K34" s="567"/>
      <c r="L34" s="2948"/>
      <c r="M34" s="2942"/>
      <c r="N34" s="2942"/>
      <c r="O34" s="3000"/>
      <c r="P34" s="3337"/>
      <c r="Q34" s="1534">
        <f t="shared" si="11"/>
        <v>111</v>
      </c>
      <c r="R34" s="711" t="s">
        <v>14</v>
      </c>
      <c r="S34" s="712">
        <f t="shared" si="12"/>
        <v>100</v>
      </c>
      <c r="T34" s="711" t="s">
        <v>14</v>
      </c>
      <c r="U34" s="712">
        <f t="shared" si="13"/>
        <v>100</v>
      </c>
      <c r="V34" s="711" t="s">
        <v>14</v>
      </c>
      <c r="W34" s="712">
        <f t="shared" si="14"/>
        <v>100</v>
      </c>
      <c r="X34" s="1537"/>
      <c r="Y34" s="3337"/>
      <c r="Z34" s="1538">
        <f t="shared" si="15"/>
        <v>111</v>
      </c>
      <c r="AA34" s="1535">
        <f t="shared" si="3"/>
        <v>1</v>
      </c>
      <c r="AB34" s="1535">
        <f t="shared" si="4"/>
        <v>1</v>
      </c>
      <c r="AC34" s="1535">
        <f t="shared" si="5"/>
        <v>1</v>
      </c>
    </row>
    <row r="35" spans="1:30" ht="15">
      <c r="A35" s="435" t="s">
        <v>2373</v>
      </c>
      <c r="B35" s="436"/>
      <c r="C35" s="1313" t="s">
        <v>0</v>
      </c>
      <c r="D35" s="1314"/>
      <c r="E35" s="1315"/>
      <c r="F35" s="1316"/>
      <c r="G35" s="1317"/>
      <c r="H35" s="1318"/>
      <c r="I35" s="1315"/>
      <c r="J35" s="1318"/>
      <c r="K35" s="720"/>
      <c r="L35" s="2950"/>
      <c r="M35" s="2951"/>
      <c r="N35" s="2942"/>
      <c r="O35" s="2951"/>
      <c r="P35" s="3319" t="str">
        <f>A35</f>
        <v>成交单价（元/平方米）</v>
      </c>
      <c r="Q35" s="3319"/>
      <c r="R35" s="3374">
        <f>E35</f>
        <v>0</v>
      </c>
      <c r="S35" s="3374"/>
      <c r="T35" s="3374">
        <f>G35</f>
        <v>0</v>
      </c>
      <c r="U35" s="3374"/>
      <c r="V35" s="3374">
        <f>I35</f>
        <v>0</v>
      </c>
      <c r="W35" s="3374"/>
      <c r="X35" s="696"/>
      <c r="Y35" s="718"/>
      <c r="Z35" s="696"/>
      <c r="AA35" s="696"/>
      <c r="AB35" s="696"/>
      <c r="AC35" s="696"/>
    </row>
    <row r="36" spans="1:30" ht="15.75" thickBot="1">
      <c r="A36" s="442" t="s">
        <v>2465</v>
      </c>
      <c r="B36" s="443"/>
      <c r="C36" s="1319" t="e">
        <f>R37</f>
        <v>#DIV/0!</v>
      </c>
      <c r="D36" s="2535" t="s">
        <v>2856</v>
      </c>
      <c r="E36" s="1320" t="e">
        <f>R36</f>
        <v>#DIV/0!</v>
      </c>
      <c r="F36" s="2536"/>
      <c r="G36" s="1319" t="e">
        <f>T36</f>
        <v>#DIV/0!</v>
      </c>
      <c r="H36" s="2536"/>
      <c r="I36" s="1320" t="e">
        <f>V36</f>
        <v>#DIV/0!</v>
      </c>
      <c r="J36" s="2536"/>
      <c r="K36" s="2538">
        <f>F36+H36+J36</f>
        <v>0</v>
      </c>
      <c r="L36" s="2950"/>
      <c r="M36" s="2951"/>
      <c r="N36" s="2942"/>
      <c r="O36" s="2951"/>
      <c r="P36" s="3319" t="str">
        <f>A36</f>
        <v>比较价值（元/平方米）</v>
      </c>
      <c r="Q36" s="3319"/>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696"/>
      <c r="Y36" s="696"/>
      <c r="Z36" s="696"/>
      <c r="AA36" s="696"/>
      <c r="AB36" s="696"/>
      <c r="AC36" s="696"/>
    </row>
    <row r="37" spans="1:30" ht="15.75" thickBot="1">
      <c r="A37" s="446" t="s">
        <v>2466</v>
      </c>
      <c r="B37" s="447"/>
      <c r="C37" s="1322" t="e">
        <f>R37</f>
        <v>#DIV/0!</v>
      </c>
      <c r="D37" s="1322"/>
      <c r="E37" s="1322"/>
      <c r="F37" s="1322"/>
      <c r="G37" s="1322"/>
      <c r="H37" s="1322"/>
      <c r="I37" s="1322"/>
      <c r="J37" s="1322"/>
      <c r="K37" s="721"/>
      <c r="L37" s="2950"/>
      <c r="M37" s="2951"/>
      <c r="N37" s="2951"/>
      <c r="O37" s="2951"/>
      <c r="P37" s="3339" t="str">
        <f>A37</f>
        <v>估价对象XX用房的比较价值（楼面单价，元/平方米）</v>
      </c>
      <c r="Q37" s="3340"/>
      <c r="R37" s="3396" t="e">
        <f>IF(F1="售价",ROUND(IF(D36="简单平均",AVERAGE(R36:W36),R36*F36+T36*H36+V36*J36),0),ROUND(IF(D36="简单平均",AVERAGE(R36:V36),R36*F36+T36*H36+V36*J36),1))</f>
        <v>#DIV/0!</v>
      </c>
      <c r="S37" s="3396"/>
      <c r="T37" s="3396"/>
      <c r="U37" s="3396"/>
      <c r="V37" s="3396"/>
      <c r="W37" s="3396"/>
      <c r="X37" s="696"/>
      <c r="Y37" s="696"/>
      <c r="Z37" s="696"/>
      <c r="AA37" s="696"/>
      <c r="AB37" s="696"/>
      <c r="AC37" s="696"/>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1" t="s">
        <v>2467</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1" t="s">
        <v>2468</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6" customFormat="1" ht="13.5" customHeight="1">
      <c r="A42" s="2954"/>
      <c r="B42" s="2954"/>
      <c r="C42" s="451" t="s">
        <v>2469</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6"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0" t="s">
        <v>2470</v>
      </c>
      <c r="B45" s="696"/>
      <c r="C45" s="701"/>
      <c r="D45" s="701"/>
      <c r="E45" s="701"/>
      <c r="F45" s="702"/>
      <c r="G45" s="702"/>
      <c r="H45" s="701"/>
      <c r="I45" s="701"/>
      <c r="J45" s="701"/>
      <c r="K45" s="703"/>
      <c r="L45" s="704"/>
      <c r="M45" s="701"/>
      <c r="N45" s="2995"/>
      <c r="O45" s="2995"/>
      <c r="P45" s="2995"/>
      <c r="Q45" s="2965"/>
      <c r="R45" s="2951"/>
      <c r="S45" s="2951"/>
      <c r="T45" s="2951"/>
      <c r="U45" s="2951"/>
      <c r="V45" s="2951"/>
      <c r="W45" s="2951"/>
      <c r="X45" s="2951"/>
      <c r="Y45" s="2951"/>
      <c r="Z45" s="2951"/>
      <c r="AA45" s="2951"/>
      <c r="AB45" s="2951"/>
      <c r="AC45" s="2951"/>
      <c r="AD45" s="2951"/>
    </row>
    <row r="46" spans="1:30" s="462" customFormat="1" ht="15">
      <c r="A46" s="459" t="s">
        <v>2344</v>
      </c>
      <c r="B46" s="460"/>
      <c r="C46" s="1343" t="str">
        <f>YEAR(C7)&amp;"-"&amp;MONTH(C7)</f>
        <v>2021-2</v>
      </c>
      <c r="D46" s="1344">
        <f>EDATE(C46,-1)</f>
        <v>44197</v>
      </c>
      <c r="E46" s="1344">
        <f t="shared" ref="E46:O46" si="16">EDATE(D46,-1)</f>
        <v>44166</v>
      </c>
      <c r="F46" s="1344">
        <f t="shared" si="16"/>
        <v>44136</v>
      </c>
      <c r="G46" s="1344">
        <f t="shared" si="16"/>
        <v>44105</v>
      </c>
      <c r="H46" s="1344">
        <f t="shared" si="16"/>
        <v>44075</v>
      </c>
      <c r="I46" s="1344">
        <f t="shared" si="16"/>
        <v>44044</v>
      </c>
      <c r="J46" s="1344">
        <f t="shared" si="16"/>
        <v>44013</v>
      </c>
      <c r="K46" s="1344">
        <f t="shared" si="16"/>
        <v>43983</v>
      </c>
      <c r="L46" s="1344">
        <f t="shared" si="16"/>
        <v>43952</v>
      </c>
      <c r="M46" s="1344">
        <f t="shared" si="16"/>
        <v>43922</v>
      </c>
      <c r="N46" s="1344">
        <f t="shared" si="16"/>
        <v>43891</v>
      </c>
      <c r="O46" s="1344">
        <f t="shared" si="16"/>
        <v>43862</v>
      </c>
      <c r="P46" s="3002"/>
      <c r="Q46" s="2967"/>
      <c r="R46" s="2967"/>
      <c r="S46" s="2967"/>
      <c r="T46" s="2967"/>
      <c r="U46" s="2967"/>
      <c r="V46" s="2967"/>
      <c r="W46" s="2967"/>
      <c r="X46" s="2967"/>
      <c r="Y46" s="2967"/>
      <c r="Z46" s="2967"/>
      <c r="AA46" s="2967"/>
      <c r="AB46" s="2967"/>
      <c r="AC46" s="2967"/>
      <c r="AD46" s="2967"/>
    </row>
    <row r="47" spans="1:30" s="110" customFormat="1" ht="15">
      <c r="A47" s="463"/>
      <c r="B47" s="464"/>
      <c r="C47" s="1342">
        <v>100</v>
      </c>
      <c r="D47" s="466"/>
      <c r="E47" s="466"/>
      <c r="F47" s="466"/>
      <c r="G47" s="466"/>
      <c r="H47" s="466"/>
      <c r="I47" s="466"/>
      <c r="J47" s="466"/>
      <c r="K47" s="466"/>
      <c r="L47" s="466"/>
      <c r="M47" s="467"/>
      <c r="N47" s="466"/>
      <c r="O47" s="468"/>
      <c r="P47" s="2965"/>
      <c r="Q47" s="2885"/>
      <c r="R47" s="2885"/>
      <c r="S47" s="2885"/>
      <c r="T47" s="2885"/>
      <c r="U47" s="2885"/>
      <c r="V47" s="2885"/>
      <c r="W47" s="2885"/>
      <c r="X47" s="2885"/>
      <c r="Y47" s="2885"/>
      <c r="Z47" s="2885"/>
      <c r="AA47" s="2885"/>
      <c r="AB47" s="2885"/>
      <c r="AC47" s="2885"/>
      <c r="AD47" s="2885"/>
    </row>
    <row r="48" spans="1:30" s="110" customFormat="1" ht="15.75" thickBot="1">
      <c r="A48" s="469" t="s">
        <v>2381</v>
      </c>
      <c r="B48" s="470"/>
      <c r="C48" s="471"/>
      <c r="D48" s="472"/>
      <c r="E48" s="472"/>
      <c r="F48" s="472"/>
      <c r="G48" s="472"/>
      <c r="H48" s="472"/>
      <c r="I48" s="472"/>
      <c r="J48" s="472"/>
      <c r="K48" s="472"/>
      <c r="L48" s="472"/>
      <c r="M48" s="473"/>
      <c r="N48" s="472"/>
      <c r="O48" s="474"/>
      <c r="P48" s="2965"/>
      <c r="Q48" s="2965"/>
      <c r="R48" s="2885"/>
      <c r="S48" s="2885"/>
      <c r="T48" s="2885"/>
      <c r="U48" s="2885"/>
      <c r="V48" s="2885"/>
      <c r="W48" s="2885"/>
      <c r="X48" s="2885"/>
      <c r="Y48" s="2885"/>
      <c r="Z48" s="2885"/>
      <c r="AA48" s="2885"/>
      <c r="AB48" s="2885"/>
      <c r="AC48" s="2885"/>
      <c r="AD48" s="2885"/>
    </row>
    <row r="49" spans="1:30" s="110" customFormat="1" ht="15">
      <c r="A49" s="475" t="s">
        <v>2346</v>
      </c>
      <c r="B49" s="464"/>
      <c r="C49" s="476" t="s">
        <v>2448</v>
      </c>
      <c r="D49" s="477"/>
      <c r="E49" s="477"/>
      <c r="F49" s="477"/>
      <c r="G49" s="477"/>
      <c r="H49" s="477"/>
      <c r="I49" s="477"/>
      <c r="J49" s="477"/>
      <c r="K49" s="477"/>
      <c r="L49" s="478"/>
      <c r="M49" s="479"/>
      <c r="N49" s="2978"/>
      <c r="O49" s="2978"/>
      <c r="P49" s="3003"/>
      <c r="Q49" s="2965"/>
      <c r="R49" s="2885"/>
      <c r="S49" s="2885"/>
      <c r="T49" s="2885"/>
      <c r="U49" s="2885"/>
      <c r="V49" s="2885"/>
      <c r="W49" s="2885"/>
      <c r="X49" s="2885"/>
      <c r="Y49" s="2885"/>
      <c r="Z49" s="2885"/>
      <c r="AA49" s="2885"/>
      <c r="AB49" s="2885"/>
      <c r="AC49" s="2885"/>
      <c r="AD49" s="2885"/>
    </row>
    <row r="50" spans="1:30" s="110" customFormat="1" ht="15.75" thickBot="1">
      <c r="A50" s="475"/>
      <c r="B50" s="464"/>
      <c r="C50" s="592">
        <v>100</v>
      </c>
      <c r="D50" s="466"/>
      <c r="E50" s="466"/>
      <c r="F50" s="466"/>
      <c r="G50" s="466"/>
      <c r="H50" s="466"/>
      <c r="I50" s="466"/>
      <c r="J50" s="466"/>
      <c r="K50" s="466"/>
      <c r="L50" s="466"/>
      <c r="M50" s="468"/>
      <c r="N50" s="2978"/>
      <c r="O50" s="2978"/>
      <c r="P50" s="2965"/>
      <c r="Q50" s="2965"/>
      <c r="R50" s="2885"/>
      <c r="S50" s="2885"/>
      <c r="T50" s="2885"/>
      <c r="U50" s="2885"/>
      <c r="V50" s="2885"/>
      <c r="W50" s="2885"/>
      <c r="X50" s="2885"/>
      <c r="Y50" s="2885"/>
      <c r="Z50" s="2885"/>
      <c r="AA50" s="2885"/>
      <c r="AB50" s="2885"/>
      <c r="AC50" s="2885"/>
      <c r="AD50" s="2885"/>
    </row>
    <row r="51" spans="1:30">
      <c r="A51" s="481" t="s">
        <v>2384</v>
      </c>
      <c r="B51" s="482" t="s">
        <v>2350</v>
      </c>
      <c r="C51" s="483">
        <f>C9</f>
        <v>0</v>
      </c>
      <c r="D51" s="484"/>
      <c r="E51" s="484"/>
      <c r="F51" s="484"/>
      <c r="G51" s="484"/>
      <c r="H51" s="484"/>
      <c r="I51" s="484"/>
      <c r="J51" s="484"/>
      <c r="K51" s="485"/>
      <c r="L51" s="486"/>
      <c r="M51" s="487"/>
      <c r="N51" s="2979"/>
      <c r="O51" s="2979"/>
      <c r="P51" s="3004"/>
      <c r="Q51" s="2965"/>
      <c r="R51" s="2951"/>
      <c r="S51" s="2951"/>
      <c r="T51" s="2951"/>
      <c r="U51" s="2951"/>
      <c r="V51" s="2951"/>
      <c r="W51" s="2951"/>
      <c r="X51" s="2951"/>
      <c r="Y51" s="2951"/>
      <c r="Z51" s="2951"/>
      <c r="AA51" s="2951"/>
      <c r="AB51" s="2951"/>
      <c r="AC51" s="2951"/>
      <c r="AD51" s="2951"/>
    </row>
    <row r="52" spans="1:30" ht="15.75" thickBot="1">
      <c r="A52" s="488"/>
      <c r="B52" s="489"/>
      <c r="C52" s="490">
        <v>100</v>
      </c>
      <c r="D52" s="490"/>
      <c r="E52" s="490"/>
      <c r="F52" s="490"/>
      <c r="G52" s="490"/>
      <c r="H52" s="490"/>
      <c r="I52" s="490"/>
      <c r="J52" s="490"/>
      <c r="K52" s="490"/>
      <c r="L52" s="490"/>
      <c r="M52" s="491"/>
      <c r="N52" s="2980"/>
      <c r="O52" s="2980"/>
      <c r="P52" s="3004"/>
      <c r="Q52" s="2965"/>
      <c r="R52" s="2951"/>
      <c r="S52" s="2951"/>
      <c r="T52" s="2951"/>
      <c r="U52" s="2951"/>
      <c r="V52" s="2951"/>
      <c r="W52" s="2951"/>
      <c r="X52" s="2951"/>
      <c r="Y52" s="2951"/>
      <c r="Z52" s="2951"/>
      <c r="AA52" s="2951"/>
      <c r="AB52" s="2951"/>
      <c r="AC52" s="2951"/>
      <c r="AD52" s="2951"/>
    </row>
    <row r="53" spans="1:30" ht="27.75" thickTop="1">
      <c r="A53" s="488"/>
      <c r="B53" s="492" t="s">
        <v>2353</v>
      </c>
      <c r="C53" s="493" t="s">
        <v>2385</v>
      </c>
      <c r="D53" s="493" t="s">
        <v>2386</v>
      </c>
      <c r="E53" s="493" t="s">
        <v>2387</v>
      </c>
      <c r="F53" s="493" t="s">
        <v>2388</v>
      </c>
      <c r="G53" s="493" t="s">
        <v>2389</v>
      </c>
      <c r="H53" s="493" t="s">
        <v>2390</v>
      </c>
      <c r="I53" s="493" t="s">
        <v>2391</v>
      </c>
      <c r="J53" s="493"/>
      <c r="K53" s="494"/>
      <c r="L53" s="495"/>
      <c r="M53" s="496"/>
      <c r="N53" s="2979"/>
      <c r="O53" s="2979"/>
      <c r="P53" s="3004"/>
      <c r="Q53" s="2965"/>
      <c r="R53" s="2951"/>
      <c r="S53" s="2951"/>
      <c r="T53" s="2951"/>
      <c r="U53" s="2951"/>
      <c r="V53" s="2951"/>
      <c r="W53" s="2951"/>
      <c r="X53" s="2951"/>
      <c r="Y53" s="2951"/>
      <c r="Z53" s="2951"/>
      <c r="AA53" s="2951"/>
      <c r="AB53" s="2951"/>
      <c r="AC53" s="2951"/>
      <c r="AD53" s="2951"/>
    </row>
    <row r="54" spans="1:30" ht="15.75" thickBot="1">
      <c r="A54" s="488"/>
      <c r="B54" s="497"/>
      <c r="C54" s="498" t="s">
        <v>21</v>
      </c>
      <c r="D54" s="498" t="s">
        <v>22</v>
      </c>
      <c r="E54" s="498">
        <v>100</v>
      </c>
      <c r="F54" s="498">
        <f>E54-$K10</f>
        <v>100</v>
      </c>
      <c r="G54" s="498">
        <f>F54-$K10</f>
        <v>100</v>
      </c>
      <c r="H54" s="498">
        <f>G54-$K10</f>
        <v>100</v>
      </c>
      <c r="I54" s="498">
        <f>H54-$K10</f>
        <v>100</v>
      </c>
      <c r="J54" s="498"/>
      <c r="K54" s="498"/>
      <c r="L54" s="498"/>
      <c r="M54" s="499"/>
      <c r="N54" s="2980"/>
      <c r="O54" s="2980"/>
      <c r="P54" s="3004"/>
      <c r="Q54" s="2965"/>
      <c r="R54" s="2951"/>
      <c r="S54" s="2951"/>
      <c r="T54" s="2951"/>
      <c r="U54" s="2951"/>
      <c r="V54" s="2951"/>
      <c r="W54" s="2951"/>
      <c r="X54" s="2951"/>
      <c r="Y54" s="2951"/>
      <c r="Z54" s="2951"/>
      <c r="AA54" s="2951"/>
      <c r="AB54" s="2951"/>
      <c r="AC54" s="2951"/>
      <c r="AD54" s="2951"/>
    </row>
    <row r="55" spans="1:30" ht="15.75" thickTop="1">
      <c r="A55" s="488"/>
      <c r="B55" s="613">
        <f>B11</f>
        <v>111</v>
      </c>
      <c r="C55" s="503"/>
      <c r="D55" s="503"/>
      <c r="E55" s="503"/>
      <c r="F55" s="503"/>
      <c r="G55" s="503"/>
      <c r="H55" s="503"/>
      <c r="I55" s="503"/>
      <c r="J55" s="503"/>
      <c r="K55" s="504"/>
      <c r="L55" s="505"/>
      <c r="M55" s="506"/>
      <c r="N55" s="2979"/>
      <c r="O55" s="2979"/>
      <c r="P55" s="3004"/>
      <c r="Q55" s="2965"/>
      <c r="R55" s="2951"/>
      <c r="S55" s="2951"/>
      <c r="T55" s="2951"/>
      <c r="U55" s="2951"/>
      <c r="V55" s="2951"/>
      <c r="W55" s="2951"/>
      <c r="X55" s="2951"/>
      <c r="Y55" s="2951"/>
      <c r="Z55" s="2951"/>
      <c r="AA55" s="2951"/>
      <c r="AB55" s="2951"/>
      <c r="AC55" s="2951"/>
      <c r="AD55" s="2951"/>
    </row>
    <row r="56" spans="1:30" ht="15.75" thickBot="1">
      <c r="A56" s="488"/>
      <c r="B56" s="489"/>
      <c r="C56" s="514"/>
      <c r="D56" s="490"/>
      <c r="E56" s="490"/>
      <c r="F56" s="490"/>
      <c r="G56" s="490"/>
      <c r="H56" s="490"/>
      <c r="I56" s="490"/>
      <c r="J56" s="490"/>
      <c r="K56" s="490"/>
      <c r="L56" s="490"/>
      <c r="M56" s="491"/>
      <c r="N56" s="2980"/>
      <c r="O56" s="2980"/>
      <c r="P56" s="3004"/>
      <c r="Q56" s="2965"/>
      <c r="R56" s="2951"/>
      <c r="S56" s="2951"/>
      <c r="T56" s="2951"/>
      <c r="U56" s="2951"/>
      <c r="V56" s="2951"/>
      <c r="W56" s="2951"/>
      <c r="X56" s="2951"/>
      <c r="Y56" s="2951"/>
      <c r="Z56" s="2951"/>
      <c r="AA56" s="2951"/>
      <c r="AB56" s="2951"/>
      <c r="AC56" s="2951"/>
      <c r="AD56" s="2951"/>
    </row>
    <row r="57" spans="1:30" s="427" customFormat="1" ht="15.75" thickTop="1">
      <c r="A57" s="507"/>
      <c r="B57" s="492">
        <f>B12</f>
        <v>111</v>
      </c>
      <c r="C57" s="503"/>
      <c r="D57" s="503"/>
      <c r="E57" s="503"/>
      <c r="F57" s="503"/>
      <c r="G57" s="508"/>
      <c r="H57" s="509"/>
      <c r="I57" s="509"/>
      <c r="J57" s="509"/>
      <c r="K57" s="509"/>
      <c r="L57" s="510"/>
      <c r="M57" s="511"/>
      <c r="N57" s="2981"/>
      <c r="O57" s="2981"/>
      <c r="P57" s="3005"/>
      <c r="Q57" s="2972"/>
      <c r="R57" s="2973"/>
      <c r="S57" s="2973"/>
      <c r="T57" s="2973"/>
      <c r="U57" s="2973"/>
      <c r="V57" s="2973"/>
      <c r="W57" s="2973"/>
      <c r="X57" s="2973"/>
      <c r="Y57" s="2973"/>
      <c r="Z57" s="2973"/>
      <c r="AA57" s="2973"/>
      <c r="AB57" s="2973"/>
      <c r="AC57" s="2973"/>
      <c r="AD57" s="2973"/>
    </row>
    <row r="58" spans="1:30" s="427" customFormat="1" ht="15.75" thickBot="1">
      <c r="A58" s="507"/>
      <c r="B58" s="497"/>
      <c r="C58" s="514"/>
      <c r="D58" s="490"/>
      <c r="E58" s="490"/>
      <c r="F58" s="490"/>
      <c r="G58" s="490"/>
      <c r="H58" s="490"/>
      <c r="I58" s="490"/>
      <c r="J58" s="490"/>
      <c r="K58" s="490"/>
      <c r="L58" s="490"/>
      <c r="M58" s="491"/>
      <c r="N58" s="2980"/>
      <c r="O58" s="2980"/>
      <c r="P58" s="3005"/>
      <c r="Q58" s="2972"/>
      <c r="R58" s="2973"/>
      <c r="S58" s="2973"/>
      <c r="T58" s="2973"/>
      <c r="U58" s="2973"/>
      <c r="V58" s="2973"/>
      <c r="W58" s="2973"/>
      <c r="X58" s="2973"/>
      <c r="Y58" s="2973"/>
      <c r="Z58" s="2973"/>
      <c r="AA58" s="2973"/>
      <c r="AB58" s="2973"/>
      <c r="AC58" s="2973"/>
      <c r="AD58" s="2973"/>
    </row>
    <row r="59" spans="1:30" s="427" customFormat="1" ht="15.75" thickTop="1">
      <c r="A59" s="507"/>
      <c r="B59" s="492">
        <f>B13</f>
        <v>111</v>
      </c>
      <c r="C59" s="503"/>
      <c r="D59" s="503"/>
      <c r="E59" s="503"/>
      <c r="F59" s="503"/>
      <c r="G59" s="508"/>
      <c r="H59" s="509"/>
      <c r="I59" s="509"/>
      <c r="J59" s="509"/>
      <c r="K59" s="509"/>
      <c r="L59" s="510"/>
      <c r="M59" s="511"/>
      <c r="N59" s="2981"/>
      <c r="O59" s="2981"/>
      <c r="P59" s="2949"/>
      <c r="Q59" s="2975"/>
      <c r="R59" s="2973"/>
      <c r="S59" s="2973"/>
      <c r="T59" s="2973"/>
      <c r="U59" s="2973"/>
      <c r="V59" s="2973"/>
      <c r="W59" s="2973"/>
      <c r="X59" s="2973"/>
      <c r="Y59" s="2973"/>
      <c r="Z59" s="2973"/>
      <c r="AA59" s="2973"/>
      <c r="AB59" s="2973"/>
      <c r="AC59" s="2973"/>
      <c r="AD59" s="2973"/>
    </row>
    <row r="60" spans="1:30" s="427" customFormat="1" ht="15.75" thickBot="1">
      <c r="A60" s="507"/>
      <c r="B60" s="497"/>
      <c r="C60" s="514"/>
      <c r="D60" s="514"/>
      <c r="E60" s="514"/>
      <c r="F60" s="514"/>
      <c r="G60" s="514"/>
      <c r="H60" s="516"/>
      <c r="I60" s="516"/>
      <c r="J60" s="516"/>
      <c r="K60" s="516"/>
      <c r="L60" s="516"/>
      <c r="M60" s="517"/>
      <c r="N60" s="2981"/>
      <c r="O60" s="2981"/>
      <c r="P60" s="3005"/>
      <c r="Q60" s="2972"/>
      <c r="R60" s="2973"/>
      <c r="S60" s="2973"/>
      <c r="T60" s="2973"/>
      <c r="U60" s="2973"/>
      <c r="V60" s="2973"/>
      <c r="W60" s="2973"/>
      <c r="X60" s="2973"/>
      <c r="Y60" s="2973"/>
      <c r="Z60" s="2973"/>
      <c r="AA60" s="2973"/>
      <c r="AB60" s="2973"/>
      <c r="AC60" s="2973"/>
      <c r="AD60" s="2973"/>
    </row>
    <row r="61" spans="1:30" ht="15" thickTop="1">
      <c r="A61" s="481" t="s">
        <v>2355</v>
      </c>
      <c r="B61" s="482" t="s">
        <v>2398</v>
      </c>
      <c r="C61" s="527" t="s">
        <v>2393</v>
      </c>
      <c r="D61" s="527" t="s">
        <v>2394</v>
      </c>
      <c r="E61" s="527" t="s">
        <v>2395</v>
      </c>
      <c r="F61" s="527" t="s">
        <v>2396</v>
      </c>
      <c r="G61" s="527" t="s">
        <v>2397</v>
      </c>
      <c r="H61" s="483"/>
      <c r="I61" s="483"/>
      <c r="J61" s="483"/>
      <c r="K61" s="528"/>
      <c r="L61" s="529"/>
      <c r="M61" s="530"/>
      <c r="N61" s="2979"/>
      <c r="O61" s="2979"/>
      <c r="P61" s="3006"/>
      <c r="Q61" s="2965"/>
      <c r="R61" s="2951"/>
      <c r="S61" s="2951"/>
      <c r="T61" s="2951"/>
      <c r="U61" s="2951"/>
      <c r="V61" s="2951"/>
      <c r="W61" s="2951"/>
      <c r="X61" s="2951"/>
      <c r="Y61" s="2951"/>
      <c r="Z61" s="2951"/>
      <c r="AA61" s="2951"/>
      <c r="AB61" s="2951"/>
      <c r="AC61" s="2951"/>
      <c r="AD61" s="2951"/>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0"/>
      <c r="O62" s="2980"/>
      <c r="P62" s="3004"/>
      <c r="Q62" s="2965"/>
      <c r="R62" s="2951"/>
      <c r="S62" s="2951"/>
      <c r="T62" s="2951"/>
      <c r="U62" s="2951"/>
      <c r="V62" s="2951"/>
      <c r="W62" s="2951"/>
      <c r="X62" s="2951"/>
      <c r="Y62" s="2951"/>
      <c r="Z62" s="2951"/>
      <c r="AA62" s="2951"/>
      <c r="AB62" s="2951"/>
      <c r="AC62" s="2951"/>
      <c r="AD62" s="2951"/>
    </row>
    <row r="63" spans="1:30" ht="27.75" thickTop="1">
      <c r="A63" s="488"/>
      <c r="B63" s="492" t="s">
        <v>2536</v>
      </c>
      <c r="C63" s="532" t="s">
        <v>2393</v>
      </c>
      <c r="D63" s="532" t="s">
        <v>2394</v>
      </c>
      <c r="E63" s="532" t="s">
        <v>2395</v>
      </c>
      <c r="F63" s="532" t="s">
        <v>2396</v>
      </c>
      <c r="G63" s="532" t="s">
        <v>2397</v>
      </c>
      <c r="H63" s="493"/>
      <c r="I63" s="493"/>
      <c r="J63" s="493"/>
      <c r="K63" s="494"/>
      <c r="L63" s="495"/>
      <c r="M63" s="496"/>
      <c r="N63" s="2979"/>
      <c r="O63" s="2979"/>
      <c r="P63" s="3004"/>
      <c r="Q63" s="2965"/>
      <c r="R63" s="2951"/>
      <c r="S63" s="2951"/>
      <c r="T63" s="2951"/>
      <c r="U63" s="2951"/>
      <c r="V63" s="2951"/>
      <c r="W63" s="2951"/>
      <c r="X63" s="2951"/>
      <c r="Y63" s="2951"/>
      <c r="Z63" s="2951"/>
      <c r="AA63" s="2951"/>
      <c r="AB63" s="2951"/>
      <c r="AC63" s="2951"/>
      <c r="AD63" s="2951"/>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0"/>
      <c r="O64" s="2980"/>
      <c r="P64" s="3004"/>
      <c r="Q64" s="2965"/>
      <c r="R64" s="2951"/>
      <c r="S64" s="2951"/>
      <c r="T64" s="2951"/>
      <c r="U64" s="2951"/>
      <c r="V64" s="2951"/>
      <c r="W64" s="2951"/>
      <c r="X64" s="2951"/>
      <c r="Y64" s="2951"/>
      <c r="Z64" s="2951"/>
      <c r="AA64" s="2951"/>
      <c r="AB64" s="2951"/>
      <c r="AC64" s="2951"/>
      <c r="AD64" s="2951"/>
    </row>
    <row r="65" spans="1:30" ht="15.75" thickTop="1">
      <c r="A65" s="488"/>
      <c r="B65" s="500" t="s">
        <v>2485</v>
      </c>
      <c r="C65" s="613" t="s">
        <v>2471</v>
      </c>
      <c r="D65" s="613" t="s">
        <v>2472</v>
      </c>
      <c r="E65" s="613" t="s">
        <v>2473</v>
      </c>
      <c r="F65" s="613" t="s">
        <v>2474</v>
      </c>
      <c r="G65" s="613" t="s">
        <v>2475</v>
      </c>
      <c r="H65" s="493"/>
      <c r="I65" s="493"/>
      <c r="J65" s="493"/>
      <c r="K65" s="493"/>
      <c r="L65" s="493"/>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0"/>
      <c r="O66" s="2980"/>
      <c r="P66" s="3004"/>
      <c r="Q66" s="2965"/>
      <c r="R66" s="2951"/>
      <c r="S66" s="2951"/>
      <c r="T66" s="2951"/>
      <c r="U66" s="2951"/>
      <c r="V66" s="2951"/>
      <c r="W66" s="2951"/>
      <c r="X66" s="2951"/>
      <c r="Y66" s="2951"/>
      <c r="Z66" s="2951"/>
      <c r="AA66" s="2951"/>
      <c r="AB66" s="2951"/>
      <c r="AC66" s="2951"/>
      <c r="AD66" s="2951"/>
    </row>
    <row r="67" spans="1:30" ht="15.75" thickTop="1">
      <c r="A67" s="488"/>
      <c r="B67" s="492" t="s">
        <v>2405</v>
      </c>
      <c r="C67" s="532" t="s">
        <v>2393</v>
      </c>
      <c r="D67" s="532" t="s">
        <v>2394</v>
      </c>
      <c r="E67" s="532" t="s">
        <v>2395</v>
      </c>
      <c r="F67" s="532" t="s">
        <v>2396</v>
      </c>
      <c r="G67" s="532" t="s">
        <v>2397</v>
      </c>
      <c r="H67" s="493"/>
      <c r="I67" s="493"/>
      <c r="J67" s="493"/>
      <c r="K67" s="494"/>
      <c r="L67" s="495"/>
      <c r="M67" s="496"/>
      <c r="N67" s="2979"/>
      <c r="O67" s="2979"/>
      <c r="P67" s="3004"/>
      <c r="Q67" s="2965"/>
      <c r="R67" s="2951"/>
      <c r="S67" s="2951"/>
      <c r="T67" s="2951"/>
      <c r="U67" s="2951"/>
      <c r="V67" s="2951"/>
      <c r="W67" s="2951"/>
      <c r="X67" s="2951"/>
      <c r="Y67" s="2951"/>
      <c r="Z67" s="2951"/>
      <c r="AA67" s="2951"/>
      <c r="AB67" s="2951"/>
      <c r="AC67" s="2951"/>
      <c r="AD67" s="2951"/>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0"/>
      <c r="O68" s="2980"/>
      <c r="P68" s="3004"/>
      <c r="Q68" s="2965"/>
      <c r="R68" s="2951"/>
      <c r="S68" s="2951"/>
      <c r="T68" s="2951"/>
      <c r="U68" s="2951"/>
      <c r="V68" s="2951"/>
      <c r="W68" s="2951"/>
      <c r="X68" s="2951"/>
      <c r="Y68" s="2951"/>
      <c r="Z68" s="2951"/>
      <c r="AA68" s="2951"/>
      <c r="AB68" s="2951"/>
      <c r="AC68" s="2951"/>
      <c r="AD68" s="2951"/>
    </row>
    <row r="69" spans="1:30" ht="15.75" thickTop="1">
      <c r="A69" s="488"/>
      <c r="B69" s="492" t="s">
        <v>2525</v>
      </c>
      <c r="C69" s="508"/>
      <c r="D69" s="508"/>
      <c r="E69" s="508"/>
      <c r="F69" s="508"/>
      <c r="G69" s="508"/>
      <c r="H69" s="537"/>
      <c r="I69" s="537"/>
      <c r="J69" s="537"/>
      <c r="K69" s="538"/>
      <c r="L69" s="539"/>
      <c r="M69" s="540"/>
      <c r="N69" s="2979"/>
      <c r="O69" s="2979"/>
      <c r="P69" s="3004"/>
      <c r="Q69" s="2965"/>
      <c r="R69" s="2951"/>
      <c r="S69" s="2951"/>
      <c r="T69" s="2951"/>
      <c r="U69" s="2951"/>
      <c r="V69" s="2951"/>
      <c r="W69" s="2951"/>
      <c r="X69" s="2951"/>
      <c r="Y69" s="2951"/>
      <c r="Z69" s="2951"/>
      <c r="AA69" s="2951"/>
      <c r="AB69" s="2951"/>
      <c r="AC69" s="2951"/>
      <c r="AD69" s="2951"/>
    </row>
    <row r="70" spans="1:30" ht="15.75" thickBot="1">
      <c r="A70" s="488"/>
      <c r="B70" s="497"/>
      <c r="C70" s="498">
        <v>100</v>
      </c>
      <c r="D70" s="498">
        <f>C70-$K22</f>
        <v>100</v>
      </c>
      <c r="E70" s="498"/>
      <c r="F70" s="498"/>
      <c r="G70" s="498"/>
      <c r="H70" s="498"/>
      <c r="I70" s="498"/>
      <c r="J70" s="498"/>
      <c r="K70" s="498"/>
      <c r="L70" s="498"/>
      <c r="M70" s="499"/>
      <c r="N70" s="2980"/>
      <c r="O70" s="2980"/>
      <c r="P70" s="3004"/>
      <c r="Q70" s="2965"/>
      <c r="R70" s="2951"/>
      <c r="S70" s="2951"/>
      <c r="T70" s="2951"/>
      <c r="U70" s="2951"/>
      <c r="V70" s="2951"/>
      <c r="W70" s="2951"/>
      <c r="X70" s="2951"/>
      <c r="Y70" s="2951"/>
      <c r="Z70" s="2951"/>
      <c r="AA70" s="2951"/>
      <c r="AB70" s="2951"/>
      <c r="AC70" s="2951"/>
      <c r="AD70" s="2951"/>
    </row>
    <row r="71" spans="1:30" s="110" customFormat="1" ht="15.75" thickTop="1">
      <c r="A71" s="533"/>
      <c r="B71" s="492">
        <f>B23</f>
        <v>111</v>
      </c>
      <c r="C71" s="503"/>
      <c r="D71" s="503"/>
      <c r="E71" s="503"/>
      <c r="F71" s="503"/>
      <c r="G71" s="508"/>
      <c r="H71" s="508"/>
      <c r="I71" s="508"/>
      <c r="J71" s="508"/>
      <c r="K71" s="508"/>
      <c r="L71" s="534"/>
      <c r="M71" s="535"/>
      <c r="N71" s="2978"/>
      <c r="O71" s="2978"/>
      <c r="P71" s="3004"/>
      <c r="Q71" s="2965"/>
      <c r="R71" s="2885"/>
      <c r="S71" s="2885"/>
      <c r="T71" s="2885"/>
      <c r="U71" s="2885"/>
      <c r="V71" s="2885"/>
      <c r="W71" s="2885"/>
      <c r="X71" s="2885"/>
      <c r="Y71" s="2885"/>
      <c r="Z71" s="2885"/>
      <c r="AA71" s="2885"/>
      <c r="AB71" s="2885"/>
      <c r="AC71" s="2885"/>
      <c r="AD71" s="2885"/>
    </row>
    <row r="72" spans="1:30" s="110" customFormat="1" ht="15.75" thickBot="1">
      <c r="A72" s="533"/>
      <c r="B72" s="497"/>
      <c r="C72" s="514"/>
      <c r="D72" s="490"/>
      <c r="E72" s="490"/>
      <c r="F72" s="490"/>
      <c r="G72" s="490"/>
      <c r="H72" s="490"/>
      <c r="I72" s="490"/>
      <c r="J72" s="490"/>
      <c r="K72" s="490"/>
      <c r="L72" s="490"/>
      <c r="M72" s="491"/>
      <c r="N72" s="2980"/>
      <c r="O72" s="2980"/>
      <c r="P72" s="3004"/>
      <c r="Q72" s="2965"/>
      <c r="R72" s="2885"/>
      <c r="S72" s="2885"/>
      <c r="T72" s="2885"/>
      <c r="U72" s="2885"/>
      <c r="V72" s="2885"/>
      <c r="W72" s="2885"/>
      <c r="X72" s="2885"/>
      <c r="Y72" s="2885"/>
      <c r="Z72" s="2885"/>
      <c r="AA72" s="2885"/>
      <c r="AB72" s="2885"/>
      <c r="AC72" s="2885"/>
      <c r="AD72" s="2885"/>
    </row>
    <row r="73" spans="1:30" s="110" customFormat="1" ht="15.75" thickTop="1">
      <c r="A73" s="533"/>
      <c r="B73" s="492">
        <f>B24</f>
        <v>111</v>
      </c>
      <c r="C73" s="503"/>
      <c r="D73" s="503"/>
      <c r="E73" s="503"/>
      <c r="F73" s="503"/>
      <c r="G73" s="508"/>
      <c r="H73" s="508"/>
      <c r="I73" s="508"/>
      <c r="J73" s="508"/>
      <c r="K73" s="508"/>
      <c r="L73" s="508"/>
      <c r="M73" s="535"/>
      <c r="N73" s="2978"/>
      <c r="O73" s="2978"/>
      <c r="P73" s="3004"/>
      <c r="Q73" s="2965"/>
      <c r="R73" s="2885"/>
      <c r="S73" s="2885"/>
      <c r="T73" s="2885"/>
      <c r="U73" s="2885"/>
      <c r="V73" s="2885"/>
      <c r="W73" s="2885"/>
      <c r="X73" s="2885"/>
      <c r="Y73" s="2885"/>
      <c r="Z73" s="2885"/>
      <c r="AA73" s="2885"/>
      <c r="AB73" s="2885"/>
      <c r="AC73" s="2885"/>
      <c r="AD73" s="2885"/>
    </row>
    <row r="74" spans="1:30" s="110" customFormat="1" ht="15.75" thickBot="1">
      <c r="A74" s="533"/>
      <c r="B74" s="497"/>
      <c r="C74" s="514"/>
      <c r="D74" s="490"/>
      <c r="E74" s="490"/>
      <c r="F74" s="490"/>
      <c r="G74" s="490"/>
      <c r="H74" s="490"/>
      <c r="I74" s="490"/>
      <c r="J74" s="490"/>
      <c r="K74" s="490"/>
      <c r="L74" s="490"/>
      <c r="M74" s="491"/>
      <c r="N74" s="2980"/>
      <c r="O74" s="2980"/>
      <c r="P74" s="3004"/>
      <c r="Q74" s="2965"/>
      <c r="R74" s="2885"/>
      <c r="S74" s="2885"/>
      <c r="T74" s="2885"/>
      <c r="U74" s="2885"/>
      <c r="V74" s="2885"/>
      <c r="W74" s="2885"/>
      <c r="X74" s="2885"/>
      <c r="Y74" s="2885"/>
      <c r="Z74" s="2885"/>
      <c r="AA74" s="2885"/>
      <c r="AB74" s="2885"/>
      <c r="AC74" s="2885"/>
      <c r="AD74" s="2885"/>
    </row>
    <row r="75" spans="1:30" s="427" customFormat="1" ht="15.75" thickTop="1">
      <c r="A75" s="507"/>
      <c r="B75" s="492">
        <f>B25</f>
        <v>111</v>
      </c>
      <c r="C75" s="503"/>
      <c r="D75" s="503"/>
      <c r="E75" s="503"/>
      <c r="F75" s="503"/>
      <c r="G75" s="508"/>
      <c r="H75" s="509"/>
      <c r="I75" s="509"/>
      <c r="J75" s="509"/>
      <c r="K75" s="509"/>
      <c r="L75" s="510"/>
      <c r="M75" s="511"/>
      <c r="N75" s="2981"/>
      <c r="O75" s="2981"/>
      <c r="P75" s="3005"/>
      <c r="Q75" s="2972"/>
      <c r="R75" s="2973"/>
      <c r="S75" s="2973"/>
      <c r="T75" s="2973"/>
      <c r="U75" s="2973"/>
      <c r="V75" s="2973"/>
      <c r="W75" s="2973"/>
      <c r="X75" s="2973"/>
      <c r="Y75" s="2973"/>
      <c r="Z75" s="2973"/>
      <c r="AA75" s="2973"/>
      <c r="AB75" s="2973"/>
      <c r="AC75" s="2973"/>
      <c r="AD75" s="2973"/>
    </row>
    <row r="76" spans="1:30" s="427" customFormat="1" ht="15.75" thickBot="1">
      <c r="A76" s="507"/>
      <c r="B76" s="497"/>
      <c r="C76" s="514"/>
      <c r="D76" s="514"/>
      <c r="E76" s="514"/>
      <c r="F76" s="514"/>
      <c r="G76" s="490"/>
      <c r="H76" s="490"/>
      <c r="I76" s="490"/>
      <c r="J76" s="490"/>
      <c r="K76" s="490"/>
      <c r="L76" s="490"/>
      <c r="M76" s="491"/>
      <c r="N76" s="2981"/>
      <c r="O76" s="2981"/>
      <c r="P76" s="3005"/>
      <c r="Q76" s="2972"/>
      <c r="R76" s="2973"/>
      <c r="S76" s="2973"/>
      <c r="T76" s="2973"/>
      <c r="U76" s="2973"/>
      <c r="V76" s="2973"/>
      <c r="W76" s="2973"/>
      <c r="X76" s="2973"/>
      <c r="Y76" s="2973"/>
      <c r="Z76" s="2973"/>
      <c r="AA76" s="2973"/>
      <c r="AB76" s="2973"/>
      <c r="AC76" s="2973"/>
      <c r="AD76" s="2973"/>
    </row>
    <row r="77" spans="1:30" ht="15" thickTop="1">
      <c r="A77" s="481" t="s">
        <v>2359</v>
      </c>
      <c r="B77" s="482" t="s">
        <v>2412</v>
      </c>
      <c r="C77" s="508"/>
      <c r="D77" s="508"/>
      <c r="E77" s="484"/>
      <c r="F77" s="484"/>
      <c r="G77" s="484"/>
      <c r="H77" s="484"/>
      <c r="I77" s="484"/>
      <c r="J77" s="484"/>
      <c r="K77" s="485"/>
      <c r="L77" s="486"/>
      <c r="M77" s="487"/>
      <c r="N77" s="2979"/>
      <c r="O77" s="2979"/>
      <c r="P77" s="3004"/>
      <c r="Q77" s="2965"/>
      <c r="R77" s="2951"/>
      <c r="S77" s="2951"/>
      <c r="T77" s="2951"/>
      <c r="U77" s="2951"/>
      <c r="V77" s="2951"/>
      <c r="W77" s="2951"/>
      <c r="X77" s="2951"/>
      <c r="Y77" s="2951"/>
      <c r="Z77" s="2951"/>
      <c r="AA77" s="2951"/>
      <c r="AB77" s="2951"/>
      <c r="AC77" s="2951"/>
      <c r="AD77" s="2951"/>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8"/>
      <c r="B79" s="492" t="s">
        <v>2528</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8"/>
      <c r="O79" s="2978"/>
      <c r="P79" s="3004"/>
      <c r="Q79" s="2965"/>
      <c r="R79" s="2951"/>
      <c r="S79" s="2951"/>
      <c r="T79" s="2951"/>
      <c r="U79" s="2951"/>
      <c r="V79" s="2951"/>
      <c r="W79" s="2951"/>
      <c r="X79" s="2951"/>
      <c r="Y79" s="2951"/>
      <c r="Z79" s="2951"/>
      <c r="AA79" s="2951"/>
      <c r="AB79" s="2951"/>
      <c r="AC79" s="2951"/>
      <c r="AD79" s="2951"/>
    </row>
    <row r="80" spans="1:30" ht="15">
      <c r="A80" s="488"/>
      <c r="B80" s="500"/>
      <c r="C80" s="557">
        <v>0.5</v>
      </c>
      <c r="D80" s="557">
        <v>0.6</v>
      </c>
      <c r="E80" s="557">
        <v>0.7</v>
      </c>
      <c r="F80" s="557">
        <v>0.8</v>
      </c>
      <c r="G80" s="557">
        <v>0.9</v>
      </c>
      <c r="H80" s="557">
        <v>1.0001</v>
      </c>
      <c r="I80" s="613"/>
      <c r="J80" s="613"/>
      <c r="K80" s="621"/>
      <c r="L80" s="622"/>
      <c r="M80" s="623"/>
      <c r="N80" s="2978"/>
      <c r="O80" s="2978"/>
      <c r="P80" s="3004"/>
      <c r="Q80" s="2965"/>
      <c r="R80" s="2951"/>
      <c r="S80" s="2951"/>
      <c r="T80" s="2951"/>
      <c r="U80" s="2951"/>
      <c r="V80" s="2951"/>
      <c r="W80" s="2951"/>
      <c r="X80" s="2951"/>
      <c r="Y80" s="2951"/>
      <c r="Z80" s="2951"/>
      <c r="AA80" s="2951"/>
      <c r="AB80" s="2951"/>
      <c r="AC80" s="2951"/>
      <c r="AD80" s="2951"/>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3"/>
      <c r="B82" s="500" t="s">
        <v>2529</v>
      </c>
      <c r="C82" s="508"/>
      <c r="D82" s="508"/>
      <c r="E82" s="537"/>
      <c r="F82" s="537"/>
      <c r="G82" s="537"/>
      <c r="H82" s="537"/>
      <c r="I82" s="537"/>
      <c r="J82" s="537"/>
      <c r="K82" s="538"/>
      <c r="L82" s="539"/>
      <c r="M82" s="540"/>
      <c r="N82" s="2979"/>
      <c r="O82" s="2979"/>
      <c r="P82" s="3004"/>
      <c r="Q82" s="2965"/>
      <c r="R82" s="2951"/>
      <c r="S82" s="2951"/>
      <c r="T82" s="2951"/>
      <c r="U82" s="2951"/>
      <c r="V82" s="2951"/>
      <c r="W82" s="2951"/>
      <c r="X82" s="2951"/>
      <c r="Y82" s="2951"/>
      <c r="Z82" s="2951"/>
      <c r="AA82" s="2951"/>
      <c r="AB82" s="2951"/>
      <c r="AC82" s="2951"/>
      <c r="AD82" s="2951"/>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3"/>
      <c r="B84" s="492" t="s">
        <v>2537</v>
      </c>
      <c r="C84" s="508"/>
      <c r="D84" s="508"/>
      <c r="E84" s="508"/>
      <c r="F84" s="508"/>
      <c r="G84" s="508"/>
      <c r="H84" s="508"/>
      <c r="I84" s="537"/>
      <c r="J84" s="537"/>
      <c r="K84" s="538"/>
      <c r="L84" s="539"/>
      <c r="M84" s="540"/>
      <c r="N84" s="2979"/>
      <c r="O84" s="2979"/>
      <c r="P84" s="3004"/>
      <c r="Q84" s="2965"/>
      <c r="R84" s="2951"/>
      <c r="S84" s="2951"/>
      <c r="T84" s="2951"/>
      <c r="U84" s="2951"/>
      <c r="V84" s="2951"/>
      <c r="W84" s="2951"/>
      <c r="X84" s="2951"/>
      <c r="Y84" s="2951"/>
      <c r="Z84" s="2951"/>
      <c r="AA84" s="2951"/>
      <c r="AB84" s="2951"/>
      <c r="AC84" s="2951"/>
      <c r="AD84" s="2951"/>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3"/>
      <c r="B86" s="500" t="s">
        <v>2538</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3"/>
      <c r="B87" s="500"/>
      <c r="C87" s="549"/>
      <c r="D87" s="549"/>
      <c r="E87" s="549"/>
      <c r="F87" s="549"/>
      <c r="G87" s="549"/>
      <c r="H87" s="549"/>
      <c r="I87" s="549"/>
      <c r="J87" s="550"/>
      <c r="K87" s="550"/>
      <c r="L87" s="551"/>
      <c r="M87" s="552"/>
      <c r="N87" s="2979"/>
      <c r="O87" s="2979"/>
      <c r="P87" s="3004"/>
      <c r="Q87" s="2965"/>
      <c r="R87" s="2951"/>
      <c r="S87" s="2951"/>
      <c r="T87" s="2951"/>
      <c r="U87" s="2951"/>
      <c r="V87" s="2951"/>
      <c r="W87" s="2951"/>
      <c r="X87" s="2951"/>
      <c r="Y87" s="2951"/>
      <c r="Z87" s="2951"/>
      <c r="AA87" s="2951"/>
      <c r="AB87" s="2951"/>
      <c r="AC87" s="2951"/>
      <c r="AD87" s="2951"/>
    </row>
    <row r="88" spans="1:30" ht="15.75" thickBot="1">
      <c r="A88" s="488"/>
      <c r="B88" s="497"/>
      <c r="C88" s="514"/>
      <c r="D88" s="490"/>
      <c r="E88" s="490"/>
      <c r="F88" s="490"/>
      <c r="G88" s="490"/>
      <c r="H88" s="490"/>
      <c r="I88" s="490"/>
      <c r="J88" s="490"/>
      <c r="K88" s="490"/>
      <c r="L88" s="490"/>
      <c r="M88" s="490"/>
      <c r="N88" s="2980"/>
      <c r="O88" s="2980"/>
      <c r="P88" s="3004"/>
      <c r="Q88" s="2965"/>
      <c r="R88" s="2951"/>
      <c r="S88" s="2951"/>
      <c r="T88" s="2951"/>
      <c r="U88" s="2951"/>
      <c r="V88" s="2951"/>
      <c r="W88" s="2951"/>
      <c r="X88" s="2951"/>
      <c r="Y88" s="2951"/>
      <c r="Z88" s="2951"/>
      <c r="AA88" s="2951"/>
      <c r="AB88" s="2951"/>
      <c r="AC88" s="2951"/>
      <c r="AD88" s="2951"/>
    </row>
    <row r="89" spans="1:30" s="427" customFormat="1" ht="15" thickTop="1">
      <c r="A89" s="547"/>
      <c r="B89" s="492" t="s">
        <v>2539</v>
      </c>
      <c r="C89" s="508"/>
      <c r="D89" s="508"/>
      <c r="E89" s="508"/>
      <c r="F89" s="508"/>
      <c r="G89" s="508"/>
      <c r="H89" s="508"/>
      <c r="I89" s="508"/>
      <c r="J89" s="508"/>
      <c r="K89" s="508"/>
      <c r="L89" s="508"/>
      <c r="M89" s="535"/>
      <c r="N89" s="2981"/>
      <c r="O89" s="2981"/>
      <c r="P89" s="3005"/>
      <c r="Q89" s="2972"/>
      <c r="R89" s="2973"/>
      <c r="S89" s="2973"/>
      <c r="T89" s="2973"/>
      <c r="U89" s="2973"/>
      <c r="V89" s="2973"/>
      <c r="W89" s="2973"/>
      <c r="X89" s="2973"/>
      <c r="Y89" s="2973"/>
      <c r="Z89" s="2973"/>
      <c r="AA89" s="2973"/>
      <c r="AB89" s="2973"/>
      <c r="AC89" s="2973"/>
      <c r="AD89" s="2973"/>
    </row>
    <row r="90" spans="1:30" s="427" customFormat="1" ht="15.75" thickBot="1">
      <c r="A90" s="507"/>
      <c r="B90" s="497"/>
      <c r="C90" s="514"/>
      <c r="D90" s="490"/>
      <c r="E90" s="490"/>
      <c r="F90" s="490"/>
      <c r="G90" s="490"/>
      <c r="H90" s="490"/>
      <c r="I90" s="490"/>
      <c r="J90" s="490"/>
      <c r="K90" s="490"/>
      <c r="L90" s="490"/>
      <c r="M90" s="491"/>
      <c r="N90" s="2981"/>
      <c r="O90" s="2981"/>
      <c r="P90" s="3005"/>
      <c r="Q90" s="2972"/>
      <c r="R90" s="2973"/>
      <c r="S90" s="2973"/>
      <c r="T90" s="2973"/>
      <c r="U90" s="2973"/>
      <c r="V90" s="2973"/>
      <c r="W90" s="2973"/>
      <c r="X90" s="2973"/>
      <c r="Y90" s="2973"/>
      <c r="Z90" s="2973"/>
      <c r="AA90" s="2973"/>
      <c r="AB90" s="2973"/>
      <c r="AC90" s="2973"/>
      <c r="AD90" s="2973"/>
    </row>
    <row r="91" spans="1:30" ht="15" thickTop="1">
      <c r="A91" s="553"/>
      <c r="B91" s="492">
        <f>B32</f>
        <v>111</v>
      </c>
      <c r="C91" s="503"/>
      <c r="D91" s="503"/>
      <c r="E91" s="503"/>
      <c r="F91" s="503"/>
      <c r="G91" s="508"/>
      <c r="H91" s="509"/>
      <c r="I91" s="509"/>
      <c r="J91" s="509"/>
      <c r="K91" s="509"/>
      <c r="L91" s="510"/>
      <c r="M91" s="511"/>
      <c r="N91" s="2979"/>
      <c r="O91" s="2979"/>
      <c r="P91" s="3004"/>
      <c r="Q91" s="2965"/>
      <c r="R91" s="2951"/>
      <c r="S91" s="2951"/>
      <c r="T91" s="2951"/>
      <c r="U91" s="2951"/>
      <c r="V91" s="2951"/>
      <c r="W91" s="2951"/>
      <c r="X91" s="2951"/>
      <c r="Y91" s="2951"/>
      <c r="Z91" s="2951"/>
      <c r="AA91" s="2951"/>
      <c r="AB91" s="2951"/>
      <c r="AC91" s="2951"/>
      <c r="AD91" s="2951"/>
    </row>
    <row r="92" spans="1:30" ht="15.75" thickBot="1">
      <c r="A92" s="488"/>
      <c r="B92" s="497"/>
      <c r="C92" s="514"/>
      <c r="D92" s="490"/>
      <c r="E92" s="490"/>
      <c r="F92" s="490"/>
      <c r="G92" s="514"/>
      <c r="H92" s="516"/>
      <c r="I92" s="516"/>
      <c r="J92" s="516"/>
      <c r="K92" s="516"/>
      <c r="L92" s="516"/>
      <c r="M92" s="517"/>
      <c r="N92" s="2980"/>
      <c r="O92" s="2980"/>
      <c r="P92" s="3004"/>
      <c r="Q92" s="2965"/>
      <c r="R92" s="2951"/>
      <c r="S92" s="2951"/>
      <c r="T92" s="2951"/>
      <c r="U92" s="2951"/>
      <c r="V92" s="2951"/>
      <c r="W92" s="2951"/>
      <c r="X92" s="2951"/>
      <c r="Y92" s="2951"/>
      <c r="Z92" s="2951"/>
      <c r="AA92" s="2951"/>
      <c r="AB92" s="2951"/>
      <c r="AC92" s="2951"/>
      <c r="AD92" s="2951"/>
    </row>
    <row r="93" spans="1:30" ht="15" thickTop="1">
      <c r="A93" s="553"/>
      <c r="B93" s="492">
        <f>B33</f>
        <v>111</v>
      </c>
      <c r="C93" s="503"/>
      <c r="D93" s="503"/>
      <c r="E93" s="503"/>
      <c r="F93" s="503"/>
      <c r="G93" s="508"/>
      <c r="H93" s="509"/>
      <c r="I93" s="509"/>
      <c r="J93" s="509"/>
      <c r="K93" s="509"/>
      <c r="L93" s="510"/>
      <c r="M93" s="511"/>
      <c r="N93" s="2979"/>
      <c r="O93" s="2979"/>
      <c r="P93" s="3004"/>
      <c r="Q93" s="2965"/>
      <c r="R93" s="2951"/>
      <c r="S93" s="2951"/>
      <c r="T93" s="2951"/>
      <c r="U93" s="2951"/>
      <c r="V93" s="2951"/>
      <c r="W93" s="2951"/>
      <c r="X93" s="2951"/>
      <c r="Y93" s="2951"/>
      <c r="Z93" s="2951"/>
      <c r="AA93" s="2951"/>
      <c r="AB93" s="2951"/>
      <c r="AC93" s="2951"/>
      <c r="AD93" s="2951"/>
    </row>
    <row r="94" spans="1:30" ht="15.75" thickBot="1">
      <c r="A94" s="488"/>
      <c r="B94" s="497"/>
      <c r="C94" s="514"/>
      <c r="D94" s="490"/>
      <c r="E94" s="490"/>
      <c r="F94" s="490"/>
      <c r="G94" s="514"/>
      <c r="H94" s="516"/>
      <c r="I94" s="516"/>
      <c r="J94" s="516"/>
      <c r="K94" s="516"/>
      <c r="L94" s="516"/>
      <c r="M94" s="517"/>
      <c r="N94" s="2980"/>
      <c r="O94" s="2980"/>
      <c r="P94" s="3004"/>
      <c r="Q94" s="2965"/>
      <c r="R94" s="2951"/>
      <c r="S94" s="2951"/>
      <c r="T94" s="2951"/>
      <c r="U94" s="2951"/>
      <c r="V94" s="2951"/>
      <c r="W94" s="2951"/>
      <c r="X94" s="2951"/>
      <c r="Y94" s="2951"/>
      <c r="Z94" s="2951"/>
      <c r="AA94" s="2951"/>
      <c r="AB94" s="2951"/>
      <c r="AC94" s="2951"/>
      <c r="AD94" s="2951"/>
    </row>
    <row r="95" spans="1:30" ht="15" thickTop="1">
      <c r="A95" s="553"/>
      <c r="B95" s="589">
        <f>B34</f>
        <v>111</v>
      </c>
      <c r="C95" s="503"/>
      <c r="D95" s="503"/>
      <c r="E95" s="503"/>
      <c r="F95" s="503"/>
      <c r="G95" s="508"/>
      <c r="H95" s="509"/>
      <c r="I95" s="509"/>
      <c r="J95" s="509"/>
      <c r="K95" s="509"/>
      <c r="L95" s="510"/>
      <c r="M95" s="511"/>
      <c r="N95" s="2980"/>
      <c r="O95" s="2980"/>
      <c r="P95" s="3007"/>
      <c r="Q95" s="2994"/>
      <c r="R95" s="2951"/>
      <c r="S95" s="2951"/>
      <c r="T95" s="2951"/>
      <c r="U95" s="2951"/>
      <c r="V95" s="2951"/>
      <c r="W95" s="2951"/>
      <c r="X95" s="2951"/>
      <c r="Y95" s="2951"/>
      <c r="Z95" s="2951"/>
      <c r="AA95" s="2951"/>
      <c r="AB95" s="2951"/>
      <c r="AC95" s="2951"/>
      <c r="AD95" s="2951"/>
    </row>
    <row r="96" spans="1:30" ht="15.75" thickBot="1">
      <c r="A96" s="488"/>
      <c r="B96" s="497"/>
      <c r="C96" s="514"/>
      <c r="D96" s="514"/>
      <c r="E96" s="514"/>
      <c r="F96" s="514"/>
      <c r="G96" s="514"/>
      <c r="H96" s="516"/>
      <c r="I96" s="516"/>
      <c r="J96" s="516"/>
      <c r="K96" s="516"/>
      <c r="L96" s="516"/>
      <c r="M96" s="517"/>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0" customWidth="1"/>
    <col min="2" max="2" width="15.875" style="360" customWidth="1"/>
    <col min="3" max="3" width="14.375" style="360" customWidth="1"/>
    <col min="4" max="4" width="12.125" style="360" customWidth="1"/>
    <col min="5" max="5" width="14.375" style="360" customWidth="1"/>
    <col min="6" max="6" width="12.125" style="360" customWidth="1"/>
    <col min="7" max="7" width="14.5" style="360" customWidth="1"/>
    <col min="8" max="8" width="12.125" style="360" customWidth="1"/>
    <col min="9" max="9" width="14.5" style="360" customWidth="1"/>
    <col min="10" max="10" width="12.125" style="360" customWidth="1"/>
    <col min="11" max="11" width="12.125" style="449" customWidth="1"/>
    <col min="12" max="12" width="12.125" style="450" customWidth="1"/>
    <col min="13" max="15" width="12.125" style="360" customWidth="1"/>
    <col min="16" max="16" width="4.875" style="360" customWidth="1"/>
    <col min="17" max="17" width="19.5" style="360" customWidth="1"/>
    <col min="18" max="22" width="6.125" style="360" customWidth="1"/>
    <col min="23" max="23" width="5.875" style="360" customWidth="1"/>
    <col min="24" max="24" width="4.125" style="360" customWidth="1"/>
    <col min="25" max="25" width="3.5" style="360" customWidth="1"/>
    <col min="26" max="26" width="19.875" style="360" customWidth="1"/>
    <col min="27" max="28" width="9.375" style="360" customWidth="1"/>
    <col min="29" max="16384" width="9" style="360"/>
  </cols>
  <sheetData>
    <row r="1" spans="1:29" s="355" customFormat="1" ht="28.5" customHeight="1">
      <c r="A1" s="351" t="s">
        <v>2540</v>
      </c>
      <c r="B1" s="352"/>
      <c r="C1" s="353" t="s">
        <v>2592</v>
      </c>
      <c r="D1" s="692"/>
      <c r="E1" s="692"/>
      <c r="F1" s="691" t="s">
        <v>2439</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2126</v>
      </c>
      <c r="B2" s="624" t="e">
        <f>F61</f>
        <v>#DIV/0!</v>
      </c>
      <c r="C2" s="1036"/>
      <c r="D2" s="1036"/>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2128</v>
      </c>
      <c r="B3" s="563" t="e">
        <f>ROUND(IF(D3="",B2*10000/'数据-汇总表'!E3,B2*10000/D3),0)</f>
        <v>#DIV/0!</v>
      </c>
      <c r="C3" s="206" t="s">
        <v>2542</v>
      </c>
      <c r="D3" s="1352"/>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2441</v>
      </c>
      <c r="B4" s="359"/>
      <c r="C4" s="3320" t="s">
        <v>2442</v>
      </c>
      <c r="D4" s="3321"/>
      <c r="E4" s="3322" t="s">
        <v>2443</v>
      </c>
      <c r="F4" s="3323"/>
      <c r="G4" s="3320" t="s">
        <v>2444</v>
      </c>
      <c r="H4" s="3321"/>
      <c r="I4" s="3320" t="s">
        <v>2445</v>
      </c>
      <c r="J4" s="3321"/>
      <c r="K4" s="564" t="s">
        <v>2446</v>
      </c>
      <c r="L4" s="2941"/>
      <c r="M4" s="2942"/>
      <c r="N4" s="2942"/>
      <c r="O4" s="2942"/>
      <c r="P4" s="3324" t="s">
        <v>2447</v>
      </c>
      <c r="Q4" s="3325"/>
      <c r="R4" s="3307" t="s">
        <v>2443</v>
      </c>
      <c r="S4" s="3308"/>
      <c r="T4" s="3307" t="s">
        <v>2444</v>
      </c>
      <c r="U4" s="3308"/>
      <c r="V4" s="3332" t="s">
        <v>2445</v>
      </c>
      <c r="W4" s="3332"/>
      <c r="X4" s="1537"/>
      <c r="Y4" s="3307" t="s">
        <v>2447</v>
      </c>
      <c r="Z4" s="3308"/>
      <c r="AA4" s="3302" t="s">
        <v>2443</v>
      </c>
      <c r="AB4" s="3303" t="s">
        <v>2444</v>
      </c>
      <c r="AC4" s="3302" t="s">
        <v>2445</v>
      </c>
    </row>
    <row r="5" spans="1:29" ht="15">
      <c r="A5" s="361"/>
      <c r="B5" s="362"/>
      <c r="C5" s="3313" t="s">
        <v>2338</v>
      </c>
      <c r="D5" s="3314"/>
      <c r="E5" s="3311" t="s">
        <v>2339</v>
      </c>
      <c r="F5" s="3312"/>
      <c r="G5" s="3313" t="s">
        <v>2340</v>
      </c>
      <c r="H5" s="3314"/>
      <c r="I5" s="3313" t="s">
        <v>2341</v>
      </c>
      <c r="J5" s="3314"/>
      <c r="K5" s="564"/>
      <c r="L5" s="2941"/>
      <c r="M5" s="2942"/>
      <c r="N5" s="2942"/>
      <c r="O5" s="2942"/>
      <c r="P5" s="3326"/>
      <c r="Q5" s="3327"/>
      <c r="R5" s="3309"/>
      <c r="S5" s="3310"/>
      <c r="T5" s="3309"/>
      <c r="U5" s="3310"/>
      <c r="V5" s="3332"/>
      <c r="W5" s="3332"/>
      <c r="X5" s="1537"/>
      <c r="Y5" s="3309"/>
      <c r="Z5" s="3310"/>
      <c r="AA5" s="3303"/>
      <c r="AB5" s="3303"/>
      <c r="AC5" s="3303"/>
    </row>
    <row r="6" spans="1:29" ht="15.75" thickBot="1">
      <c r="A6" s="363"/>
      <c r="B6" s="364"/>
      <c r="C6" s="3397" t="s">
        <v>2593</v>
      </c>
      <c r="D6" s="3398"/>
      <c r="E6" s="3399" t="s">
        <v>2593</v>
      </c>
      <c r="F6" s="3400"/>
      <c r="G6" s="3397" t="s">
        <v>2593</v>
      </c>
      <c r="H6" s="3398"/>
      <c r="I6" s="3397" t="s">
        <v>2593</v>
      </c>
      <c r="J6" s="3398"/>
      <c r="K6" s="564" t="s">
        <v>2343</v>
      </c>
      <c r="L6" s="2941"/>
      <c r="M6" s="2942"/>
      <c r="N6" s="2942"/>
      <c r="O6" s="2942"/>
      <c r="P6" s="3328"/>
      <c r="Q6" s="3329"/>
      <c r="R6" s="3309"/>
      <c r="S6" s="3310"/>
      <c r="T6" s="3330"/>
      <c r="U6" s="3331"/>
      <c r="V6" s="3332"/>
      <c r="W6" s="3332"/>
      <c r="X6" s="1537"/>
      <c r="Y6" s="3330"/>
      <c r="Z6" s="3331"/>
      <c r="AA6" s="3304"/>
      <c r="AB6" s="3304"/>
      <c r="AC6" s="3304"/>
    </row>
    <row r="7" spans="1:29" s="110" customFormat="1" ht="15.75" thickBot="1">
      <c r="A7" s="365" t="s">
        <v>2344</v>
      </c>
      <c r="B7" s="366"/>
      <c r="C7" s="367">
        <f>'数据-取费表'!B2</f>
        <v>44236</v>
      </c>
      <c r="D7" s="368">
        <v>100</v>
      </c>
      <c r="E7" s="369"/>
      <c r="F7" s="370">
        <f>SUMIF(65:65,YEAR(E7)&amp;"-"&amp;INT((MONTH(E7)+2)/3),66:66)</f>
        <v>0</v>
      </c>
      <c r="G7" s="2157"/>
      <c r="H7" s="368">
        <f>SUMIF(65:65,YEAR(G7)&amp;"-"&amp;INT((MONTH(G7)+2)/3),66:66)</f>
        <v>0</v>
      </c>
      <c r="I7" s="2157"/>
      <c r="J7" s="368">
        <f>SUMIF(65:65,YEAR(I7)&amp;"-"&amp;INT((MONTH(I7)+2)/3),66:66)</f>
        <v>0</v>
      </c>
      <c r="K7" s="565"/>
      <c r="L7" s="2943"/>
      <c r="M7" s="2944"/>
      <c r="N7" s="2944"/>
      <c r="O7" s="2944"/>
      <c r="P7" s="3305" t="s">
        <v>2345</v>
      </c>
      <c r="Q7" s="3333"/>
      <c r="R7" s="707" t="s">
        <v>14</v>
      </c>
      <c r="S7" s="708">
        <f t="shared" ref="S7:S15" si="0">F7</f>
        <v>0</v>
      </c>
      <c r="T7" s="707" t="s">
        <v>14</v>
      </c>
      <c r="U7" s="708">
        <f t="shared" ref="U7:U15" si="1">H7</f>
        <v>0</v>
      </c>
      <c r="V7" s="707" t="s">
        <v>14</v>
      </c>
      <c r="W7" s="708">
        <f t="shared" ref="W7:W15" si="2">J7</f>
        <v>0</v>
      </c>
      <c r="X7" s="709"/>
      <c r="Y7" s="3305" t="s">
        <v>2345</v>
      </c>
      <c r="Z7" s="3306"/>
      <c r="AA7" s="710" t="e">
        <f>D7/F7</f>
        <v>#DIV/0!</v>
      </c>
      <c r="AB7" s="710" t="e">
        <f>D7/H7</f>
        <v>#DIV/0!</v>
      </c>
      <c r="AC7" s="710" t="e">
        <f>D7/J7</f>
        <v>#DIV/0!</v>
      </c>
    </row>
    <row r="8" spans="1:29" s="110" customFormat="1" ht="15.75" thickBot="1">
      <c r="A8" s="365" t="s">
        <v>2346</v>
      </c>
      <c r="B8" s="366"/>
      <c r="C8" s="371" t="s">
        <v>2347</v>
      </c>
      <c r="D8" s="368">
        <v>100</v>
      </c>
      <c r="E8" s="371"/>
      <c r="F8" s="370">
        <f>SUMIF(68:68,E8,69:69)-SUMIF(68:68,C8,69:69)+100</f>
        <v>0</v>
      </c>
      <c r="G8" s="371"/>
      <c r="H8" s="368">
        <f>SUMIF(68:68,G8,69:69)-SUMIF(68:68,C8,69:69)+100</f>
        <v>0</v>
      </c>
      <c r="I8" s="371"/>
      <c r="J8" s="368">
        <f>SUMIF(68:68,I8,69:69)-SUMIF(68:68,C8,69:69)+100</f>
        <v>0</v>
      </c>
      <c r="K8" s="565"/>
      <c r="L8" s="2943"/>
      <c r="M8" s="2944"/>
      <c r="N8" s="2944"/>
      <c r="O8" s="2944"/>
      <c r="P8" s="3305" t="s">
        <v>2348</v>
      </c>
      <c r="Q8" s="3306"/>
      <c r="R8" s="707" t="s">
        <v>14</v>
      </c>
      <c r="S8" s="708">
        <f t="shared" si="0"/>
        <v>0</v>
      </c>
      <c r="T8" s="707" t="s">
        <v>14</v>
      </c>
      <c r="U8" s="708">
        <f t="shared" si="1"/>
        <v>0</v>
      </c>
      <c r="V8" s="707" t="s">
        <v>14</v>
      </c>
      <c r="W8" s="708">
        <f t="shared" si="2"/>
        <v>0</v>
      </c>
      <c r="X8" s="709"/>
      <c r="Y8" s="3305" t="s">
        <v>2348</v>
      </c>
      <c r="Z8" s="3306"/>
      <c r="AA8" s="710" t="e">
        <f t="shared" ref="AA8:AA40" si="3">D8/F8</f>
        <v>#DIV/0!</v>
      </c>
      <c r="AB8" s="710" t="e">
        <f t="shared" ref="AB8:AB40" si="4">D8/H8</f>
        <v>#DIV/0!</v>
      </c>
      <c r="AC8" s="710" t="e">
        <f t="shared" ref="AC8:AC40" si="5">D8/J8</f>
        <v>#DIV/0!</v>
      </c>
    </row>
    <row r="9" spans="1:29" s="110" customFormat="1">
      <c r="A9" s="372" t="s">
        <v>2349</v>
      </c>
      <c r="B9" s="64" t="s">
        <v>2350</v>
      </c>
      <c r="C9" s="2160"/>
      <c r="D9" s="128">
        <v>100</v>
      </c>
      <c r="E9" s="2160"/>
      <c r="F9" s="128">
        <f>SUMIF(70:70,E9,71:71)-SUMIF(70:70,C9,71:71)+100</f>
        <v>100</v>
      </c>
      <c r="G9" s="2160"/>
      <c r="H9" s="128">
        <f>SUMIF(70:70,G9,71:71)-SUMIF(70:70,C9,71:71)+100</f>
        <v>100</v>
      </c>
      <c r="I9" s="2160"/>
      <c r="J9" s="128">
        <f>SUMIF(70:70,I9,71:71)-SUMIF(70:70,C9,71:71)+100</f>
        <v>100</v>
      </c>
      <c r="K9" s="565"/>
      <c r="L9" s="2943"/>
      <c r="M9" s="2944"/>
      <c r="N9" s="2944"/>
      <c r="O9" s="2998"/>
      <c r="P9" s="3319" t="s">
        <v>2351</v>
      </c>
      <c r="Q9" s="1525" t="str">
        <f t="shared" ref="Q9:Q15" si="6">B9</f>
        <v>用途</v>
      </c>
      <c r="R9" s="707" t="s">
        <v>14</v>
      </c>
      <c r="S9" s="708">
        <f t="shared" si="0"/>
        <v>100</v>
      </c>
      <c r="T9" s="707" t="s">
        <v>14</v>
      </c>
      <c r="U9" s="708">
        <f t="shared" si="1"/>
        <v>100</v>
      </c>
      <c r="V9" s="707" t="s">
        <v>14</v>
      </c>
      <c r="W9" s="708">
        <f t="shared" si="2"/>
        <v>100</v>
      </c>
      <c r="X9" s="709"/>
      <c r="Y9" s="3275" t="s">
        <v>2352</v>
      </c>
      <c r="Z9" s="52" t="str">
        <f t="shared" ref="Z9:Z15" si="7">Q9</f>
        <v>用途</v>
      </c>
      <c r="AA9" s="710">
        <f t="shared" si="3"/>
        <v>1</v>
      </c>
      <c r="AB9" s="710">
        <f t="shared" si="4"/>
        <v>1</v>
      </c>
      <c r="AC9" s="710">
        <f t="shared" si="5"/>
        <v>1</v>
      </c>
    </row>
    <row r="10" spans="1:29" s="383" customFormat="1" ht="27">
      <c r="A10" s="377"/>
      <c r="B10" s="378" t="s">
        <v>2353</v>
      </c>
      <c r="C10" s="388"/>
      <c r="D10" s="129">
        <v>100</v>
      </c>
      <c r="E10" s="388"/>
      <c r="F10" s="129">
        <f>ROUND(100/'数据-取费表'!G16,0)</f>
        <v>102</v>
      </c>
      <c r="G10" s="388"/>
      <c r="H10" s="129">
        <f>ROUND(100/'数据-取费表'!G16,0)</f>
        <v>102</v>
      </c>
      <c r="I10" s="388"/>
      <c r="J10" s="129">
        <f>ROUND(100/'数据-取费表'!G16,0)</f>
        <v>102</v>
      </c>
      <c r="K10" s="625"/>
      <c r="L10" s="2945"/>
      <c r="M10" s="2946"/>
      <c r="N10" s="2946"/>
      <c r="O10" s="2999"/>
      <c r="P10" s="3319"/>
      <c r="Q10" s="1525" t="str">
        <f t="shared" si="6"/>
        <v>土地使用年限（年）</v>
      </c>
      <c r="R10" s="707" t="s">
        <v>14</v>
      </c>
      <c r="S10" s="708">
        <f t="shared" si="0"/>
        <v>102</v>
      </c>
      <c r="T10" s="707" t="s">
        <v>14</v>
      </c>
      <c r="U10" s="708">
        <f t="shared" si="1"/>
        <v>102</v>
      </c>
      <c r="V10" s="707" t="s">
        <v>14</v>
      </c>
      <c r="W10" s="708">
        <f t="shared" si="2"/>
        <v>102</v>
      </c>
      <c r="X10" s="709"/>
      <c r="Y10" s="3275"/>
      <c r="Z10" s="52" t="str">
        <f t="shared" si="7"/>
        <v>土地使用年限（年）</v>
      </c>
      <c r="AA10" s="710">
        <f t="shared" si="3"/>
        <v>0.98039215686274506</v>
      </c>
      <c r="AB10" s="710">
        <f t="shared" si="4"/>
        <v>0.98039215686274506</v>
      </c>
      <c r="AC10" s="710">
        <f t="shared" si="5"/>
        <v>0.98039215686274506</v>
      </c>
    </row>
    <row r="11" spans="1:29" ht="15">
      <c r="A11" s="384"/>
      <c r="B11" s="378" t="s">
        <v>2354</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7"/>
      <c r="M11" s="2942"/>
      <c r="N11" s="2942"/>
      <c r="O11" s="3000"/>
      <c r="P11" s="3319"/>
      <c r="Q11" s="1525" t="str">
        <f t="shared" si="6"/>
        <v>容积率</v>
      </c>
      <c r="R11" s="707" t="s">
        <v>14</v>
      </c>
      <c r="S11" s="708" t="e">
        <f t="shared" si="0"/>
        <v>#N/A</v>
      </c>
      <c r="T11" s="707" t="s">
        <v>14</v>
      </c>
      <c r="U11" s="708" t="e">
        <f t="shared" si="1"/>
        <v>#N/A</v>
      </c>
      <c r="V11" s="707" t="s">
        <v>14</v>
      </c>
      <c r="W11" s="708" t="e">
        <f t="shared" si="2"/>
        <v>#N/A</v>
      </c>
      <c r="X11" s="709"/>
      <c r="Y11" s="3275"/>
      <c r="Z11" s="52" t="str">
        <f t="shared" si="7"/>
        <v>容积率</v>
      </c>
      <c r="AA11" s="710" t="e">
        <f t="shared" si="3"/>
        <v>#N/A</v>
      </c>
      <c r="AB11" s="710" t="e">
        <f t="shared" si="4"/>
        <v>#N/A</v>
      </c>
      <c r="AC11" s="710" t="e">
        <f t="shared" si="5"/>
        <v>#N/A</v>
      </c>
    </row>
    <row r="12" spans="1:29" s="110" customFormat="1" ht="15">
      <c r="A12" s="387"/>
      <c r="B12" s="2076">
        <v>111</v>
      </c>
      <c r="C12" s="388"/>
      <c r="D12" s="389">
        <v>100</v>
      </c>
      <c r="E12" s="503"/>
      <c r="F12" s="129">
        <f>SUMIF(77:77,E12,78:78)-SUMIF(77:77,C12,78:78)+100</f>
        <v>100</v>
      </c>
      <c r="G12" s="627"/>
      <c r="H12" s="129">
        <f>SUMIF(77:77,G12,78:78)-SUMIF(77:77,C12,78:78)+100</f>
        <v>100</v>
      </c>
      <c r="I12" s="503"/>
      <c r="J12" s="129">
        <f>SUMIF(77:77,I12,78:78)-SUMIF(77:77,C12,78:78)+100</f>
        <v>100</v>
      </c>
      <c r="K12" s="625"/>
      <c r="L12" s="2943"/>
      <c r="M12" s="2944"/>
      <c r="N12" s="2944"/>
      <c r="O12" s="2998"/>
      <c r="P12" s="3319"/>
      <c r="Q12" s="1525">
        <f t="shared" si="6"/>
        <v>111</v>
      </c>
      <c r="R12" s="707" t="s">
        <v>14</v>
      </c>
      <c r="S12" s="708">
        <f t="shared" si="0"/>
        <v>100</v>
      </c>
      <c r="T12" s="707" t="s">
        <v>14</v>
      </c>
      <c r="U12" s="708">
        <f t="shared" si="1"/>
        <v>100</v>
      </c>
      <c r="V12" s="707" t="s">
        <v>14</v>
      </c>
      <c r="W12" s="708">
        <f t="shared" si="2"/>
        <v>100</v>
      </c>
      <c r="X12" s="709"/>
      <c r="Y12" s="3275"/>
      <c r="Z12" s="52">
        <f t="shared" si="7"/>
        <v>111</v>
      </c>
      <c r="AA12" s="710">
        <f>D12/F12</f>
        <v>1</v>
      </c>
      <c r="AB12" s="710">
        <f>D12/H12</f>
        <v>1</v>
      </c>
      <c r="AC12" s="710">
        <f>D12/J12</f>
        <v>1</v>
      </c>
    </row>
    <row r="13" spans="1:29" ht="15">
      <c r="A13" s="384"/>
      <c r="B13" s="2076">
        <v>111</v>
      </c>
      <c r="C13" s="390"/>
      <c r="D13" s="391">
        <v>100</v>
      </c>
      <c r="E13" s="503"/>
      <c r="F13" s="129">
        <f>SUMIF(79:79,E13,80:80)-SUMIF(79:79,C13,80:80)+100</f>
        <v>100</v>
      </c>
      <c r="G13" s="627"/>
      <c r="H13" s="391">
        <f>SUMIF(79:79,G13,80:80)-SUMIF(79:79,C13,80:80)+100</f>
        <v>100</v>
      </c>
      <c r="I13" s="503"/>
      <c r="J13" s="391">
        <f>SUMIF(79:79,I13,80:80)-SUMIF(79:79,C13,80:80)+100</f>
        <v>100</v>
      </c>
      <c r="K13" s="625"/>
      <c r="L13" s="2948"/>
      <c r="M13" s="2942"/>
      <c r="N13" s="2942"/>
      <c r="O13" s="3000"/>
      <c r="P13" s="3319"/>
      <c r="Q13" s="1525">
        <f t="shared" si="6"/>
        <v>111</v>
      </c>
      <c r="R13" s="707" t="s">
        <v>14</v>
      </c>
      <c r="S13" s="708">
        <f t="shared" si="0"/>
        <v>100</v>
      </c>
      <c r="T13" s="707" t="s">
        <v>14</v>
      </c>
      <c r="U13" s="708">
        <f t="shared" si="1"/>
        <v>100</v>
      </c>
      <c r="V13" s="707" t="s">
        <v>14</v>
      </c>
      <c r="W13" s="708">
        <f t="shared" si="2"/>
        <v>100</v>
      </c>
      <c r="X13" s="709"/>
      <c r="Y13" s="3275"/>
      <c r="Z13" s="52">
        <f t="shared" si="7"/>
        <v>111</v>
      </c>
      <c r="AA13" s="710">
        <f t="shared" si="3"/>
        <v>1</v>
      </c>
      <c r="AB13" s="710">
        <f t="shared" si="4"/>
        <v>1</v>
      </c>
      <c r="AC13" s="710">
        <f t="shared" si="5"/>
        <v>1</v>
      </c>
    </row>
    <row r="14" spans="1:29" ht="15.75" thickBot="1">
      <c r="A14" s="392"/>
      <c r="B14" s="2078">
        <v>111</v>
      </c>
      <c r="C14" s="393"/>
      <c r="D14" s="394">
        <v>100</v>
      </c>
      <c r="E14" s="503"/>
      <c r="F14" s="394">
        <f>SUMIF(81:81,E14,82:82)-SUMIF(81:81,C14,82:82)+100</f>
        <v>100</v>
      </c>
      <c r="G14" s="627"/>
      <c r="H14" s="394">
        <f>SUMIF(81:81,G14,82:82)-SUMIF(81:81,C14,82:82)+100</f>
        <v>100</v>
      </c>
      <c r="I14" s="503"/>
      <c r="J14" s="394">
        <f>SUMIF(81:81,I14,82:82)-SUMIF(81:81,C14,82:82)+100</f>
        <v>100</v>
      </c>
      <c r="K14" s="625"/>
      <c r="L14" s="2948"/>
      <c r="M14" s="2942"/>
      <c r="N14" s="2942"/>
      <c r="O14" s="3000"/>
      <c r="P14" s="3319"/>
      <c r="Q14" s="1525">
        <f t="shared" si="6"/>
        <v>111</v>
      </c>
      <c r="R14" s="707" t="s">
        <v>14</v>
      </c>
      <c r="S14" s="708">
        <f t="shared" si="0"/>
        <v>100</v>
      </c>
      <c r="T14" s="707" t="s">
        <v>14</v>
      </c>
      <c r="U14" s="708">
        <f t="shared" si="1"/>
        <v>100</v>
      </c>
      <c r="V14" s="707" t="s">
        <v>14</v>
      </c>
      <c r="W14" s="708">
        <f t="shared" si="2"/>
        <v>100</v>
      </c>
      <c r="X14" s="709"/>
      <c r="Y14" s="3275"/>
      <c r="Z14" s="52">
        <f t="shared" si="7"/>
        <v>111</v>
      </c>
      <c r="AA14" s="710">
        <f t="shared" si="3"/>
        <v>1</v>
      </c>
      <c r="AB14" s="710">
        <f t="shared" si="4"/>
        <v>1</v>
      </c>
      <c r="AC14" s="710">
        <f t="shared" si="5"/>
        <v>1</v>
      </c>
    </row>
    <row r="15" spans="1:29" ht="57">
      <c r="A15" s="396" t="s">
        <v>2355</v>
      </c>
      <c r="B15" s="582" t="s">
        <v>2594</v>
      </c>
      <c r="C15" s="2154"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8"/>
      <c r="M15" s="2942"/>
      <c r="N15" s="2942"/>
      <c r="O15" s="3000"/>
      <c r="P15" s="3334" t="s">
        <v>2356</v>
      </c>
      <c r="Q15" s="1534" t="str">
        <f t="shared" si="6"/>
        <v>产业集聚程度</v>
      </c>
      <c r="R15" s="711" t="s">
        <v>14</v>
      </c>
      <c r="S15" s="712">
        <f t="shared" si="0"/>
        <v>100</v>
      </c>
      <c r="T15" s="711" t="s">
        <v>14</v>
      </c>
      <c r="U15" s="712">
        <f t="shared" si="1"/>
        <v>100</v>
      </c>
      <c r="V15" s="711" t="s">
        <v>14</v>
      </c>
      <c r="W15" s="712">
        <f t="shared" si="2"/>
        <v>100</v>
      </c>
      <c r="X15" s="1537"/>
      <c r="Y15" s="3334" t="s">
        <v>2356</v>
      </c>
      <c r="Z15" s="1538" t="str">
        <f t="shared" si="7"/>
        <v>产业集聚程度</v>
      </c>
      <c r="AA15" s="1535">
        <f t="shared" si="3"/>
        <v>1</v>
      </c>
      <c r="AB15" s="1535">
        <f t="shared" si="4"/>
        <v>1</v>
      </c>
      <c r="AC15" s="1535">
        <f t="shared" si="5"/>
        <v>1</v>
      </c>
    </row>
    <row r="16" spans="1:29" ht="15">
      <c r="A16" s="384"/>
      <c r="B16" s="583"/>
      <c r="C16" s="403"/>
      <c r="D16" s="404"/>
      <c r="E16" s="2087"/>
      <c r="F16" s="404"/>
      <c r="G16" s="2087"/>
      <c r="H16" s="406"/>
      <c r="I16" s="2087"/>
      <c r="J16" s="404"/>
      <c r="K16" s="625"/>
      <c r="L16" s="2948"/>
      <c r="M16" s="2942"/>
      <c r="N16" s="2942"/>
      <c r="O16" s="3000"/>
      <c r="P16" s="3335"/>
      <c r="Q16" s="1534"/>
      <c r="R16" s="711"/>
      <c r="S16" s="712"/>
      <c r="T16" s="711"/>
      <c r="U16" s="712"/>
      <c r="V16" s="711"/>
      <c r="W16" s="712"/>
      <c r="X16" s="1537"/>
      <c r="Y16" s="3335"/>
      <c r="Z16" s="1538"/>
      <c r="AA16" s="1535">
        <v>1</v>
      </c>
      <c r="AB16" s="1535">
        <v>1</v>
      </c>
      <c r="AC16" s="1535">
        <v>1</v>
      </c>
    </row>
    <row r="17" spans="1:29" ht="85.5">
      <c r="A17" s="384"/>
      <c r="B17" s="584" t="s">
        <v>2505</v>
      </c>
      <c r="C17" s="2083"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8"/>
      <c r="M17" s="2942"/>
      <c r="N17" s="2942"/>
      <c r="O17" s="3000"/>
      <c r="P17" s="3335"/>
      <c r="Q17" s="1534" t="str">
        <f>B17</f>
        <v>交通便捷度</v>
      </c>
      <c r="R17" s="711" t="s">
        <v>14</v>
      </c>
      <c r="S17" s="712">
        <f>F17</f>
        <v>100</v>
      </c>
      <c r="T17" s="711" t="s">
        <v>14</v>
      </c>
      <c r="U17" s="712">
        <f>H17</f>
        <v>100</v>
      </c>
      <c r="V17" s="711" t="s">
        <v>14</v>
      </c>
      <c r="W17" s="712">
        <f>J17</f>
        <v>100</v>
      </c>
      <c r="X17" s="1537"/>
      <c r="Y17" s="3335"/>
      <c r="Z17" s="1538" t="str">
        <f>Q17</f>
        <v>交通便捷度</v>
      </c>
      <c r="AA17" s="1535">
        <f t="shared" si="3"/>
        <v>1</v>
      </c>
      <c r="AB17" s="1535">
        <f t="shared" si="4"/>
        <v>1</v>
      </c>
      <c r="AC17" s="1535">
        <f t="shared" si="5"/>
        <v>1</v>
      </c>
    </row>
    <row r="18" spans="1:29" ht="15">
      <c r="A18" s="384"/>
      <c r="B18" s="585"/>
      <c r="C18" s="403"/>
      <c r="D18" s="404"/>
      <c r="E18" s="2081"/>
      <c r="F18" s="404"/>
      <c r="G18" s="2081"/>
      <c r="H18" s="404"/>
      <c r="I18" s="2080"/>
      <c r="J18" s="404"/>
      <c r="K18" s="625"/>
      <c r="L18" s="2948"/>
      <c r="M18" s="2942"/>
      <c r="N18" s="2942"/>
      <c r="O18" s="3000"/>
      <c r="P18" s="3335"/>
      <c r="Q18" s="1534"/>
      <c r="R18" s="711"/>
      <c r="S18" s="712"/>
      <c r="T18" s="711"/>
      <c r="U18" s="712"/>
      <c r="V18" s="711"/>
      <c r="W18" s="712"/>
      <c r="X18" s="1537"/>
      <c r="Y18" s="3335"/>
      <c r="Z18" s="1538"/>
      <c r="AA18" s="1535">
        <v>1</v>
      </c>
      <c r="AB18" s="1535">
        <v>1</v>
      </c>
      <c r="AC18" s="1535">
        <v>1</v>
      </c>
    </row>
    <row r="19" spans="1:29" ht="15">
      <c r="A19" s="384"/>
      <c r="B19" s="584" t="s">
        <v>2544</v>
      </c>
      <c r="C19" s="2083">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8"/>
      <c r="M19" s="2942"/>
      <c r="N19" s="2942"/>
      <c r="O19" s="3000"/>
      <c r="P19" s="3335"/>
      <c r="Q19" s="1534" t="str">
        <f t="shared" ref="Q19:Q33" si="8">B19</f>
        <v>区域土地利用方向</v>
      </c>
      <c r="R19" s="711" t="s">
        <v>14</v>
      </c>
      <c r="S19" s="712">
        <f>F19</f>
        <v>100</v>
      </c>
      <c r="T19" s="711" t="s">
        <v>14</v>
      </c>
      <c r="U19" s="712">
        <f>H19</f>
        <v>100</v>
      </c>
      <c r="V19" s="711" t="s">
        <v>14</v>
      </c>
      <c r="W19" s="712">
        <f>J19</f>
        <v>100</v>
      </c>
      <c r="X19" s="1537"/>
      <c r="Y19" s="3335"/>
      <c r="Z19" s="1538" t="str">
        <f>Q19</f>
        <v>区域土地利用方向</v>
      </c>
      <c r="AA19" s="1535">
        <f t="shared" si="3"/>
        <v>1</v>
      </c>
      <c r="AB19" s="1535">
        <f t="shared" si="4"/>
        <v>1</v>
      </c>
      <c r="AC19" s="1535">
        <f t="shared" si="5"/>
        <v>1</v>
      </c>
    </row>
    <row r="20" spans="1:29" ht="15">
      <c r="A20" s="361"/>
      <c r="B20" s="585"/>
      <c r="C20" s="403"/>
      <c r="D20" s="404"/>
      <c r="E20" s="2081"/>
      <c r="F20" s="404"/>
      <c r="G20" s="2081"/>
      <c r="H20" s="404"/>
      <c r="I20" s="2081"/>
      <c r="J20" s="404"/>
      <c r="K20" s="748"/>
      <c r="L20" s="2948"/>
      <c r="M20" s="2942"/>
      <c r="N20" s="2942"/>
      <c r="O20" s="3000"/>
      <c r="P20" s="3335"/>
      <c r="Q20" s="1534"/>
      <c r="R20" s="711"/>
      <c r="S20" s="712"/>
      <c r="T20" s="711"/>
      <c r="U20" s="712"/>
      <c r="V20" s="711"/>
      <c r="W20" s="712"/>
      <c r="X20" s="1537"/>
      <c r="Y20" s="3335"/>
      <c r="Z20" s="1538"/>
      <c r="AA20" s="1535"/>
      <c r="AB20" s="1535"/>
      <c r="AC20" s="1535"/>
    </row>
    <row r="21" spans="1:29" ht="71.25">
      <c r="A21" s="361"/>
      <c r="B21" s="584" t="s">
        <v>2595</v>
      </c>
      <c r="C21" s="2083"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8"/>
      <c r="M21" s="2942"/>
      <c r="N21" s="2942"/>
      <c r="O21" s="3000"/>
      <c r="P21" s="3335"/>
      <c r="Q21" s="1534" t="str">
        <f t="shared" si="8"/>
        <v>环境状况</v>
      </c>
      <c r="R21" s="711" t="s">
        <v>14</v>
      </c>
      <c r="S21" s="712">
        <f>F21</f>
        <v>100</v>
      </c>
      <c r="T21" s="711" t="s">
        <v>14</v>
      </c>
      <c r="U21" s="712">
        <f>H21</f>
        <v>100</v>
      </c>
      <c r="V21" s="711" t="s">
        <v>14</v>
      </c>
      <c r="W21" s="712">
        <f>J21</f>
        <v>100</v>
      </c>
      <c r="X21" s="1537"/>
      <c r="Y21" s="3335"/>
      <c r="Z21" s="1538" t="str">
        <f>Q21</f>
        <v>环境状况</v>
      </c>
      <c r="AA21" s="1535">
        <f t="shared" si="3"/>
        <v>1</v>
      </c>
      <c r="AB21" s="1535">
        <f t="shared" si="4"/>
        <v>1</v>
      </c>
      <c r="AC21" s="1535">
        <f t="shared" si="5"/>
        <v>1</v>
      </c>
    </row>
    <row r="22" spans="1:29" ht="15">
      <c r="A22" s="361"/>
      <c r="B22" s="585"/>
      <c r="C22" s="403"/>
      <c r="D22" s="404"/>
      <c r="E22" s="2087"/>
      <c r="F22" s="404"/>
      <c r="G22" s="2087"/>
      <c r="H22" s="404"/>
      <c r="I22" s="403"/>
      <c r="J22" s="404"/>
      <c r="K22" s="625"/>
      <c r="L22" s="2948"/>
      <c r="M22" s="2942"/>
      <c r="N22" s="2942"/>
      <c r="O22" s="3000"/>
      <c r="P22" s="3335"/>
      <c r="Q22" s="1534"/>
      <c r="R22" s="711"/>
      <c r="S22" s="712"/>
      <c r="T22" s="711"/>
      <c r="U22" s="712"/>
      <c r="V22" s="711"/>
      <c r="W22" s="712"/>
      <c r="X22" s="1537"/>
      <c r="Y22" s="3335"/>
      <c r="Z22" s="1538"/>
      <c r="AA22" s="1535">
        <v>1</v>
      </c>
      <c r="AB22" s="1535">
        <v>1</v>
      </c>
      <c r="AC22" s="1535">
        <v>1</v>
      </c>
    </row>
    <row r="23" spans="1:29" s="110" customFormat="1" ht="42.75">
      <c r="A23" s="602"/>
      <c r="B23" s="586" t="s">
        <v>2450</v>
      </c>
      <c r="C23" s="2083"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3"/>
      <c r="M23" s="2944"/>
      <c r="N23" s="2944"/>
      <c r="O23" s="2998"/>
      <c r="P23" s="3335"/>
      <c r="Q23" s="1525" t="str">
        <f t="shared" si="8"/>
        <v>公共配套设施</v>
      </c>
      <c r="R23" s="707" t="s">
        <v>14</v>
      </c>
      <c r="S23" s="708">
        <f>F23</f>
        <v>100</v>
      </c>
      <c r="T23" s="707" t="s">
        <v>14</v>
      </c>
      <c r="U23" s="708">
        <f>H23</f>
        <v>100</v>
      </c>
      <c r="V23" s="707" t="s">
        <v>14</v>
      </c>
      <c r="W23" s="708">
        <f>J23</f>
        <v>100</v>
      </c>
      <c r="X23" s="709"/>
      <c r="Y23" s="3335"/>
      <c r="Z23" s="52" t="str">
        <f>Q23</f>
        <v>公共配套设施</v>
      </c>
      <c r="AA23" s="1535">
        <f>D23/F23</f>
        <v>1</v>
      </c>
      <c r="AB23" s="1535">
        <f>D23/H23</f>
        <v>1</v>
      </c>
      <c r="AC23" s="1535">
        <f>D23/J23</f>
        <v>1</v>
      </c>
    </row>
    <row r="24" spans="1:29" s="110" customFormat="1" ht="15">
      <c r="A24" s="602"/>
      <c r="B24" s="585"/>
      <c r="C24" s="2161"/>
      <c r="D24" s="404"/>
      <c r="E24" s="2087"/>
      <c r="F24" s="404"/>
      <c r="G24" s="2087"/>
      <c r="H24" s="404"/>
      <c r="I24" s="403"/>
      <c r="J24" s="404"/>
      <c r="K24" s="625"/>
      <c r="L24" s="2943"/>
      <c r="M24" s="2944"/>
      <c r="N24" s="2944"/>
      <c r="O24" s="2998"/>
      <c r="P24" s="3335"/>
      <c r="Q24" s="1525"/>
      <c r="R24" s="707"/>
      <c r="S24" s="708"/>
      <c r="T24" s="707"/>
      <c r="U24" s="708"/>
      <c r="V24" s="707"/>
      <c r="W24" s="708"/>
      <c r="X24" s="709"/>
      <c r="Y24" s="3335"/>
      <c r="Z24" s="52"/>
      <c r="AA24" s="710">
        <v>1</v>
      </c>
      <c r="AB24" s="710">
        <v>1</v>
      </c>
      <c r="AC24" s="710">
        <v>1</v>
      </c>
    </row>
    <row r="25" spans="1:29" s="110" customFormat="1" ht="28.5">
      <c r="A25" s="602"/>
      <c r="B25" s="586" t="s">
        <v>2451</v>
      </c>
      <c r="C25" s="2083"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3"/>
      <c r="M25" s="2944"/>
      <c r="N25" s="2944"/>
      <c r="O25" s="2998"/>
      <c r="P25" s="3335"/>
      <c r="Q25" s="1525" t="str">
        <f t="shared" ref="Q25" si="9">B25</f>
        <v>基础设施水平</v>
      </c>
      <c r="R25" s="707" t="s">
        <v>14</v>
      </c>
      <c r="S25" s="708">
        <f>F25</f>
        <v>100</v>
      </c>
      <c r="T25" s="707" t="s">
        <v>14</v>
      </c>
      <c r="U25" s="708">
        <f>H25</f>
        <v>100</v>
      </c>
      <c r="V25" s="707" t="s">
        <v>14</v>
      </c>
      <c r="W25" s="708">
        <f>J25</f>
        <v>100</v>
      </c>
      <c r="X25" s="709"/>
      <c r="Y25" s="3335"/>
      <c r="Z25" s="52" t="str">
        <f>Q25</f>
        <v>基础设施水平</v>
      </c>
      <c r="AA25" s="1535">
        <f>D25/F25</f>
        <v>1</v>
      </c>
      <c r="AB25" s="1535">
        <f>D25/H25</f>
        <v>1</v>
      </c>
      <c r="AC25" s="1535">
        <f>D25/J25</f>
        <v>1</v>
      </c>
    </row>
    <row r="26" spans="1:29" s="110" customFormat="1" ht="15">
      <c r="A26" s="602"/>
      <c r="B26" s="585"/>
      <c r="C26" s="2161"/>
      <c r="D26" s="404"/>
      <c r="E26" s="2162"/>
      <c r="F26" s="404"/>
      <c r="G26" s="2162"/>
      <c r="H26" s="404"/>
      <c r="I26" s="2162"/>
      <c r="J26" s="404"/>
      <c r="K26" s="625"/>
      <c r="L26" s="2943"/>
      <c r="M26" s="2944"/>
      <c r="N26" s="2944"/>
      <c r="O26" s="2998"/>
      <c r="P26" s="3335"/>
      <c r="Q26" s="1525"/>
      <c r="R26" s="707"/>
      <c r="S26" s="708"/>
      <c r="T26" s="707"/>
      <c r="U26" s="708"/>
      <c r="V26" s="707"/>
      <c r="W26" s="708"/>
      <c r="X26" s="709"/>
      <c r="Y26" s="3335"/>
      <c r="Z26" s="52"/>
      <c r="AA26" s="710">
        <v>1</v>
      </c>
      <c r="AB26" s="710">
        <v>1</v>
      </c>
      <c r="AC26" s="710">
        <v>1</v>
      </c>
    </row>
    <row r="27" spans="1:29" ht="15">
      <c r="A27" s="384"/>
      <c r="B27" s="585" t="s">
        <v>2452</v>
      </c>
      <c r="C27" s="570"/>
      <c r="D27" s="391">
        <v>100</v>
      </c>
      <c r="E27" s="587"/>
      <c r="F27" s="391">
        <f>SUMIF(95:95,E27,96:96)-SUMIF(95:95,C27,96:96)+100</f>
        <v>100</v>
      </c>
      <c r="G27" s="587"/>
      <c r="H27" s="391">
        <f>SUMIF(95:95,G27,96:96)-SUMIF(95:95,C27,96:96)+100</f>
        <v>100</v>
      </c>
      <c r="I27" s="587"/>
      <c r="J27" s="391">
        <f>SUMIF(95:95,I27,96:96)-SUMIF(95:95,C27,96:96)+100</f>
        <v>100</v>
      </c>
      <c r="K27" s="626"/>
      <c r="L27" s="2948"/>
      <c r="M27" s="2942"/>
      <c r="N27" s="2942"/>
      <c r="O27" s="3000"/>
      <c r="P27" s="3335"/>
      <c r="Q27" s="1534" t="str">
        <f t="shared" si="8"/>
        <v>临街状况</v>
      </c>
      <c r="R27" s="711" t="s">
        <v>14</v>
      </c>
      <c r="S27" s="712">
        <f t="shared" ref="S27:S40" si="10">F27</f>
        <v>100</v>
      </c>
      <c r="T27" s="711" t="s">
        <v>14</v>
      </c>
      <c r="U27" s="712">
        <f t="shared" ref="U27:U40" si="11">H27</f>
        <v>100</v>
      </c>
      <c r="V27" s="711" t="s">
        <v>14</v>
      </c>
      <c r="W27" s="712">
        <f t="shared" ref="W27:W40" si="12">J27</f>
        <v>100</v>
      </c>
      <c r="X27" s="1537"/>
      <c r="Y27" s="3335"/>
      <c r="Z27" s="1538" t="str">
        <f t="shared" ref="Z27:Z40" si="13">Q27</f>
        <v>临街状况</v>
      </c>
      <c r="AA27" s="1535">
        <f t="shared" si="3"/>
        <v>1</v>
      </c>
      <c r="AB27" s="1535">
        <f t="shared" si="4"/>
        <v>1</v>
      </c>
      <c r="AC27" s="1535">
        <f t="shared" si="5"/>
        <v>1</v>
      </c>
    </row>
    <row r="28" spans="1:29" ht="27">
      <c r="A28" s="384"/>
      <c r="B28" s="586" t="s">
        <v>2487</v>
      </c>
      <c r="C28" s="2174">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8"/>
      <c r="M28" s="2942"/>
      <c r="N28" s="2942"/>
      <c r="O28" s="3000"/>
      <c r="P28" s="3335"/>
      <c r="Q28" s="1534" t="str">
        <f t="shared" si="8"/>
        <v>毗邻道路的类型与等级</v>
      </c>
      <c r="R28" s="711" t="s">
        <v>14</v>
      </c>
      <c r="S28" s="712">
        <f t="shared" si="10"/>
        <v>100</v>
      </c>
      <c r="T28" s="711" t="s">
        <v>14</v>
      </c>
      <c r="U28" s="712">
        <f t="shared" si="11"/>
        <v>100</v>
      </c>
      <c r="V28" s="711" t="s">
        <v>14</v>
      </c>
      <c r="W28" s="712">
        <f t="shared" si="12"/>
        <v>100</v>
      </c>
      <c r="X28" s="1537"/>
      <c r="Y28" s="3335"/>
      <c r="Z28" s="1538" t="str">
        <f t="shared" si="13"/>
        <v>毗邻道路的类型与等级</v>
      </c>
      <c r="AA28" s="1535">
        <f t="shared" si="3"/>
        <v>1</v>
      </c>
      <c r="AB28" s="1535">
        <f t="shared" si="4"/>
        <v>1</v>
      </c>
      <c r="AC28" s="1535">
        <f t="shared" si="5"/>
        <v>1</v>
      </c>
    </row>
    <row r="29" spans="1:29" ht="15">
      <c r="A29" s="384"/>
      <c r="B29" s="585"/>
      <c r="C29" s="403"/>
      <c r="D29" s="404"/>
      <c r="E29" s="2087"/>
      <c r="F29" s="404"/>
      <c r="G29" s="2087"/>
      <c r="H29" s="404"/>
      <c r="I29" s="2087"/>
      <c r="J29" s="404"/>
      <c r="K29" s="567"/>
      <c r="L29" s="2948"/>
      <c r="M29" s="2942"/>
      <c r="N29" s="2942"/>
      <c r="O29" s="3000"/>
      <c r="P29" s="3335"/>
      <c r="Q29" s="1534"/>
      <c r="R29" s="711"/>
      <c r="S29" s="712"/>
      <c r="T29" s="711"/>
      <c r="U29" s="712"/>
      <c r="V29" s="711"/>
      <c r="W29" s="712"/>
      <c r="X29" s="1537"/>
      <c r="Y29" s="3335"/>
      <c r="Z29" s="1538"/>
      <c r="AA29" s="1535">
        <v>1</v>
      </c>
      <c r="AB29" s="1535">
        <v>1</v>
      </c>
      <c r="AC29" s="1535">
        <v>1</v>
      </c>
    </row>
    <row r="30" spans="1:29" ht="15">
      <c r="A30" s="384"/>
      <c r="B30" s="607" t="s">
        <v>2546</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8"/>
      <c r="M30" s="2942"/>
      <c r="N30" s="2942"/>
      <c r="O30" s="3000"/>
      <c r="P30" s="3335"/>
      <c r="Q30" s="1534" t="str">
        <f t="shared" si="8"/>
        <v>土地级别</v>
      </c>
      <c r="R30" s="711" t="s">
        <v>14</v>
      </c>
      <c r="S30" s="712">
        <f t="shared" si="10"/>
        <v>100</v>
      </c>
      <c r="T30" s="711" t="s">
        <v>14</v>
      </c>
      <c r="U30" s="712">
        <f t="shared" si="11"/>
        <v>100</v>
      </c>
      <c r="V30" s="711" t="s">
        <v>14</v>
      </c>
      <c r="W30" s="712">
        <f t="shared" si="12"/>
        <v>100</v>
      </c>
      <c r="X30" s="1537"/>
      <c r="Y30" s="3335"/>
      <c r="Z30" s="1538" t="str">
        <f t="shared" si="13"/>
        <v>土地级别</v>
      </c>
      <c r="AA30" s="1535">
        <f t="shared" si="3"/>
        <v>1</v>
      </c>
      <c r="AB30" s="1535">
        <f t="shared" si="4"/>
        <v>1</v>
      </c>
      <c r="AC30" s="1535">
        <f t="shared" si="5"/>
        <v>1</v>
      </c>
    </row>
    <row r="31" spans="1:29" ht="15">
      <c r="A31" s="361"/>
      <c r="B31" s="2149">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8"/>
      <c r="M31" s="2942"/>
      <c r="N31" s="2942"/>
      <c r="O31" s="3000"/>
      <c r="P31" s="3335"/>
      <c r="Q31" s="1534">
        <f t="shared" si="8"/>
        <v>111</v>
      </c>
      <c r="R31" s="711" t="s">
        <v>14</v>
      </c>
      <c r="S31" s="712">
        <f t="shared" si="10"/>
        <v>100</v>
      </c>
      <c r="T31" s="711" t="s">
        <v>14</v>
      </c>
      <c r="U31" s="712">
        <f t="shared" si="11"/>
        <v>100</v>
      </c>
      <c r="V31" s="711" t="s">
        <v>14</v>
      </c>
      <c r="W31" s="712">
        <f t="shared" si="12"/>
        <v>100</v>
      </c>
      <c r="X31" s="1537"/>
      <c r="Y31" s="3335"/>
      <c r="Z31" s="1538">
        <f t="shared" si="13"/>
        <v>111</v>
      </c>
      <c r="AA31" s="1535">
        <f t="shared" si="3"/>
        <v>1</v>
      </c>
      <c r="AB31" s="1535">
        <f t="shared" si="4"/>
        <v>1</v>
      </c>
      <c r="AC31" s="1535">
        <f t="shared" si="5"/>
        <v>1</v>
      </c>
    </row>
    <row r="32" spans="1:29" ht="15">
      <c r="A32" s="628"/>
      <c r="B32" s="2175">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8"/>
      <c r="M32" s="2942"/>
      <c r="N32" s="2942"/>
      <c r="O32" s="3000"/>
      <c r="P32" s="3336" t="s">
        <v>2361</v>
      </c>
      <c r="Q32" s="1534">
        <f t="shared" si="8"/>
        <v>111</v>
      </c>
      <c r="R32" s="711" t="s">
        <v>14</v>
      </c>
      <c r="S32" s="712">
        <f t="shared" si="10"/>
        <v>100</v>
      </c>
      <c r="T32" s="711" t="s">
        <v>14</v>
      </c>
      <c r="U32" s="712">
        <f t="shared" si="11"/>
        <v>100</v>
      </c>
      <c r="V32" s="711" t="s">
        <v>14</v>
      </c>
      <c r="W32" s="712">
        <f t="shared" si="12"/>
        <v>100</v>
      </c>
      <c r="X32" s="1537"/>
      <c r="Y32" s="3337" t="s">
        <v>2361</v>
      </c>
      <c r="Z32" s="1538">
        <f t="shared" si="13"/>
        <v>111</v>
      </c>
      <c r="AA32" s="1535">
        <f t="shared" si="3"/>
        <v>1</v>
      </c>
      <c r="AB32" s="1535">
        <f t="shared" si="4"/>
        <v>1</v>
      </c>
      <c r="AC32" s="1535">
        <f t="shared" si="5"/>
        <v>1</v>
      </c>
    </row>
    <row r="33" spans="1:31" s="427" customFormat="1" ht="15.75" thickBot="1">
      <c r="A33" s="629"/>
      <c r="B33" s="2176">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7"/>
      <c r="M33" s="2949"/>
      <c r="N33" s="2949"/>
      <c r="O33" s="3001"/>
      <c r="P33" s="3337"/>
      <c r="Q33" s="1534">
        <f t="shared" si="8"/>
        <v>111</v>
      </c>
      <c r="R33" s="714" t="s">
        <v>14</v>
      </c>
      <c r="S33" s="715">
        <f t="shared" si="10"/>
        <v>100</v>
      </c>
      <c r="T33" s="714" t="s">
        <v>14</v>
      </c>
      <c r="U33" s="715">
        <f t="shared" si="11"/>
        <v>100</v>
      </c>
      <c r="V33" s="714" t="s">
        <v>14</v>
      </c>
      <c r="W33" s="715">
        <f t="shared" si="12"/>
        <v>100</v>
      </c>
      <c r="X33" s="716"/>
      <c r="Y33" s="3337"/>
      <c r="Z33" s="717">
        <f t="shared" si="13"/>
        <v>111</v>
      </c>
      <c r="AA33" s="1535">
        <f t="shared" si="3"/>
        <v>1</v>
      </c>
      <c r="AB33" s="1535">
        <f t="shared" si="4"/>
        <v>1</v>
      </c>
      <c r="AC33" s="1535">
        <f t="shared" si="5"/>
        <v>1</v>
      </c>
    </row>
    <row r="34" spans="1:31" ht="15">
      <c r="A34" s="396" t="s">
        <v>2359</v>
      </c>
      <c r="B34" s="412" t="s">
        <v>2547</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8"/>
      <c r="M34" s="2942"/>
      <c r="N34" s="2942"/>
      <c r="O34" s="3000"/>
      <c r="P34" s="3337"/>
      <c r="Q34" s="1534" t="str">
        <f>B34</f>
        <v>宗地面积</v>
      </c>
      <c r="R34" s="711" t="s">
        <v>14</v>
      </c>
      <c r="S34" s="712" t="e">
        <f t="shared" si="10"/>
        <v>#N/A</v>
      </c>
      <c r="T34" s="711" t="s">
        <v>14</v>
      </c>
      <c r="U34" s="712" t="e">
        <f t="shared" si="11"/>
        <v>#N/A</v>
      </c>
      <c r="V34" s="711" t="s">
        <v>14</v>
      </c>
      <c r="W34" s="712" t="e">
        <f t="shared" si="12"/>
        <v>#N/A</v>
      </c>
      <c r="X34" s="1537"/>
      <c r="Y34" s="3337"/>
      <c r="Z34" s="1538" t="str">
        <f t="shared" si="13"/>
        <v>宗地面积</v>
      </c>
      <c r="AA34" s="1535" t="e">
        <f t="shared" si="3"/>
        <v>#N/A</v>
      </c>
      <c r="AB34" s="1535" t="e">
        <f t="shared" si="4"/>
        <v>#N/A</v>
      </c>
      <c r="AC34" s="1535" t="e">
        <f t="shared" si="5"/>
        <v>#N/A</v>
      </c>
    </row>
    <row r="35" spans="1:31" ht="15">
      <c r="A35" s="428"/>
      <c r="B35" s="378" t="s">
        <v>2548</v>
      </c>
      <c r="C35" s="2089"/>
      <c r="D35" s="391">
        <v>100</v>
      </c>
      <c r="E35" s="2089"/>
      <c r="F35" s="391">
        <f>SUMIF(110:110,E35,111:111)-SUMIF(110:110,C35,111:111)+100</f>
        <v>100</v>
      </c>
      <c r="G35" s="2089"/>
      <c r="H35" s="391">
        <f>SUMIF(110:110,G35,111:111)-SUMIF(110:110,C35,111:111)+100</f>
        <v>100</v>
      </c>
      <c r="I35" s="2089"/>
      <c r="J35" s="391">
        <f>SUMIF(110:110,I35,111:111)-SUMIF(110:110,C35,111:111)+100</f>
        <v>100</v>
      </c>
      <c r="K35" s="566"/>
      <c r="L35" s="2948"/>
      <c r="M35" s="2942"/>
      <c r="N35" s="2942"/>
      <c r="O35" s="3000"/>
      <c r="P35" s="3337"/>
      <c r="Q35" s="1534" t="str">
        <f t="shared" ref="Q35:Q40" si="14">B35</f>
        <v>宗地形状</v>
      </c>
      <c r="R35" s="711" t="s">
        <v>14</v>
      </c>
      <c r="S35" s="712">
        <f t="shared" si="10"/>
        <v>100</v>
      </c>
      <c r="T35" s="711" t="s">
        <v>14</v>
      </c>
      <c r="U35" s="712">
        <f t="shared" si="11"/>
        <v>100</v>
      </c>
      <c r="V35" s="711" t="s">
        <v>14</v>
      </c>
      <c r="W35" s="712">
        <f t="shared" si="12"/>
        <v>100</v>
      </c>
      <c r="X35" s="1537"/>
      <c r="Y35" s="3337"/>
      <c r="Z35" s="1538" t="str">
        <f t="shared" si="13"/>
        <v>宗地形状</v>
      </c>
      <c r="AA35" s="1535">
        <f t="shared" si="3"/>
        <v>1</v>
      </c>
      <c r="AB35" s="1535">
        <f t="shared" si="4"/>
        <v>1</v>
      </c>
      <c r="AC35" s="1535">
        <f t="shared" si="5"/>
        <v>1</v>
      </c>
    </row>
    <row r="36" spans="1:31" s="110" customFormat="1" ht="15">
      <c r="A36" s="429"/>
      <c r="B36" s="378" t="s">
        <v>2550</v>
      </c>
      <c r="C36" s="2163"/>
      <c r="D36" s="129">
        <v>100</v>
      </c>
      <c r="E36" s="2163"/>
      <c r="F36" s="391">
        <f>SUMIF(112:112,E36,113:113)-SUMIF(112:112,C36,113:113)+100</f>
        <v>100</v>
      </c>
      <c r="G36" s="2163"/>
      <c r="H36" s="391">
        <f>SUMIF(112:112,G36,113:113)-SUMIF(112:112,C36,113:113)+100</f>
        <v>100</v>
      </c>
      <c r="I36" s="2163"/>
      <c r="J36" s="391">
        <f>SUMIF(112:112,I36,113:113)-SUMIF(112:112,C36,113:113)+100</f>
        <v>100</v>
      </c>
      <c r="K36" s="566"/>
      <c r="L36" s="2943"/>
      <c r="M36" s="2944"/>
      <c r="N36" s="2944"/>
      <c r="O36" s="2998"/>
      <c r="P36" s="3337"/>
      <c r="Q36" s="1534" t="str">
        <f t="shared" si="14"/>
        <v>宗地开发程度</v>
      </c>
      <c r="R36" s="707" t="s">
        <v>14</v>
      </c>
      <c r="S36" s="708">
        <f t="shared" si="10"/>
        <v>100</v>
      </c>
      <c r="T36" s="707" t="s">
        <v>14</v>
      </c>
      <c r="U36" s="708">
        <f t="shared" si="11"/>
        <v>100</v>
      </c>
      <c r="V36" s="707" t="s">
        <v>14</v>
      </c>
      <c r="W36" s="708">
        <f t="shared" si="12"/>
        <v>100</v>
      </c>
      <c r="X36" s="709"/>
      <c r="Y36" s="3337"/>
      <c r="Z36" s="52" t="str">
        <f t="shared" si="13"/>
        <v>宗地开发程度</v>
      </c>
      <c r="AA36" s="710">
        <f t="shared" si="3"/>
        <v>1</v>
      </c>
      <c r="AB36" s="710">
        <f t="shared" si="4"/>
        <v>1</v>
      </c>
      <c r="AC36" s="710">
        <f t="shared" si="5"/>
        <v>1</v>
      </c>
    </row>
    <row r="37" spans="1:31" ht="15">
      <c r="A37" s="428"/>
      <c r="B37" s="378" t="s">
        <v>2551</v>
      </c>
      <c r="C37" s="2089"/>
      <c r="D37" s="391">
        <v>100</v>
      </c>
      <c r="E37" s="2089"/>
      <c r="F37" s="391">
        <f>SUMIF(114:114,E37,115:115)-SUMIF(114:114,C37,115:115)+100</f>
        <v>100</v>
      </c>
      <c r="G37" s="2089"/>
      <c r="H37" s="391">
        <f>SUMIF(114:114,G37,115:115)-SUMIF(114:114,C37,115:115)+100</f>
        <v>100</v>
      </c>
      <c r="I37" s="2089"/>
      <c r="J37" s="391">
        <f>SUMIF(114:114,I37,115:115)-SUMIF(114:114,C37,115:115)+100</f>
        <v>100</v>
      </c>
      <c r="K37" s="566"/>
      <c r="L37" s="2948"/>
      <c r="M37" s="2942"/>
      <c r="N37" s="2942"/>
      <c r="O37" s="3000"/>
      <c r="P37" s="3337" t="s">
        <v>2361</v>
      </c>
      <c r="Q37" s="1534" t="str">
        <f t="shared" si="14"/>
        <v>工程地质条件</v>
      </c>
      <c r="R37" s="711" t="s">
        <v>14</v>
      </c>
      <c r="S37" s="712">
        <f t="shared" si="10"/>
        <v>100</v>
      </c>
      <c r="T37" s="711" t="s">
        <v>14</v>
      </c>
      <c r="U37" s="712">
        <f t="shared" si="11"/>
        <v>100</v>
      </c>
      <c r="V37" s="711" t="s">
        <v>14</v>
      </c>
      <c r="W37" s="712">
        <f t="shared" si="12"/>
        <v>100</v>
      </c>
      <c r="X37" s="1537"/>
      <c r="Y37" s="3337" t="s">
        <v>2361</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8"/>
      <c r="M38" s="2942"/>
      <c r="N38" s="2942"/>
      <c r="O38" s="3000"/>
      <c r="P38" s="3337"/>
      <c r="Q38" s="1534">
        <f t="shared" si="14"/>
        <v>111</v>
      </c>
      <c r="R38" s="711" t="s">
        <v>14</v>
      </c>
      <c r="S38" s="712">
        <f t="shared" si="10"/>
        <v>100</v>
      </c>
      <c r="T38" s="711" t="s">
        <v>14</v>
      </c>
      <c r="U38" s="712">
        <f t="shared" si="11"/>
        <v>100</v>
      </c>
      <c r="V38" s="711" t="s">
        <v>14</v>
      </c>
      <c r="W38" s="712">
        <f t="shared" si="12"/>
        <v>100</v>
      </c>
      <c r="X38" s="1537"/>
      <c r="Y38" s="3337"/>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8"/>
      <c r="M39" s="2942"/>
      <c r="N39" s="2942"/>
      <c r="O39" s="3000"/>
      <c r="P39" s="3337"/>
      <c r="Q39" s="1534">
        <f t="shared" si="14"/>
        <v>111</v>
      </c>
      <c r="R39" s="711" t="s">
        <v>14</v>
      </c>
      <c r="S39" s="712">
        <f t="shared" si="10"/>
        <v>100</v>
      </c>
      <c r="T39" s="711" t="s">
        <v>14</v>
      </c>
      <c r="U39" s="712">
        <f t="shared" si="11"/>
        <v>100</v>
      </c>
      <c r="V39" s="711" t="s">
        <v>14</v>
      </c>
      <c r="W39" s="712">
        <f t="shared" si="12"/>
        <v>100</v>
      </c>
      <c r="X39" s="1537"/>
      <c r="Y39" s="3337"/>
      <c r="Z39" s="1538">
        <f t="shared" si="13"/>
        <v>111</v>
      </c>
      <c r="AA39" s="1535">
        <f t="shared" si="3"/>
        <v>1</v>
      </c>
      <c r="AB39" s="1535">
        <f t="shared" si="4"/>
        <v>1</v>
      </c>
      <c r="AC39" s="1535">
        <f t="shared" si="5"/>
        <v>1</v>
      </c>
    </row>
    <row r="40" spans="1:31" s="427" customFormat="1" ht="15.75" thickBot="1">
      <c r="A40" s="424"/>
      <c r="B40" s="1293">
        <v>111</v>
      </c>
      <c r="C40" s="2164"/>
      <c r="D40" s="130">
        <v>100</v>
      </c>
      <c r="E40" s="627"/>
      <c r="F40" s="394">
        <f>SUMIF(120:120,E40,121:121)-SUMIF(120:120,C40,121:121)+100</f>
        <v>100</v>
      </c>
      <c r="G40" s="627"/>
      <c r="H40" s="394">
        <f>SUMIF(120:120,G40,121:121)-SUMIF(120:120,C40,121:121)+100</f>
        <v>100</v>
      </c>
      <c r="I40" s="503"/>
      <c r="J40" s="394">
        <f>SUMIF(120:120,I40,121:121)-SUMIF(120:120,C40,121:121)+100</f>
        <v>100</v>
      </c>
      <c r="K40" s="634"/>
      <c r="L40" s="2947"/>
      <c r="M40" s="2949"/>
      <c r="N40" s="2949"/>
      <c r="O40" s="3001"/>
      <c r="P40" s="3337"/>
      <c r="Q40" s="1534">
        <f t="shared" si="14"/>
        <v>111</v>
      </c>
      <c r="R40" s="714" t="s">
        <v>14</v>
      </c>
      <c r="S40" s="715">
        <f t="shared" si="10"/>
        <v>100</v>
      </c>
      <c r="T40" s="714" t="s">
        <v>14</v>
      </c>
      <c r="U40" s="715">
        <f t="shared" si="11"/>
        <v>100</v>
      </c>
      <c r="V40" s="714" t="s">
        <v>14</v>
      </c>
      <c r="W40" s="715">
        <f t="shared" si="12"/>
        <v>100</v>
      </c>
      <c r="X40" s="716"/>
      <c r="Y40" s="3337"/>
      <c r="Z40" s="717">
        <f t="shared" si="13"/>
        <v>111</v>
      </c>
      <c r="AA40" s="1535">
        <f t="shared" si="3"/>
        <v>1</v>
      </c>
      <c r="AB40" s="1535">
        <f t="shared" si="4"/>
        <v>1</v>
      </c>
      <c r="AC40" s="1535">
        <f t="shared" si="5"/>
        <v>1</v>
      </c>
    </row>
    <row r="41" spans="1:31" ht="15">
      <c r="A41" s="435" t="s">
        <v>2516</v>
      </c>
      <c r="B41" s="2165" t="s">
        <v>2596</v>
      </c>
      <c r="C41" s="635" t="s">
        <v>0</v>
      </c>
      <c r="D41" s="437"/>
      <c r="E41" s="438"/>
      <c r="F41" s="439"/>
      <c r="G41" s="440"/>
      <c r="H41" s="441"/>
      <c r="I41" s="438"/>
      <c r="J41" s="441"/>
      <c r="K41" s="720"/>
      <c r="L41" s="2950"/>
      <c r="M41" s="2942"/>
      <c r="N41" s="2942"/>
      <c r="O41" s="2951"/>
      <c r="P41" s="3319" t="str">
        <f>A41</f>
        <v>成交单价</v>
      </c>
      <c r="Q41" s="3319"/>
      <c r="R41" s="3332">
        <f>E41</f>
        <v>0</v>
      </c>
      <c r="S41" s="3332"/>
      <c r="T41" s="3332">
        <f>G41</f>
        <v>0</v>
      </c>
      <c r="U41" s="3332"/>
      <c r="V41" s="3332">
        <f>I41</f>
        <v>0</v>
      </c>
      <c r="W41" s="3332"/>
      <c r="X41" s="696"/>
      <c r="Y41" s="718"/>
      <c r="Z41" s="696"/>
      <c r="AA41" s="696"/>
      <c r="AB41" s="696"/>
      <c r="AC41" s="696"/>
    </row>
    <row r="42" spans="1:31" ht="15.75" thickBot="1">
      <c r="A42" s="442" t="s">
        <v>2465</v>
      </c>
      <c r="B42" s="636"/>
      <c r="C42" s="445" t="e">
        <f>R43</f>
        <v>#DIV/0!</v>
      </c>
      <c r="D42" s="2535" t="s">
        <v>2856</v>
      </c>
      <c r="E42" s="445" t="e">
        <f>R42</f>
        <v>#DIV/0!</v>
      </c>
      <c r="F42" s="2536"/>
      <c r="G42" s="444" t="e">
        <f>T42</f>
        <v>#DIV/0!</v>
      </c>
      <c r="H42" s="2536"/>
      <c r="I42" s="445" t="e">
        <f>V42</f>
        <v>#DIV/0!</v>
      </c>
      <c r="J42" s="2536"/>
      <c r="K42" s="2538">
        <f>F42+H42+J42</f>
        <v>0</v>
      </c>
      <c r="L42" s="2950"/>
      <c r="M42" s="2942"/>
      <c r="N42" s="2942"/>
      <c r="O42" s="2951"/>
      <c r="P42" s="3319" t="str">
        <f>A42</f>
        <v>比较价值（元/平方米）</v>
      </c>
      <c r="Q42" s="3319"/>
      <c r="R42" s="3338" t="e">
        <f>ROUND(PRODUCT(R41,AA7:AA40),0)</f>
        <v>#DIV/0!</v>
      </c>
      <c r="S42" s="3338"/>
      <c r="T42" s="3338" t="e">
        <f>ROUND(PRODUCT(T41,AB7:AB40),0)</f>
        <v>#DIV/0!</v>
      </c>
      <c r="U42" s="3338"/>
      <c r="V42" s="3338" t="e">
        <f>ROUND(PRODUCT(V41,AC7:AC40),0)</f>
        <v>#DIV/0!</v>
      </c>
      <c r="W42" s="3338"/>
      <c r="X42" s="696"/>
      <c r="Y42" s="696"/>
      <c r="Z42" s="696"/>
      <c r="AA42" s="696"/>
      <c r="AB42" s="696"/>
      <c r="AC42" s="696"/>
    </row>
    <row r="43" spans="1:31" ht="15.75" thickBot="1">
      <c r="A43" s="446" t="s">
        <v>2466</v>
      </c>
      <c r="B43" s="447"/>
      <c r="C43" s="448" t="e">
        <f>R43</f>
        <v>#DIV/0!</v>
      </c>
      <c r="D43" s="448"/>
      <c r="E43" s="448"/>
      <c r="F43" s="448"/>
      <c r="G43" s="448"/>
      <c r="H43" s="448"/>
      <c r="I43" s="448"/>
      <c r="J43" s="448"/>
      <c r="K43" s="721"/>
      <c r="L43" s="2950"/>
      <c r="M43" s="2942"/>
      <c r="N43" s="2942"/>
      <c r="O43" s="2951"/>
      <c r="P43" s="3339" t="str">
        <f>A43</f>
        <v>估价对象XX用房的比较价值（楼面单价，元/平方米）</v>
      </c>
      <c r="Q43" s="3340"/>
      <c r="R43" s="3341" t="e">
        <f>ROUND(IF(D42="简单平均",AVERAGE(R42:W42),R42*F42+T42*H42+V42*J42),0)</f>
        <v>#DIV/0!</v>
      </c>
      <c r="S43" s="3341"/>
      <c r="T43" s="3341"/>
      <c r="U43" s="3341"/>
      <c r="V43" s="3341"/>
      <c r="W43" s="3341"/>
      <c r="X43" s="696"/>
      <c r="Y43" s="696"/>
      <c r="Z43" s="696"/>
      <c r="AA43" s="696"/>
      <c r="AB43" s="696"/>
      <c r="AC43" s="696"/>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1" t="s">
        <v>2467</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1" t="s">
        <v>2468</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6" customFormat="1" ht="13.5" customHeight="1">
      <c r="A48" s="2954"/>
      <c r="B48" s="2954"/>
      <c r="C48" s="451" t="s">
        <v>2469</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6" customFormat="1" ht="15" thickBot="1">
      <c r="A49" s="2954"/>
      <c r="B49" s="2957"/>
      <c r="C49" s="699"/>
      <c r="D49" s="697"/>
      <c r="E49" s="697"/>
      <c r="F49" s="697"/>
      <c r="G49" s="697"/>
      <c r="H49" s="697"/>
      <c r="I49" s="697"/>
      <c r="J49" s="697"/>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7" t="s">
        <v>2554</v>
      </c>
      <c r="B50" s="638" t="s">
        <v>2555</v>
      </c>
      <c r="C50" s="2166" t="s">
        <v>2556</v>
      </c>
      <c r="D50" s="2167" t="s">
        <v>2557</v>
      </c>
      <c r="E50" s="639" t="s">
        <v>2558</v>
      </c>
      <c r="F50" s="640" t="s">
        <v>2559</v>
      </c>
      <c r="G50" s="3320" t="s">
        <v>2560</v>
      </c>
      <c r="H50" s="3342"/>
      <c r="I50" s="1538" t="s">
        <v>2597</v>
      </c>
      <c r="J50" s="1538">
        <f>项目基本情况!F35</f>
        <v>0</v>
      </c>
      <c r="K50" s="2169" t="s">
        <v>2562</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5" customFormat="1">
      <c r="A51" s="641" t="s">
        <v>2563</v>
      </c>
      <c r="B51" s="642" t="e">
        <f>C43</f>
        <v>#DIV/0!</v>
      </c>
      <c r="C51" s="643">
        <v>1</v>
      </c>
      <c r="D51" s="1072">
        <v>1</v>
      </c>
      <c r="E51" s="643">
        <f>'数据-汇总表'!E8+'数据-汇总表'!E9</f>
        <v>68161.440000000002</v>
      </c>
      <c r="F51" s="644" t="e">
        <f t="shared" ref="F51:F60" si="15">ROUND(B51*E51/10000,0)</f>
        <v>#DIV/0!</v>
      </c>
      <c r="G51" s="3343"/>
      <c r="H51" s="3319"/>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5" customFormat="1">
      <c r="A52" s="646" t="s">
        <v>2564</v>
      </c>
      <c r="B52" s="221" t="e">
        <f>ROUND($C$43*C52*D52,0)</f>
        <v>#DIV/0!</v>
      </c>
      <c r="C52" s="173">
        <f t="shared" ref="C52:C60" si="16">IF($C$50="北京市系数",I52,J52)</f>
        <v>0</v>
      </c>
      <c r="D52" s="1073">
        <v>0.25</v>
      </c>
      <c r="E52" s="647"/>
      <c r="F52" s="644" t="e">
        <f t="shared" si="15"/>
        <v>#DIV/0!</v>
      </c>
      <c r="G52" s="3344" t="s">
        <v>2565</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5" customFormat="1">
      <c r="A53" s="646" t="s">
        <v>2566</v>
      </c>
      <c r="B53" s="221" t="e">
        <f t="shared" ref="B53:B60" si="17">ROUND($C$43*C53*D53,0)</f>
        <v>#DIV/0!</v>
      </c>
      <c r="C53" s="173">
        <f t="shared" si="16"/>
        <v>0</v>
      </c>
      <c r="D53" s="1073">
        <v>0.25</v>
      </c>
      <c r="E53" s="647"/>
      <c r="F53" s="644" t="e">
        <f t="shared" si="15"/>
        <v>#DIV/0!</v>
      </c>
      <c r="G53" s="3344"/>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5" customFormat="1">
      <c r="A54" s="646" t="s">
        <v>2567</v>
      </c>
      <c r="B54" s="221" t="e">
        <f t="shared" si="17"/>
        <v>#DIV/0!</v>
      </c>
      <c r="C54" s="173">
        <f t="shared" si="16"/>
        <v>0</v>
      </c>
      <c r="D54" s="1073">
        <v>0.25</v>
      </c>
      <c r="E54" s="647"/>
      <c r="F54" s="644" t="e">
        <f t="shared" si="15"/>
        <v>#DIV/0!</v>
      </c>
      <c r="G54" s="3344"/>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5" customFormat="1">
      <c r="A55" s="646" t="s">
        <v>2568</v>
      </c>
      <c r="B55" s="221" t="e">
        <f t="shared" si="17"/>
        <v>#DIV/0!</v>
      </c>
      <c r="C55" s="173">
        <f t="shared" si="16"/>
        <v>0</v>
      </c>
      <c r="D55" s="1073">
        <v>0.25</v>
      </c>
      <c r="E55" s="647"/>
      <c r="F55" s="644" t="e">
        <f t="shared" si="15"/>
        <v>#DIV/0!</v>
      </c>
      <c r="G55" s="3344"/>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5" customFormat="1">
      <c r="A56" s="646" t="s">
        <v>2569</v>
      </c>
      <c r="B56" s="221" t="e">
        <f t="shared" si="17"/>
        <v>#DIV/0!</v>
      </c>
      <c r="C56" s="173">
        <f t="shared" si="16"/>
        <v>0</v>
      </c>
      <c r="D56" s="1073">
        <v>0.25</v>
      </c>
      <c r="E56" s="220">
        <f>'数据-汇总表'!E11</f>
        <v>0</v>
      </c>
      <c r="F56" s="644" t="e">
        <f t="shared" si="15"/>
        <v>#DIV/0!</v>
      </c>
      <c r="G56" s="2170" t="s">
        <v>2570</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5" customFormat="1">
      <c r="A57" s="646" t="s">
        <v>2571</v>
      </c>
      <c r="B57" s="221" t="e">
        <f t="shared" si="17"/>
        <v>#DIV/0!</v>
      </c>
      <c r="C57" s="173">
        <f t="shared" si="16"/>
        <v>0</v>
      </c>
      <c r="D57" s="1073">
        <v>0.25</v>
      </c>
      <c r="E57" s="220">
        <f>'数据-汇总表'!E12</f>
        <v>0</v>
      </c>
      <c r="F57" s="644" t="e">
        <f t="shared" si="15"/>
        <v>#DIV/0!</v>
      </c>
      <c r="G57" s="1020" t="s">
        <v>2572</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5" customFormat="1">
      <c r="A58" s="646" t="s">
        <v>2573</v>
      </c>
      <c r="B58" s="221" t="e">
        <f t="shared" si="17"/>
        <v>#DIV/0!</v>
      </c>
      <c r="C58" s="173">
        <f t="shared" si="16"/>
        <v>0</v>
      </c>
      <c r="D58" s="1073">
        <v>0.25</v>
      </c>
      <c r="E58" s="220">
        <f>'数据-汇总表'!E13</f>
        <v>0</v>
      </c>
      <c r="F58" s="644" t="e">
        <f t="shared" si="15"/>
        <v>#DIV/0!</v>
      </c>
      <c r="G58" s="1020" t="s">
        <v>2574</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5" customFormat="1">
      <c r="A59" s="646" t="s">
        <v>2575</v>
      </c>
      <c r="B59" s="221" t="e">
        <f t="shared" si="17"/>
        <v>#DIV/0!</v>
      </c>
      <c r="C59" s="173">
        <f t="shared" si="16"/>
        <v>0</v>
      </c>
      <c r="D59" s="1073">
        <v>0.25</v>
      </c>
      <c r="E59" s="220">
        <f>'数据-汇总表'!E14</f>
        <v>0</v>
      </c>
      <c r="F59" s="644" t="e">
        <f t="shared" si="15"/>
        <v>#DIV/0!</v>
      </c>
      <c r="G59" s="2170" t="s">
        <v>2565</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5" customFormat="1" ht="15" thickBot="1">
      <c r="A60" s="646" t="s">
        <v>2576</v>
      </c>
      <c r="B60" s="221" t="e">
        <f t="shared" si="17"/>
        <v>#DIV/0!</v>
      </c>
      <c r="C60" s="173">
        <f t="shared" si="16"/>
        <v>0</v>
      </c>
      <c r="D60" s="1073">
        <v>0.25</v>
      </c>
      <c r="E60" s="220">
        <f>'数据-汇总表'!E15</f>
        <v>0</v>
      </c>
      <c r="F60" s="644" t="e">
        <f t="shared" si="15"/>
        <v>#DIV/0!</v>
      </c>
      <c r="G60" s="2171" t="s">
        <v>2570</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5" customFormat="1" ht="15" thickBot="1">
      <c r="A61" s="648" t="s">
        <v>2577</v>
      </c>
      <c r="B61" s="649" t="s">
        <v>25</v>
      </c>
      <c r="C61" s="649" t="s">
        <v>26</v>
      </c>
      <c r="D61" s="649" t="s">
        <v>974</v>
      </c>
      <c r="E61" s="649">
        <f>IF(B41="楼面地价",SUM(E51:E60),'数据-汇总表'!D3)</f>
        <v>71942</v>
      </c>
      <c r="F61" s="650"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698" t="str">
        <f>YEAR(C7)&amp;"-"&amp;MONTH(C7)&amp;"-1"</f>
        <v>2021-2-1</v>
      </c>
      <c r="D63" s="698">
        <f>EDATE(C63,-3)</f>
        <v>44136</v>
      </c>
      <c r="E63" s="698">
        <f>EDATE(D63,-3)</f>
        <v>44044</v>
      </c>
      <c r="F63" s="698">
        <f t="shared" ref="F63:O63" si="18">EDATE(E63,-3)</f>
        <v>43952</v>
      </c>
      <c r="G63" s="698">
        <f t="shared" si="18"/>
        <v>43862</v>
      </c>
      <c r="H63" s="698">
        <f t="shared" si="18"/>
        <v>43770</v>
      </c>
      <c r="I63" s="698">
        <f t="shared" si="18"/>
        <v>43678</v>
      </c>
      <c r="J63" s="698">
        <f t="shared" si="18"/>
        <v>43586</v>
      </c>
      <c r="K63" s="698">
        <f t="shared" si="18"/>
        <v>43497</v>
      </c>
      <c r="L63" s="698">
        <f t="shared" si="18"/>
        <v>43405</v>
      </c>
      <c r="M63" s="698">
        <f t="shared" si="18"/>
        <v>43313</v>
      </c>
      <c r="N63" s="698">
        <f t="shared" si="18"/>
        <v>43221</v>
      </c>
      <c r="O63" s="698">
        <f t="shared" si="18"/>
        <v>43132</v>
      </c>
      <c r="P63" s="2951"/>
      <c r="Q63" s="2951"/>
      <c r="R63" s="2951"/>
      <c r="S63" s="2951"/>
      <c r="T63" s="2951"/>
      <c r="U63" s="2951"/>
      <c r="V63" s="2951"/>
      <c r="W63" s="2951"/>
      <c r="X63" s="2951"/>
      <c r="Y63" s="2951"/>
      <c r="Z63" s="2951"/>
      <c r="AA63" s="2951"/>
      <c r="AB63" s="2951"/>
      <c r="AC63" s="2951"/>
      <c r="AD63" s="2951"/>
      <c r="AE63" s="2951"/>
    </row>
    <row r="64" spans="1:31" ht="21.75" thickBot="1">
      <c r="A64" s="700" t="s">
        <v>2470</v>
      </c>
      <c r="B64" s="696"/>
      <c r="C64" s="701"/>
      <c r="D64" s="701"/>
      <c r="E64" s="701"/>
      <c r="F64" s="702"/>
      <c r="G64" s="702"/>
      <c r="H64" s="701"/>
      <c r="I64" s="701"/>
      <c r="J64" s="701"/>
      <c r="K64" s="703"/>
      <c r="L64" s="704"/>
      <c r="M64" s="701"/>
      <c r="N64" s="701"/>
      <c r="O64" s="1068"/>
      <c r="P64" s="2995"/>
      <c r="Q64" s="2965"/>
      <c r="R64" s="2951"/>
      <c r="S64" s="2951"/>
      <c r="T64" s="2951"/>
      <c r="U64" s="2951"/>
      <c r="V64" s="2951"/>
      <c r="W64" s="2951"/>
      <c r="X64" s="2951"/>
      <c r="Y64" s="2951"/>
      <c r="Z64" s="2951"/>
      <c r="AA64" s="2951"/>
      <c r="AB64" s="2951"/>
      <c r="AC64" s="2951"/>
      <c r="AD64" s="2951"/>
      <c r="AE64" s="2951"/>
    </row>
    <row r="65" spans="1:31" s="462" customFormat="1" ht="15">
      <c r="A65" s="2172" t="s">
        <v>2578</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2"/>
      <c r="Q65" s="2967"/>
      <c r="R65" s="2967"/>
      <c r="S65" s="2967"/>
      <c r="T65" s="2967"/>
      <c r="U65" s="2967"/>
      <c r="V65" s="2967"/>
      <c r="W65" s="2967"/>
      <c r="X65" s="2967"/>
      <c r="Y65" s="2967"/>
      <c r="Z65" s="2967"/>
      <c r="AA65" s="2967"/>
      <c r="AB65" s="2967"/>
      <c r="AC65" s="2967"/>
      <c r="AD65" s="2967"/>
      <c r="AE65" s="2967"/>
    </row>
    <row r="66" spans="1:31" s="110" customFormat="1" ht="30.75" customHeight="1">
      <c r="A66" s="2177" t="s">
        <v>2598</v>
      </c>
      <c r="B66" s="291" t="str">
        <f>"北京市平均增长率"&amp;TEXT(基准地价修正!P24,"0.00%")</f>
        <v>北京市平均增长率1.19%</v>
      </c>
      <c r="C66" s="557">
        <v>100</v>
      </c>
      <c r="D66" s="549"/>
      <c r="E66" s="549"/>
      <c r="F66" s="549"/>
      <c r="G66" s="549"/>
      <c r="H66" s="549"/>
      <c r="I66" s="549"/>
      <c r="J66" s="549"/>
      <c r="K66" s="549"/>
      <c r="L66" s="549"/>
      <c r="M66" s="1337"/>
      <c r="N66" s="1337"/>
      <c r="O66" s="1339"/>
      <c r="P66" s="2965"/>
      <c r="Q66" s="2885"/>
      <c r="R66" s="2885"/>
      <c r="S66" s="2885"/>
      <c r="T66" s="2885"/>
      <c r="U66" s="2885"/>
      <c r="V66" s="2885"/>
      <c r="W66" s="2885"/>
      <c r="X66" s="2885"/>
      <c r="Y66" s="2885"/>
      <c r="Z66" s="2885"/>
      <c r="AA66" s="2885"/>
      <c r="AB66" s="2885"/>
      <c r="AC66" s="2885"/>
      <c r="AD66" s="2885"/>
      <c r="AE66" s="2885"/>
    </row>
    <row r="67" spans="1:31" s="110" customFormat="1" ht="15.75" thickBot="1">
      <c r="A67" s="469" t="s">
        <v>2381</v>
      </c>
      <c r="B67" s="470"/>
      <c r="C67" s="471"/>
      <c r="D67" s="472"/>
      <c r="E67" s="472"/>
      <c r="F67" s="472"/>
      <c r="G67" s="472"/>
      <c r="H67" s="472"/>
      <c r="I67" s="472"/>
      <c r="J67" s="472"/>
      <c r="K67" s="472"/>
      <c r="L67" s="472"/>
      <c r="M67" s="473"/>
      <c r="N67" s="473"/>
      <c r="O67" s="474"/>
      <c r="P67" s="2965"/>
      <c r="Q67" s="2965"/>
      <c r="R67" s="2885"/>
      <c r="S67" s="2885"/>
      <c r="T67" s="2885"/>
      <c r="U67" s="2885"/>
      <c r="V67" s="2885"/>
      <c r="W67" s="2885"/>
      <c r="X67" s="2885"/>
      <c r="Y67" s="2885"/>
      <c r="Z67" s="2885"/>
      <c r="AA67" s="2885"/>
      <c r="AB67" s="2885"/>
      <c r="AC67" s="2885"/>
      <c r="AD67" s="2885"/>
      <c r="AE67" s="2885"/>
    </row>
    <row r="68" spans="1:31" s="110" customFormat="1" ht="15">
      <c r="A68" s="475" t="s">
        <v>2346</v>
      </c>
      <c r="B68" s="464"/>
      <c r="C68" s="476" t="s">
        <v>2448</v>
      </c>
      <c r="D68" s="477"/>
      <c r="E68" s="477"/>
      <c r="F68" s="477"/>
      <c r="G68" s="477"/>
      <c r="H68" s="477"/>
      <c r="I68" s="477"/>
      <c r="J68" s="477"/>
      <c r="K68" s="477"/>
      <c r="L68" s="478"/>
      <c r="M68" s="479"/>
      <c r="N68" s="2978"/>
      <c r="O68" s="2978"/>
      <c r="P68" s="3003"/>
      <c r="Q68" s="2965"/>
      <c r="R68" s="2885"/>
      <c r="S68" s="2885"/>
      <c r="T68" s="2885"/>
      <c r="U68" s="2885"/>
      <c r="V68" s="2885"/>
      <c r="W68" s="2885"/>
      <c r="X68" s="2885"/>
      <c r="Y68" s="2885"/>
      <c r="Z68" s="2885"/>
      <c r="AA68" s="2885"/>
      <c r="AB68" s="2885"/>
      <c r="AC68" s="2885"/>
      <c r="AD68" s="2885"/>
      <c r="AE68" s="2885"/>
    </row>
    <row r="69" spans="1:31" s="110" customFormat="1" ht="15.75" thickBot="1">
      <c r="A69" s="475"/>
      <c r="B69" s="464"/>
      <c r="C69" s="592">
        <v>100</v>
      </c>
      <c r="D69" s="466"/>
      <c r="E69" s="466"/>
      <c r="F69" s="466"/>
      <c r="G69" s="466"/>
      <c r="H69" s="466"/>
      <c r="I69" s="466"/>
      <c r="J69" s="466"/>
      <c r="K69" s="466"/>
      <c r="L69" s="466"/>
      <c r="M69" s="468"/>
      <c r="N69" s="2978"/>
      <c r="O69" s="2978"/>
      <c r="P69" s="2965"/>
      <c r="Q69" s="2965"/>
      <c r="R69" s="2885"/>
      <c r="S69" s="2885"/>
      <c r="T69" s="2885"/>
      <c r="U69" s="2885"/>
      <c r="V69" s="2885"/>
      <c r="W69" s="2885"/>
      <c r="X69" s="2885"/>
      <c r="Y69" s="2885"/>
      <c r="Z69" s="2885"/>
      <c r="AA69" s="2885"/>
      <c r="AB69" s="2885"/>
      <c r="AC69" s="2885"/>
      <c r="AD69" s="2885"/>
      <c r="AE69" s="2885"/>
    </row>
    <row r="70" spans="1:31">
      <c r="A70" s="481" t="s">
        <v>2384</v>
      </c>
      <c r="B70" s="482" t="s">
        <v>2350</v>
      </c>
      <c r="C70" s="484"/>
      <c r="D70" s="484"/>
      <c r="E70" s="484"/>
      <c r="F70" s="484"/>
      <c r="G70" s="484"/>
      <c r="H70" s="484"/>
      <c r="I70" s="484"/>
      <c r="J70" s="484"/>
      <c r="K70" s="485"/>
      <c r="L70" s="486"/>
      <c r="M70" s="487"/>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8"/>
      <c r="B71" s="489"/>
      <c r="C71" s="490"/>
      <c r="D71" s="490"/>
      <c r="E71" s="490"/>
      <c r="F71" s="490"/>
      <c r="G71" s="490"/>
      <c r="H71" s="490"/>
      <c r="I71" s="490"/>
      <c r="J71" s="490"/>
      <c r="K71" s="490"/>
      <c r="L71" s="490"/>
      <c r="M71" s="491"/>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8"/>
      <c r="B72" s="492" t="s">
        <v>2353</v>
      </c>
      <c r="C72" s="493"/>
      <c r="D72" s="493"/>
      <c r="E72" s="493"/>
      <c r="F72" s="493"/>
      <c r="G72" s="493"/>
      <c r="H72" s="493"/>
      <c r="I72" s="493"/>
      <c r="J72" s="493"/>
      <c r="K72" s="494"/>
      <c r="L72" s="495"/>
      <c r="M72" s="496"/>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8"/>
      <c r="B73" s="497"/>
      <c r="C73" s="498"/>
      <c r="D73" s="498"/>
      <c r="E73" s="498"/>
      <c r="F73" s="498"/>
      <c r="G73" s="498"/>
      <c r="H73" s="498"/>
      <c r="I73" s="498"/>
      <c r="J73" s="498"/>
      <c r="K73" s="498"/>
      <c r="L73" s="498"/>
      <c r="M73" s="499"/>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8"/>
      <c r="B74" s="500" t="s">
        <v>2354</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8"/>
      <c r="B75" s="502"/>
      <c r="C75" s="503"/>
      <c r="D75" s="503"/>
      <c r="E75" s="503"/>
      <c r="F75" s="503"/>
      <c r="G75" s="503"/>
      <c r="H75" s="503"/>
      <c r="I75" s="503"/>
      <c r="J75" s="503"/>
      <c r="K75" s="504"/>
      <c r="L75" s="505"/>
      <c r="M75" s="506"/>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7" customFormat="1" ht="15.75" thickTop="1">
      <c r="A77" s="507"/>
      <c r="B77" s="492">
        <f>B12</f>
        <v>111</v>
      </c>
      <c r="C77" s="508"/>
      <c r="D77" s="508"/>
      <c r="E77" s="508"/>
      <c r="F77" s="508"/>
      <c r="G77" s="508"/>
      <c r="H77" s="509"/>
      <c r="I77" s="509"/>
      <c r="J77" s="509"/>
      <c r="K77" s="509"/>
      <c r="L77" s="510"/>
      <c r="M77" s="511"/>
      <c r="N77" s="2981"/>
      <c r="O77" s="2981"/>
      <c r="P77" s="3005"/>
      <c r="Q77" s="2972"/>
      <c r="R77" s="2973"/>
      <c r="S77" s="2973"/>
      <c r="T77" s="2973"/>
      <c r="U77" s="2973"/>
      <c r="V77" s="2973"/>
      <c r="W77" s="2973"/>
      <c r="X77" s="2973"/>
      <c r="Y77" s="2973"/>
      <c r="Z77" s="2973"/>
      <c r="AA77" s="2973"/>
      <c r="AB77" s="2973"/>
      <c r="AC77" s="2973"/>
      <c r="AD77" s="2973"/>
      <c r="AE77" s="2973"/>
    </row>
    <row r="78" spans="1:31" s="427" customFormat="1" ht="15.75" thickBot="1">
      <c r="A78" s="507"/>
      <c r="B78" s="497"/>
      <c r="C78" s="514"/>
      <c r="D78" s="490"/>
      <c r="E78" s="490"/>
      <c r="F78" s="490"/>
      <c r="G78" s="490"/>
      <c r="H78" s="490"/>
      <c r="I78" s="490"/>
      <c r="J78" s="490"/>
      <c r="K78" s="490"/>
      <c r="L78" s="490"/>
      <c r="M78" s="491"/>
      <c r="N78" s="2980"/>
      <c r="O78" s="2980"/>
      <c r="P78" s="3005"/>
      <c r="Q78" s="2972"/>
      <c r="R78" s="2973"/>
      <c r="S78" s="2973"/>
      <c r="T78" s="2973"/>
      <c r="U78" s="2973"/>
      <c r="V78" s="2973"/>
      <c r="W78" s="2973"/>
      <c r="X78" s="2973"/>
      <c r="Y78" s="2973"/>
      <c r="Z78" s="2973"/>
      <c r="AA78" s="2973"/>
      <c r="AB78" s="2973"/>
      <c r="AC78" s="2973"/>
      <c r="AD78" s="2973"/>
      <c r="AE78" s="2973"/>
    </row>
    <row r="79" spans="1:31" s="427" customFormat="1" ht="15.75" thickTop="1">
      <c r="A79" s="507"/>
      <c r="B79" s="492">
        <f>B13</f>
        <v>111</v>
      </c>
      <c r="C79" s="508"/>
      <c r="D79" s="508"/>
      <c r="E79" s="508"/>
      <c r="F79" s="508"/>
      <c r="G79" s="508"/>
      <c r="H79" s="509"/>
      <c r="I79" s="509"/>
      <c r="J79" s="509"/>
      <c r="K79" s="509"/>
      <c r="L79" s="510"/>
      <c r="M79" s="511"/>
      <c r="N79" s="2981"/>
      <c r="O79" s="2981"/>
      <c r="P79" s="2949"/>
      <c r="Q79" s="2975"/>
      <c r="R79" s="2973"/>
      <c r="S79" s="2973"/>
      <c r="T79" s="2973"/>
      <c r="U79" s="2973"/>
      <c r="V79" s="2973"/>
      <c r="W79" s="2973"/>
      <c r="X79" s="2973"/>
      <c r="Y79" s="2973"/>
      <c r="Z79" s="2973"/>
      <c r="AA79" s="2973"/>
      <c r="AB79" s="2973"/>
      <c r="AC79" s="2973"/>
      <c r="AD79" s="2973"/>
      <c r="AE79" s="2973"/>
    </row>
    <row r="80" spans="1:31" s="427" customFormat="1" ht="15.75" thickBot="1">
      <c r="A80" s="507"/>
      <c r="B80" s="497"/>
      <c r="C80" s="514"/>
      <c r="D80" s="514"/>
      <c r="E80" s="514"/>
      <c r="F80" s="514"/>
      <c r="G80" s="514"/>
      <c r="H80" s="516"/>
      <c r="I80" s="516"/>
      <c r="J80" s="516"/>
      <c r="K80" s="516"/>
      <c r="L80" s="516"/>
      <c r="M80" s="517"/>
      <c r="N80" s="2981"/>
      <c r="O80" s="2981"/>
      <c r="P80" s="3005"/>
      <c r="Q80" s="2972"/>
      <c r="R80" s="2973"/>
      <c r="S80" s="2973"/>
      <c r="T80" s="2973"/>
      <c r="U80" s="2973"/>
      <c r="V80" s="2973"/>
      <c r="W80" s="2973"/>
      <c r="X80" s="2973"/>
      <c r="Y80" s="2973"/>
      <c r="Z80" s="2973"/>
      <c r="AA80" s="2973"/>
      <c r="AB80" s="2973"/>
      <c r="AC80" s="2973"/>
      <c r="AD80" s="2973"/>
      <c r="AE80" s="2973"/>
    </row>
    <row r="81" spans="1:31" s="427" customFormat="1" ht="15.75" thickTop="1">
      <c r="A81" s="507"/>
      <c r="B81" s="500">
        <f>B14</f>
        <v>111</v>
      </c>
      <c r="C81" s="477"/>
      <c r="D81" s="477"/>
      <c r="E81" s="477"/>
      <c r="F81" s="477"/>
      <c r="G81" s="477"/>
      <c r="H81" s="518"/>
      <c r="I81" s="518"/>
      <c r="J81" s="518"/>
      <c r="K81" s="518"/>
      <c r="L81" s="519"/>
      <c r="M81" s="520"/>
      <c r="N81" s="2981"/>
      <c r="O81" s="2981"/>
      <c r="P81" s="3010"/>
      <c r="Q81" s="2972"/>
      <c r="R81" s="2973"/>
      <c r="S81" s="2973"/>
      <c r="T81" s="2973"/>
      <c r="U81" s="2973"/>
      <c r="V81" s="2973"/>
      <c r="W81" s="2973"/>
      <c r="X81" s="2973"/>
      <c r="Y81" s="2973"/>
      <c r="Z81" s="2973"/>
      <c r="AA81" s="2973"/>
      <c r="AB81" s="2973"/>
      <c r="AC81" s="2973"/>
      <c r="AD81" s="2973"/>
      <c r="AE81" s="2973"/>
    </row>
    <row r="82" spans="1:31" s="427" customFormat="1" ht="15.75" thickBot="1">
      <c r="A82" s="522"/>
      <c r="B82" s="523"/>
      <c r="C82" s="524"/>
      <c r="D82" s="524"/>
      <c r="E82" s="524"/>
      <c r="F82" s="524"/>
      <c r="G82" s="524"/>
      <c r="H82" s="525"/>
      <c r="I82" s="525"/>
      <c r="J82" s="525"/>
      <c r="K82" s="525"/>
      <c r="L82" s="525"/>
      <c r="M82" s="526"/>
      <c r="N82" s="2981"/>
      <c r="O82" s="2981"/>
      <c r="P82" s="3005"/>
      <c r="Q82" s="2972"/>
      <c r="R82" s="2973"/>
      <c r="S82" s="2973"/>
      <c r="T82" s="2973"/>
      <c r="U82" s="2973"/>
      <c r="V82" s="2973"/>
      <c r="W82" s="2973"/>
      <c r="X82" s="2973"/>
      <c r="Y82" s="2973"/>
      <c r="Z82" s="2973"/>
      <c r="AA82" s="2973"/>
      <c r="AB82" s="2973"/>
      <c r="AC82" s="2973"/>
      <c r="AD82" s="2973"/>
      <c r="AE82" s="2973"/>
    </row>
    <row r="83" spans="1:31">
      <c r="A83" s="481" t="s">
        <v>2355</v>
      </c>
      <c r="B83" s="482" t="s">
        <v>2501</v>
      </c>
      <c r="C83" s="527" t="s">
        <v>2393</v>
      </c>
      <c r="D83" s="527" t="s">
        <v>2394</v>
      </c>
      <c r="E83" s="527" t="s">
        <v>2395</v>
      </c>
      <c r="F83" s="527" t="s">
        <v>2396</v>
      </c>
      <c r="G83" s="527" t="s">
        <v>2397</v>
      </c>
      <c r="H83" s="483"/>
      <c r="I83" s="483"/>
      <c r="J83" s="483"/>
      <c r="K83" s="528"/>
      <c r="L83" s="529"/>
      <c r="M83" s="530"/>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8"/>
      <c r="B85" s="492" t="s">
        <v>2398</v>
      </c>
      <c r="C85" s="532" t="s">
        <v>2393</v>
      </c>
      <c r="D85" s="532" t="s">
        <v>2394</v>
      </c>
      <c r="E85" s="532" t="s">
        <v>2395</v>
      </c>
      <c r="F85" s="532" t="s">
        <v>2396</v>
      </c>
      <c r="G85" s="532" t="s">
        <v>2397</v>
      </c>
      <c r="H85" s="493"/>
      <c r="I85" s="493"/>
      <c r="J85" s="493"/>
      <c r="K85" s="494"/>
      <c r="L85" s="495"/>
      <c r="M85" s="496"/>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0"/>
      <c r="O86" s="2980"/>
      <c r="P86" s="3004"/>
      <c r="Q86" s="2965"/>
      <c r="R86" s="2951"/>
      <c r="S86" s="2951"/>
      <c r="T86" s="2951"/>
      <c r="U86" s="2951"/>
      <c r="V86" s="2951"/>
      <c r="W86" s="2951"/>
      <c r="X86" s="2951"/>
      <c r="Y86" s="2951"/>
      <c r="Z86" s="2951"/>
      <c r="AA86" s="2951"/>
      <c r="AB86" s="2951"/>
      <c r="AC86" s="2951"/>
      <c r="AD86" s="2951"/>
      <c r="AE86" s="2951"/>
    </row>
    <row r="87" spans="1:31" s="110" customFormat="1" ht="15.75" thickTop="1">
      <c r="A87" s="533"/>
      <c r="B87" s="492" t="s">
        <v>2581</v>
      </c>
      <c r="C87" s="527" t="s">
        <v>2393</v>
      </c>
      <c r="D87" s="527" t="s">
        <v>2394</v>
      </c>
      <c r="E87" s="527" t="s">
        <v>2395</v>
      </c>
      <c r="F87" s="527" t="s">
        <v>2396</v>
      </c>
      <c r="G87" s="527" t="s">
        <v>2397</v>
      </c>
      <c r="H87" s="532"/>
      <c r="I87" s="532"/>
      <c r="J87" s="532"/>
      <c r="K87" s="532"/>
      <c r="L87" s="651"/>
      <c r="M87" s="575"/>
      <c r="N87" s="2978"/>
      <c r="O87" s="2978"/>
      <c r="P87" s="3004"/>
      <c r="Q87" s="2965"/>
      <c r="R87" s="2885"/>
      <c r="S87" s="2885"/>
      <c r="T87" s="2885"/>
      <c r="U87" s="2885"/>
      <c r="V87" s="2885"/>
      <c r="W87" s="2885"/>
      <c r="X87" s="2885"/>
      <c r="Y87" s="2885"/>
      <c r="Z87" s="2885"/>
      <c r="AA87" s="2885"/>
      <c r="AB87" s="2885"/>
      <c r="AC87" s="2885"/>
      <c r="AD87" s="2885"/>
      <c r="AE87" s="2885"/>
    </row>
    <row r="88" spans="1:31" s="110" customFormat="1" ht="15.75" thickBot="1">
      <c r="A88" s="533"/>
      <c r="B88" s="497"/>
      <c r="C88" s="536">
        <v>100</v>
      </c>
      <c r="D88" s="498">
        <f>C88-$K19</f>
        <v>100</v>
      </c>
      <c r="E88" s="498">
        <f>D88-$K19</f>
        <v>100</v>
      </c>
      <c r="F88" s="498">
        <f>E88-$K19</f>
        <v>100</v>
      </c>
      <c r="G88" s="498">
        <f>F88-$K19</f>
        <v>100</v>
      </c>
      <c r="H88" s="498"/>
      <c r="I88" s="498"/>
      <c r="J88" s="498"/>
      <c r="K88" s="498"/>
      <c r="L88" s="498"/>
      <c r="M88" s="499"/>
      <c r="N88" s="2980"/>
      <c r="O88" s="2980"/>
      <c r="P88" s="3004"/>
      <c r="Q88" s="2965"/>
      <c r="R88" s="2885"/>
      <c r="S88" s="2885"/>
      <c r="T88" s="2885"/>
      <c r="U88" s="2885"/>
      <c r="V88" s="2885"/>
      <c r="W88" s="2885"/>
      <c r="X88" s="2885"/>
      <c r="Y88" s="2885"/>
      <c r="Z88" s="2885"/>
      <c r="AA88" s="2885"/>
      <c r="AB88" s="2885"/>
      <c r="AC88" s="2885"/>
      <c r="AD88" s="2885"/>
      <c r="AE88" s="2885"/>
    </row>
    <row r="89" spans="1:31" s="110" customFormat="1" ht="27.75" thickTop="1">
      <c r="A89" s="533"/>
      <c r="B89" s="492" t="s">
        <v>2582</v>
      </c>
      <c r="C89" s="527" t="s">
        <v>2393</v>
      </c>
      <c r="D89" s="527" t="s">
        <v>2394</v>
      </c>
      <c r="E89" s="527" t="s">
        <v>2395</v>
      </c>
      <c r="F89" s="527" t="s">
        <v>2396</v>
      </c>
      <c r="G89" s="527" t="s">
        <v>2397</v>
      </c>
      <c r="H89" s="532"/>
      <c r="I89" s="532"/>
      <c r="J89" s="532"/>
      <c r="K89" s="532"/>
      <c r="L89" s="532"/>
      <c r="M89" s="575"/>
      <c r="N89" s="2978"/>
      <c r="O89" s="2978"/>
      <c r="P89" s="3004"/>
      <c r="Q89" s="2965"/>
      <c r="R89" s="2885"/>
      <c r="S89" s="2885"/>
      <c r="T89" s="2885"/>
      <c r="U89" s="2885"/>
      <c r="V89" s="2885"/>
      <c r="W89" s="2885"/>
      <c r="X89" s="2885"/>
      <c r="Y89" s="2885"/>
      <c r="Z89" s="2885"/>
      <c r="AA89" s="2885"/>
      <c r="AB89" s="2885"/>
      <c r="AC89" s="2885"/>
      <c r="AD89" s="2885"/>
      <c r="AE89" s="2885"/>
    </row>
    <row r="90" spans="1:31" s="110" customFormat="1" ht="15.75" thickBot="1">
      <c r="A90" s="533"/>
      <c r="B90" s="497"/>
      <c r="C90" s="498">
        <v>100</v>
      </c>
      <c r="D90" s="498">
        <f>C90-$K21</f>
        <v>100</v>
      </c>
      <c r="E90" s="498">
        <f>D90-$K21</f>
        <v>100</v>
      </c>
      <c r="F90" s="498">
        <f>E90-$K21</f>
        <v>100</v>
      </c>
      <c r="G90" s="498">
        <f>F90-$K21</f>
        <v>100</v>
      </c>
      <c r="H90" s="498"/>
      <c r="I90" s="498"/>
      <c r="J90" s="498"/>
      <c r="K90" s="498"/>
      <c r="L90" s="498"/>
      <c r="M90" s="499"/>
      <c r="N90" s="2980"/>
      <c r="O90" s="2980"/>
      <c r="P90" s="3004"/>
      <c r="Q90" s="2965"/>
      <c r="R90" s="2885"/>
      <c r="S90" s="2885"/>
      <c r="T90" s="2885"/>
      <c r="U90" s="2885"/>
      <c r="V90" s="2885"/>
      <c r="W90" s="2885"/>
      <c r="X90" s="2885"/>
      <c r="Y90" s="2885"/>
      <c r="Z90" s="2885"/>
      <c r="AA90" s="2885"/>
      <c r="AB90" s="2885"/>
      <c r="AC90" s="2885"/>
      <c r="AD90" s="2885"/>
      <c r="AE90" s="2885"/>
    </row>
    <row r="91" spans="1:31" s="427" customFormat="1" ht="15.75" thickTop="1">
      <c r="A91" s="507"/>
      <c r="B91" s="492" t="s">
        <v>2450</v>
      </c>
      <c r="C91" s="527" t="s">
        <v>2393</v>
      </c>
      <c r="D91" s="527" t="s">
        <v>2394</v>
      </c>
      <c r="E91" s="527" t="s">
        <v>2395</v>
      </c>
      <c r="F91" s="527" t="s">
        <v>2396</v>
      </c>
      <c r="G91" s="527" t="s">
        <v>2397</v>
      </c>
      <c r="H91" s="554"/>
      <c r="I91" s="554"/>
      <c r="J91" s="554"/>
      <c r="K91" s="554"/>
      <c r="L91" s="555"/>
      <c r="M91" s="556"/>
      <c r="N91" s="2981"/>
      <c r="O91" s="2981"/>
      <c r="P91" s="3005"/>
      <c r="Q91" s="2972"/>
      <c r="R91" s="2973"/>
      <c r="S91" s="2973"/>
      <c r="T91" s="2973"/>
      <c r="U91" s="2973"/>
      <c r="V91" s="2973"/>
      <c r="W91" s="2973"/>
      <c r="X91" s="2973"/>
      <c r="Y91" s="2973"/>
      <c r="Z91" s="2973"/>
      <c r="AA91" s="2973"/>
      <c r="AB91" s="2973"/>
      <c r="AC91" s="2973"/>
      <c r="AD91" s="2973"/>
      <c r="AE91" s="2973"/>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1"/>
      <c r="O92" s="2981"/>
      <c r="P92" s="3005"/>
      <c r="Q92" s="2972"/>
      <c r="R92" s="2973"/>
      <c r="S92" s="2973"/>
      <c r="T92" s="2973"/>
      <c r="U92" s="2973"/>
      <c r="V92" s="2973"/>
      <c r="W92" s="2973"/>
      <c r="X92" s="2973"/>
      <c r="Y92" s="2973"/>
      <c r="Z92" s="2973"/>
      <c r="AA92" s="2973"/>
      <c r="AB92" s="2973"/>
      <c r="AC92" s="2973"/>
      <c r="AD92" s="2973"/>
      <c r="AE92" s="2973"/>
    </row>
    <row r="93" spans="1:31" s="427" customFormat="1" ht="15.75" thickTop="1">
      <c r="A93" s="507"/>
      <c r="B93" s="500" t="s">
        <v>2599</v>
      </c>
      <c r="C93" s="613" t="s">
        <v>2471</v>
      </c>
      <c r="D93" s="613" t="s">
        <v>2472</v>
      </c>
      <c r="E93" s="613" t="s">
        <v>2473</v>
      </c>
      <c r="F93" s="613" t="s">
        <v>2474</v>
      </c>
      <c r="G93" s="613" t="s">
        <v>2475</v>
      </c>
      <c r="H93" s="554"/>
      <c r="I93" s="554"/>
      <c r="J93" s="554"/>
      <c r="K93" s="554"/>
      <c r="L93" s="554"/>
      <c r="M93" s="556"/>
      <c r="N93" s="2981"/>
      <c r="O93" s="2981"/>
      <c r="P93" s="3005"/>
      <c r="Q93" s="2972"/>
      <c r="R93" s="2973"/>
      <c r="S93" s="2973"/>
      <c r="T93" s="2973"/>
      <c r="U93" s="2973"/>
      <c r="V93" s="2973"/>
      <c r="W93" s="2973"/>
      <c r="X93" s="2973"/>
      <c r="Y93" s="2973"/>
      <c r="Z93" s="2973"/>
      <c r="AA93" s="2973"/>
      <c r="AB93" s="2973"/>
      <c r="AC93" s="2973"/>
      <c r="AD93" s="2973"/>
      <c r="AE93" s="2973"/>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8"/>
      <c r="B95" s="492" t="str">
        <f>B27</f>
        <v>临街状况</v>
      </c>
      <c r="C95" s="493" t="s">
        <v>2583</v>
      </c>
      <c r="D95" s="493" t="s">
        <v>2584</v>
      </c>
      <c r="E95" s="493" t="s">
        <v>2585</v>
      </c>
      <c r="F95" s="493" t="s">
        <v>2586</v>
      </c>
      <c r="G95" s="493"/>
      <c r="H95" s="493"/>
      <c r="I95" s="493"/>
      <c r="J95" s="493"/>
      <c r="K95" s="494"/>
      <c r="L95" s="495"/>
      <c r="M95" s="496"/>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8"/>
      <c r="B97" s="492" t="s">
        <v>2487</v>
      </c>
      <c r="C97" s="508"/>
      <c r="D97" s="508"/>
      <c r="E97" s="508"/>
      <c r="F97" s="508"/>
      <c r="G97" s="508"/>
      <c r="H97" s="537"/>
      <c r="I97" s="537"/>
      <c r="J97" s="537"/>
      <c r="K97" s="538"/>
      <c r="L97" s="539"/>
      <c r="M97" s="540"/>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8"/>
      <c r="B99" s="492" t="s">
        <v>2546</v>
      </c>
      <c r="C99" s="537"/>
      <c r="D99" s="537"/>
      <c r="E99" s="537"/>
      <c r="F99" s="537"/>
      <c r="G99" s="537"/>
      <c r="H99" s="537"/>
      <c r="I99" s="537"/>
      <c r="J99" s="537"/>
      <c r="K99" s="538"/>
      <c r="L99" s="539"/>
      <c r="M99" s="540"/>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8"/>
      <c r="B101" s="500">
        <f>B31</f>
        <v>111</v>
      </c>
      <c r="C101" s="508"/>
      <c r="D101" s="508"/>
      <c r="E101" s="508"/>
      <c r="F101" s="508"/>
      <c r="G101" s="541"/>
      <c r="H101" s="541"/>
      <c r="I101" s="541"/>
      <c r="J101" s="541"/>
      <c r="K101" s="542"/>
      <c r="L101" s="543"/>
      <c r="M101" s="544"/>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8"/>
      <c r="B102" s="523"/>
      <c r="C102" s="514"/>
      <c r="D102" s="490"/>
      <c r="E102" s="490"/>
      <c r="F102" s="490"/>
      <c r="G102" s="545"/>
      <c r="H102" s="545"/>
      <c r="I102" s="545"/>
      <c r="J102" s="545"/>
      <c r="K102" s="545"/>
      <c r="L102" s="545"/>
      <c r="M102" s="546"/>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8"/>
      <c r="B103" s="492">
        <f>B32</f>
        <v>111</v>
      </c>
      <c r="C103" s="508"/>
      <c r="D103" s="508"/>
      <c r="E103" s="508"/>
      <c r="F103" s="508"/>
      <c r="G103" s="537"/>
      <c r="H103" s="537"/>
      <c r="I103" s="537"/>
      <c r="J103" s="537"/>
      <c r="K103" s="538"/>
      <c r="L103" s="539"/>
      <c r="M103" s="540"/>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8"/>
      <c r="B104" s="497"/>
      <c r="C104" s="514"/>
      <c r="D104" s="514"/>
      <c r="E104" s="514"/>
      <c r="F104" s="514"/>
      <c r="G104" s="490"/>
      <c r="H104" s="490"/>
      <c r="I104" s="490"/>
      <c r="J104" s="490"/>
      <c r="K104" s="490"/>
      <c r="L104" s="490"/>
      <c r="M104" s="491"/>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7" customFormat="1" ht="15" thickTop="1">
      <c r="A105" s="547"/>
      <c r="B105" s="548">
        <f>B33</f>
        <v>111</v>
      </c>
      <c r="C105" s="477"/>
      <c r="D105" s="477"/>
      <c r="E105" s="477"/>
      <c r="F105" s="477"/>
      <c r="G105" s="549"/>
      <c r="H105" s="549"/>
      <c r="I105" s="549"/>
      <c r="J105" s="550"/>
      <c r="K105" s="550"/>
      <c r="L105" s="551"/>
      <c r="M105" s="552"/>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7" customFormat="1" ht="15.75" thickBot="1">
      <c r="A106" s="507"/>
      <c r="B106" s="500"/>
      <c r="C106" s="524"/>
      <c r="D106" s="524"/>
      <c r="E106" s="524"/>
      <c r="F106" s="524"/>
      <c r="G106" s="630"/>
      <c r="H106" s="630"/>
      <c r="I106" s="630"/>
      <c r="J106" s="630"/>
      <c r="K106" s="630"/>
      <c r="L106" s="630"/>
      <c r="M106" s="652"/>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1" t="s">
        <v>2359</v>
      </c>
      <c r="B107" s="482" t="s">
        <v>2587</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8"/>
      <c r="B108" s="500"/>
      <c r="C108" s="549"/>
      <c r="D108" s="549"/>
      <c r="E108" s="549"/>
      <c r="F108" s="549"/>
      <c r="G108" s="549"/>
      <c r="H108" s="549"/>
      <c r="I108" s="549"/>
      <c r="J108" s="550"/>
      <c r="K108" s="550"/>
      <c r="L108" s="551"/>
      <c r="M108" s="552"/>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8"/>
      <c r="B109" s="497"/>
      <c r="C109" s="524"/>
      <c r="D109" s="545"/>
      <c r="E109" s="545"/>
      <c r="F109" s="545"/>
      <c r="G109" s="545"/>
      <c r="H109" s="545"/>
      <c r="I109" s="545"/>
      <c r="J109" s="545"/>
      <c r="K109" s="545"/>
      <c r="L109" s="545"/>
      <c r="M109" s="546"/>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3"/>
      <c r="B110" s="492" t="s">
        <v>2588</v>
      </c>
      <c r="C110" s="537"/>
      <c r="D110" s="537"/>
      <c r="E110" s="537"/>
      <c r="F110" s="537"/>
      <c r="G110" s="537"/>
      <c r="H110" s="537"/>
      <c r="I110" s="537"/>
      <c r="J110" s="537"/>
      <c r="K110" s="538"/>
      <c r="L110" s="539"/>
      <c r="M110" s="540"/>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7" customFormat="1" ht="15" thickTop="1">
      <c r="A112" s="547"/>
      <c r="B112" s="492" t="s">
        <v>2590</v>
      </c>
      <c r="C112" s="508"/>
      <c r="D112" s="508"/>
      <c r="E112" s="508"/>
      <c r="F112" s="508"/>
      <c r="G112" s="508"/>
      <c r="H112" s="537"/>
      <c r="I112" s="537"/>
      <c r="J112" s="537"/>
      <c r="K112" s="538"/>
      <c r="L112" s="539"/>
      <c r="M112" s="540"/>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3"/>
      <c r="B114" s="492" t="s">
        <v>2591</v>
      </c>
      <c r="C114" s="508"/>
      <c r="D114" s="508"/>
      <c r="E114" s="537"/>
      <c r="F114" s="537"/>
      <c r="G114" s="537"/>
      <c r="H114" s="537"/>
      <c r="I114" s="537"/>
      <c r="J114" s="537"/>
      <c r="K114" s="538"/>
      <c r="L114" s="539"/>
      <c r="M114" s="540"/>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3"/>
      <c r="B116" s="492">
        <f>B38</f>
        <v>111</v>
      </c>
      <c r="C116" s="508"/>
      <c r="D116" s="508"/>
      <c r="E116" s="508"/>
      <c r="F116" s="508"/>
      <c r="G116" s="508"/>
      <c r="H116" s="537"/>
      <c r="I116" s="537"/>
      <c r="J116" s="537"/>
      <c r="K116" s="538"/>
      <c r="L116" s="539"/>
      <c r="M116" s="540"/>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8"/>
      <c r="B117" s="497"/>
      <c r="C117" s="514"/>
      <c r="D117" s="490"/>
      <c r="E117" s="490"/>
      <c r="F117" s="490"/>
      <c r="G117" s="490"/>
      <c r="H117" s="490"/>
      <c r="I117" s="490"/>
      <c r="J117" s="490"/>
      <c r="K117" s="490"/>
      <c r="L117" s="490"/>
      <c r="M117" s="491"/>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3"/>
      <c r="B118" s="492">
        <f>B39</f>
        <v>111</v>
      </c>
      <c r="C118" s="508"/>
      <c r="D118" s="508"/>
      <c r="E118" s="508"/>
      <c r="F118" s="508"/>
      <c r="G118" s="537"/>
      <c r="H118" s="537"/>
      <c r="I118" s="537"/>
      <c r="J118" s="537"/>
      <c r="K118" s="538"/>
      <c r="L118" s="539"/>
      <c r="M118" s="540"/>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8"/>
      <c r="B119" s="497"/>
      <c r="C119" s="514"/>
      <c r="D119" s="514"/>
      <c r="E119" s="514"/>
      <c r="F119" s="514"/>
      <c r="G119" s="490"/>
      <c r="H119" s="490"/>
      <c r="I119" s="490"/>
      <c r="J119" s="490"/>
      <c r="K119" s="490"/>
      <c r="L119" s="490"/>
      <c r="M119" s="491"/>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7" customFormat="1" ht="15" thickTop="1">
      <c r="A120" s="547"/>
      <c r="B120" s="492">
        <f>B40</f>
        <v>111</v>
      </c>
      <c r="C120" s="477"/>
      <c r="D120" s="477"/>
      <c r="E120" s="477"/>
      <c r="F120" s="477"/>
      <c r="G120" s="509"/>
      <c r="H120" s="509"/>
      <c r="I120" s="509"/>
      <c r="J120" s="509"/>
      <c r="K120" s="509"/>
      <c r="L120" s="510"/>
      <c r="M120" s="511"/>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7" customFormat="1" ht="15.75" thickBot="1">
      <c r="A121" s="522"/>
      <c r="B121" s="653"/>
      <c r="C121" s="524"/>
      <c r="D121" s="524"/>
      <c r="E121" s="524"/>
      <c r="F121" s="524"/>
      <c r="G121" s="545"/>
      <c r="H121" s="545"/>
      <c r="I121" s="545"/>
      <c r="J121" s="545"/>
      <c r="K121" s="545"/>
      <c r="L121" s="545"/>
      <c r="M121" s="546"/>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875" style="2247" customWidth="1"/>
    <col min="2" max="2" width="19.125" style="2350" customWidth="1"/>
    <col min="3" max="4" width="12" style="2181"/>
    <col min="5" max="5" width="14.625" style="2181" customWidth="1"/>
    <col min="6" max="8" width="12" style="2181"/>
    <col min="9" max="9" width="12.125" style="2181" bestFit="1" customWidth="1"/>
    <col min="10" max="10" width="12" style="2181"/>
    <col min="11" max="11" width="8.125" style="2242" customWidth="1"/>
    <col min="12" max="12" width="12" style="2181"/>
    <col min="13" max="13" width="8.5" style="2181" customWidth="1"/>
    <col min="14" max="14" width="9.8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199" t="s">
        <v>2600</v>
      </c>
      <c r="B1" s="200"/>
      <c r="C1" s="204" t="s">
        <v>2601</v>
      </c>
      <c r="D1" s="345">
        <f>SUM(D29:D30,D33:D39)</f>
        <v>0</v>
      </c>
      <c r="E1" s="2178"/>
      <c r="F1" s="2178"/>
      <c r="G1" s="2178"/>
      <c r="H1" s="2178"/>
      <c r="I1" s="2178"/>
      <c r="J1" s="2178"/>
      <c r="K1" s="1277"/>
      <c r="L1" s="2179" t="s">
        <v>2602</v>
      </c>
      <c r="M1" s="991">
        <f>SUMPRODUCT((区片价!B5:B9=I2)*(区片价!C3:F3=E2)*(区片价!C5:F9))</f>
        <v>0</v>
      </c>
      <c r="N1" s="994">
        <f>SUMPRODUCT((因素修正幅度!B5:B9=I2)*(因素修正幅度!C3:F3=E2)*(因素修正幅度!C5:F9))</f>
        <v>0</v>
      </c>
      <c r="O1" s="2180"/>
      <c r="P1" s="2180"/>
      <c r="Q1" s="1277"/>
      <c r="R1" s="1371" t="s">
        <v>2603</v>
      </c>
      <c r="S1" s="1371" t="s">
        <v>2604</v>
      </c>
      <c r="T1" s="1371" t="s">
        <v>2605</v>
      </c>
      <c r="U1" s="1371" t="s">
        <v>2606</v>
      </c>
      <c r="V1" s="1371" t="s">
        <v>2607</v>
      </c>
      <c r="W1" s="1375"/>
      <c r="X1" s="1375"/>
      <c r="Y1" s="1375"/>
      <c r="Z1" s="1375"/>
      <c r="AA1" s="1375"/>
      <c r="AB1" s="1375"/>
      <c r="AC1" s="1376"/>
      <c r="AD1" s="1377"/>
      <c r="AE1" s="1377"/>
      <c r="AF1" s="1377"/>
      <c r="AG1" s="1377"/>
      <c r="AH1" s="1377"/>
      <c r="AI1" s="1377"/>
      <c r="AJ1" s="1378"/>
    </row>
    <row r="2" spans="1:36" ht="15.75">
      <c r="A2" s="204" t="s">
        <v>2608</v>
      </c>
      <c r="B2" s="207" t="e">
        <f>C26</f>
        <v>#DIV/0!</v>
      </c>
      <c r="C2" s="2182" t="s">
        <v>2609</v>
      </c>
      <c r="D2" s="2183" t="s">
        <v>2610</v>
      </c>
      <c r="E2" s="2184"/>
      <c r="F2" s="2183" t="s">
        <v>2611</v>
      </c>
      <c r="G2" s="2185">
        <f>IF(E2="商业",项目基本情况!B37,IF(E2="办公",项目基本情况!C37,IF(E2="住宅",项目基本情况!D37,项目基本情况!E37)))</f>
        <v>0</v>
      </c>
      <c r="H2" s="2183" t="s">
        <v>2612</v>
      </c>
      <c r="I2" s="2185">
        <f>IF(E2="商业",项目基本情况!B38,IF(E2="办公",项目基本情况!C38,IF(E2="住宅",项目基本情况!D38,项目基本情况!E38)))</f>
        <v>0</v>
      </c>
      <c r="J2" s="2186"/>
      <c r="K2" s="1277"/>
      <c r="L2" s="2187" t="s">
        <v>2613</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2614</v>
      </c>
      <c r="B3" s="207" t="e">
        <f>ROUND(B2*10000/D1,0)</f>
        <v>#DIV/0!</v>
      </c>
      <c r="C3" s="2182" t="s">
        <v>2615</v>
      </c>
      <c r="D3" s="2183" t="s">
        <v>2616</v>
      </c>
      <c r="E3" s="2188"/>
      <c r="F3" s="2189" t="s">
        <v>2617</v>
      </c>
      <c r="G3" s="852">
        <f>IF(F3="宗地容积率",'数据-汇总表'!I4,IF(F3="估价对象容积率",'数据-汇总表'!I6,'数据-汇总表'!I7))</f>
        <v>0.97</v>
      </c>
      <c r="H3" s="172" t="s">
        <v>2618</v>
      </c>
      <c r="I3" s="878"/>
      <c r="J3" s="2186" t="s">
        <v>2619</v>
      </c>
      <c r="K3" s="1277"/>
      <c r="L3" s="2187" t="s">
        <v>2620</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420"/>
      <c r="B4" s="3421"/>
      <c r="C4" s="3421"/>
      <c r="D4" s="3422"/>
      <c r="E4" s="3422"/>
      <c r="F4" s="3422"/>
      <c r="G4" s="3422"/>
      <c r="H4" s="3422"/>
      <c r="I4" s="3422"/>
      <c r="J4" s="3423"/>
      <c r="K4" s="1277"/>
      <c r="L4" s="2187" t="s">
        <v>2621</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9" customFormat="1" ht="15.75" thickBot="1">
      <c r="A5" s="2190" t="s">
        <v>784</v>
      </c>
      <c r="B5" s="2191" t="s">
        <v>2622</v>
      </c>
      <c r="C5" s="853" t="e">
        <f>ROUND(IF(E2="商业",C6*C7+C16,(IF(E2="住宅",C6*C12+C16,C6+C16))),0)</f>
        <v>#DIV/0!</v>
      </c>
      <c r="D5" s="1521" t="e">
        <f>ROUND(C6+C16,0)</f>
        <v>#DIV/0!</v>
      </c>
      <c r="E5" s="1521"/>
      <c r="F5" s="2192"/>
      <c r="G5" s="2193"/>
      <c r="H5" s="2193"/>
      <c r="I5" s="2193"/>
      <c r="J5" s="2194"/>
      <c r="K5" s="2195"/>
      <c r="L5" s="2187" t="s">
        <v>2623</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6"/>
      <c r="AD5" s="2197"/>
      <c r="AE5" s="2197"/>
      <c r="AF5" s="2197"/>
      <c r="AG5" s="2197"/>
      <c r="AH5" s="2197"/>
      <c r="AI5" s="2197"/>
      <c r="AJ5" s="2198"/>
    </row>
    <row r="6" spans="1:36" ht="15.75" thickBot="1">
      <c r="A6" s="2200" t="s">
        <v>2624</v>
      </c>
      <c r="B6" s="2201" t="s">
        <v>2625</v>
      </c>
      <c r="C6" s="854">
        <f>SUMIF(L1:L12,G2,M1:M12)</f>
        <v>0</v>
      </c>
      <c r="D6" s="2202" t="s">
        <v>2626</v>
      </c>
      <c r="E6" s="2203"/>
      <c r="F6" s="2203"/>
      <c r="G6" s="2204"/>
      <c r="H6" s="2204"/>
      <c r="I6" s="2204"/>
      <c r="J6" s="2205"/>
      <c r="K6" s="1566"/>
      <c r="L6" s="2187" t="s">
        <v>2627</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6"/>
      <c r="AD6" s="2197"/>
      <c r="AE6" s="2197"/>
      <c r="AF6" s="2197"/>
      <c r="AG6" s="2197"/>
      <c r="AH6" s="2197"/>
      <c r="AI6" s="2197"/>
      <c r="AJ6" s="2198"/>
    </row>
    <row r="7" spans="1:36" ht="24">
      <c r="A7" s="3401" t="str">
        <f>IF(E2="商业",IF(C8="不临58条商业街","",2),"")</f>
        <v/>
      </c>
      <c r="B7" s="2206" t="s">
        <v>2628</v>
      </c>
      <c r="C7" s="855" t="e">
        <f>IF(C8="不临58条商业街",1,ROUND(1+(1.6*E8+1.2*E9+0.8*E10+0.4*E11)*C9,4))</f>
        <v>#DIV/0!</v>
      </c>
      <c r="D7" s="2207" t="s">
        <v>2629</v>
      </c>
      <c r="E7" s="879"/>
      <c r="F7" s="2208"/>
      <c r="G7" s="2209"/>
      <c r="H7" s="2209"/>
      <c r="I7" s="2209"/>
      <c r="J7" s="2210"/>
      <c r="K7" s="1566"/>
      <c r="L7" s="2187" t="s">
        <v>2630</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v>
      </c>
      <c r="T7" s="1371" t="e">
        <f t="shared" si="0"/>
        <v>#DIV/0!</v>
      </c>
      <c r="U7" s="1372"/>
      <c r="V7" s="1371" t="e">
        <f t="shared" si="1"/>
        <v>#DIV/0!</v>
      </c>
      <c r="W7" s="1540" t="s">
        <v>2631</v>
      </c>
      <c r="X7" s="1373">
        <f>G2</f>
        <v>0</v>
      </c>
      <c r="Y7" s="1373" t="s">
        <v>2632</v>
      </c>
      <c r="Z7" s="1374">
        <f>G3</f>
        <v>0.97</v>
      </c>
      <c r="AA7" s="1375"/>
      <c r="AB7" s="1375"/>
      <c r="AC7" s="1376"/>
      <c r="AD7" s="1377"/>
      <c r="AE7" s="1377"/>
      <c r="AF7" s="1377"/>
      <c r="AG7" s="1377"/>
      <c r="AH7" s="1377"/>
      <c r="AI7" s="1377"/>
      <c r="AJ7" s="1378"/>
    </row>
    <row r="8" spans="1:36" ht="15">
      <c r="A8" s="3424"/>
      <c r="B8" s="172" t="s">
        <v>2633</v>
      </c>
      <c r="C8" s="2211"/>
      <c r="D8" s="856" t="s">
        <v>116</v>
      </c>
      <c r="E8" s="857" t="e">
        <f>ROUND(C11/E7,4)</f>
        <v>#DIV/0!</v>
      </c>
      <c r="F8" s="2212" t="s">
        <v>2634</v>
      </c>
      <c r="G8" s="2213"/>
      <c r="H8" s="2213"/>
      <c r="I8" s="2213"/>
      <c r="J8" s="2214"/>
      <c r="K8" s="1277"/>
      <c r="L8" s="2187" t="s">
        <v>2635</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417" t="s">
        <v>2636</v>
      </c>
      <c r="X8" s="3418"/>
      <c r="Y8" s="1379" t="s">
        <v>2637</v>
      </c>
      <c r="Z8" s="1379" t="s">
        <v>2638</v>
      </c>
      <c r="AA8" s="1379" t="s">
        <v>2639</v>
      </c>
      <c r="AB8" s="1379" t="s">
        <v>2640</v>
      </c>
      <c r="AC8" s="1379" t="s">
        <v>2641</v>
      </c>
      <c r="AD8" s="1379" t="s">
        <v>2642</v>
      </c>
      <c r="AE8" s="1379" t="s">
        <v>2643</v>
      </c>
      <c r="AF8" s="1379" t="s">
        <v>2644</v>
      </c>
      <c r="AG8" s="1379" t="s">
        <v>2645</v>
      </c>
      <c r="AH8" s="1379" t="s">
        <v>2646</v>
      </c>
      <c r="AI8" s="1379" t="s">
        <v>2647</v>
      </c>
      <c r="AJ8" s="1379" t="s">
        <v>2648</v>
      </c>
    </row>
    <row r="9" spans="1:36" ht="15">
      <c r="A9" s="3424"/>
      <c r="B9" s="172" t="s">
        <v>2649</v>
      </c>
      <c r="C9" s="858">
        <f>SUMIF(修正!C59:C119,C8,修正!E59:E119)</f>
        <v>0</v>
      </c>
      <c r="D9" s="173" t="s">
        <v>117</v>
      </c>
      <c r="E9" s="173" t="e">
        <f>ROUND(C11/E7,4)</f>
        <v>#DIV/0!</v>
      </c>
      <c r="F9" s="2212" t="s">
        <v>2650</v>
      </c>
      <c r="G9" s="2213"/>
      <c r="H9" s="2213"/>
      <c r="I9" s="2213"/>
      <c r="J9" s="2214"/>
      <c r="K9" s="1277"/>
      <c r="L9" s="2187" t="s">
        <v>2651</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419" t="s">
        <v>2652</v>
      </c>
      <c r="X9" s="1380" t="s">
        <v>2653</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24"/>
      <c r="B10" s="172" t="s">
        <v>2654</v>
      </c>
      <c r="C10" s="173">
        <f>SUMIF(修正!C59:C119,C8,修正!F59:F119)</f>
        <v>0</v>
      </c>
      <c r="D10" s="173" t="s">
        <v>118</v>
      </c>
      <c r="E10" s="173" t="e">
        <f>ROUND(C11/E7,4)</f>
        <v>#DIV/0!</v>
      </c>
      <c r="F10" s="2212" t="s">
        <v>2655</v>
      </c>
      <c r="G10" s="2213"/>
      <c r="H10" s="2213"/>
      <c r="I10" s="2213"/>
      <c r="J10" s="2214"/>
      <c r="K10" s="1277"/>
      <c r="L10" s="2187" t="s">
        <v>2656</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41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24"/>
      <c r="B11" s="2215" t="s">
        <v>2657</v>
      </c>
      <c r="C11" s="859">
        <f>C10/4</f>
        <v>0</v>
      </c>
      <c r="D11" s="859" t="s">
        <v>119</v>
      </c>
      <c r="E11" s="859" t="e">
        <f>ROUND(C11/E7,4)</f>
        <v>#DIV/0!</v>
      </c>
      <c r="F11" s="2216" t="s">
        <v>2658</v>
      </c>
      <c r="G11" s="2217"/>
      <c r="H11" s="2217"/>
      <c r="I11" s="2217"/>
      <c r="J11" s="2218"/>
      <c r="K11" s="1277"/>
      <c r="L11" s="2187" t="s">
        <v>2659</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419" t="s">
        <v>2660</v>
      </c>
      <c r="X11" s="1383" t="s">
        <v>2661</v>
      </c>
      <c r="Y11" s="1384">
        <f>$G$3</f>
        <v>0.97</v>
      </c>
      <c r="Z11" s="1384">
        <f t="shared" ref="Z11:AJ11" si="3">$G$3</f>
        <v>0.97</v>
      </c>
      <c r="AA11" s="1384">
        <f t="shared" si="3"/>
        <v>0.97</v>
      </c>
      <c r="AB11" s="1384">
        <f t="shared" si="3"/>
        <v>0.97</v>
      </c>
      <c r="AC11" s="1384">
        <f t="shared" si="3"/>
        <v>0.97</v>
      </c>
      <c r="AD11" s="1384">
        <f t="shared" si="3"/>
        <v>0.97</v>
      </c>
      <c r="AE11" s="1384">
        <f t="shared" si="3"/>
        <v>0.97</v>
      </c>
      <c r="AF11" s="1384">
        <f t="shared" si="3"/>
        <v>0.97</v>
      </c>
      <c r="AG11" s="1384">
        <f t="shared" si="3"/>
        <v>0.97</v>
      </c>
      <c r="AH11" s="1384">
        <f t="shared" si="3"/>
        <v>0.97</v>
      </c>
      <c r="AI11" s="1384">
        <f t="shared" si="3"/>
        <v>0.97</v>
      </c>
      <c r="AJ11" s="1384">
        <f t="shared" si="3"/>
        <v>0.97</v>
      </c>
    </row>
    <row r="12" spans="1:36" ht="25.5" thickBot="1">
      <c r="A12" s="3401" t="s">
        <v>2662</v>
      </c>
      <c r="B12" s="2219" t="s">
        <v>2663</v>
      </c>
      <c r="C12" s="855">
        <f>ROUND(C15*D15*E15*F15*G15*H15*I15*J15,4)</f>
        <v>1</v>
      </c>
      <c r="D12" s="2220" t="s">
        <v>2664</v>
      </c>
      <c r="E12" s="2221"/>
      <c r="F12" s="2221"/>
      <c r="G12" s="2222"/>
      <c r="H12" s="2222"/>
      <c r="I12" s="2222"/>
      <c r="J12" s="2223"/>
      <c r="K12" s="1277"/>
      <c r="L12" s="2224" t="s">
        <v>2665</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419"/>
      <c r="X12" s="1385" t="s">
        <v>2666</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25"/>
      <c r="B13" s="2225" t="s">
        <v>2667</v>
      </c>
      <c r="C13" s="2226" t="s">
        <v>2668</v>
      </c>
      <c r="D13" s="1532" t="s">
        <v>2669</v>
      </c>
      <c r="E13" s="1532" t="s">
        <v>2670</v>
      </c>
      <c r="F13" s="27" t="s">
        <v>2671</v>
      </c>
      <c r="G13" s="2227" t="s">
        <v>2672</v>
      </c>
      <c r="H13" s="2227" t="s">
        <v>2672</v>
      </c>
      <c r="I13" s="2227" t="s">
        <v>2672</v>
      </c>
      <c r="J13" s="2228" t="s">
        <v>2672</v>
      </c>
      <c r="K13" s="1277"/>
      <c r="L13" s="1277"/>
      <c r="M13" s="1277"/>
      <c r="N13" s="1277"/>
      <c r="O13" s="1277"/>
      <c r="P13" s="1277"/>
      <c r="Q13" s="1277"/>
      <c r="R13" s="1371">
        <v>12</v>
      </c>
      <c r="S13" s="1372"/>
      <c r="T13" s="1371" t="e">
        <f t="shared" si="0"/>
        <v>#DIV/0!</v>
      </c>
      <c r="U13" s="1372"/>
      <c r="V13" s="1371" t="e">
        <f t="shared" si="1"/>
        <v>#DIV/0!</v>
      </c>
      <c r="W13" s="3419"/>
      <c r="X13" s="1385"/>
      <c r="Y13" s="1382">
        <f>(-0.163*(Y12^2)-0.59*Y12+7617)*(10^(-4))/Y11</f>
        <v>0.78525773195876292</v>
      </c>
      <c r="Z13" s="1382">
        <f t="shared" ref="Z13:AJ13" si="5">(-0.163*(Z12^2)-0.59*Z12+7617)*(10^(-4))/Z11</f>
        <v>0.78525773195876292</v>
      </c>
      <c r="AA13" s="1382">
        <f t="shared" si="5"/>
        <v>0.78525773195876292</v>
      </c>
      <c r="AB13" s="1382">
        <f t="shared" si="5"/>
        <v>0.78525773195876292</v>
      </c>
      <c r="AC13" s="1382">
        <f t="shared" si="5"/>
        <v>0.78525773195876292</v>
      </c>
      <c r="AD13" s="1382">
        <f t="shared" si="5"/>
        <v>0.78525773195876292</v>
      </c>
      <c r="AE13" s="1382">
        <f t="shared" si="5"/>
        <v>0.78525773195876292</v>
      </c>
      <c r="AF13" s="1382">
        <f t="shared" si="5"/>
        <v>0.78525773195876292</v>
      </c>
      <c r="AG13" s="1382">
        <f t="shared" si="5"/>
        <v>0.78525773195876292</v>
      </c>
      <c r="AH13" s="1382">
        <f t="shared" si="5"/>
        <v>0.78525773195876292</v>
      </c>
      <c r="AI13" s="1382">
        <f t="shared" si="5"/>
        <v>0.78525773195876292</v>
      </c>
      <c r="AJ13" s="1382">
        <f t="shared" si="5"/>
        <v>0.78525773195876292</v>
      </c>
    </row>
    <row r="14" spans="1:36" ht="15">
      <c r="A14" s="3425"/>
      <c r="B14" s="2229"/>
      <c r="C14" s="2230"/>
      <c r="D14" s="2231"/>
      <c r="E14" s="2231"/>
      <c r="F14" s="2232"/>
      <c r="G14" s="2233" t="s">
        <v>2673</v>
      </c>
      <c r="H14" s="2234"/>
      <c r="I14" s="2235"/>
      <c r="J14" s="2236"/>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7"/>
      <c r="AE14" s="3017"/>
      <c r="AF14" s="3017"/>
      <c r="AG14" s="3017"/>
      <c r="AH14" s="3017"/>
      <c r="AI14" s="3017"/>
      <c r="AJ14" s="3018"/>
    </row>
    <row r="15" spans="1:36" ht="15.75" thickBot="1">
      <c r="A15" s="3426"/>
      <c r="B15" s="2237" t="s">
        <v>2674</v>
      </c>
      <c r="C15" s="190">
        <f>IF(C14="有",1.1,1)</f>
        <v>1</v>
      </c>
      <c r="D15" s="190">
        <f>IF(D14="有",1.1,1)</f>
        <v>1</v>
      </c>
      <c r="E15" s="190">
        <f>IF(E14="有",1.1,1)</f>
        <v>1</v>
      </c>
      <c r="F15" s="190">
        <f>IF(F14="500米范围内",1.2,IF(F14="500-1000米",1.1,1))</f>
        <v>1</v>
      </c>
      <c r="G15" s="880">
        <v>1</v>
      </c>
      <c r="H15" s="880">
        <v>1</v>
      </c>
      <c r="I15" s="880">
        <v>1</v>
      </c>
      <c r="J15" s="881">
        <v>1</v>
      </c>
      <c r="K15" s="1277"/>
      <c r="L15" s="2180"/>
      <c r="M15" s="2180"/>
      <c r="N15" s="2180"/>
      <c r="O15" s="2180"/>
      <c r="P15" s="2180"/>
      <c r="Q15" s="1277"/>
      <c r="R15" s="1371">
        <v>14</v>
      </c>
      <c r="S15" s="1372"/>
      <c r="T15" s="1371" t="e">
        <f t="shared" si="0"/>
        <v>#DIV/0!</v>
      </c>
      <c r="U15" s="1372"/>
      <c r="V15" s="1371" t="e">
        <f t="shared" si="1"/>
        <v>#DIV/0!</v>
      </c>
      <c r="W15" s="1375"/>
      <c r="X15" s="1375"/>
      <c r="Y15" s="1375"/>
      <c r="Z15" s="1375"/>
      <c r="AA15" s="1375"/>
      <c r="AB15" s="1375"/>
      <c r="AC15" s="1376"/>
      <c r="AD15" s="3017"/>
      <c r="AE15" s="3017"/>
      <c r="AF15" s="3017"/>
      <c r="AG15" s="3017"/>
      <c r="AH15" s="3017"/>
      <c r="AI15" s="3017"/>
      <c r="AJ15" s="3018"/>
    </row>
    <row r="16" spans="1:36" ht="24.6" customHeight="1">
      <c r="A16" s="3401" t="s">
        <v>2679</v>
      </c>
      <c r="B16" s="2206" t="s">
        <v>2680</v>
      </c>
      <c r="C16" s="2368" t="e">
        <f>ROUND(IF(F17="与级别开发程度一致",0,(G17-E17)/C17),0)</f>
        <v>#DIV/0!</v>
      </c>
      <c r="D16" s="3414" t="s">
        <v>2684</v>
      </c>
      <c r="E16" s="3415"/>
      <c r="F16" s="3414" t="s">
        <v>2681</v>
      </c>
      <c r="G16" s="3415"/>
      <c r="H16" s="2238"/>
      <c r="I16" s="2238"/>
      <c r="J16" s="2372"/>
      <c r="K16" s="2238"/>
      <c r="L16" s="2238"/>
      <c r="M16" s="2238"/>
      <c r="N16" s="2238"/>
      <c r="O16" s="2239"/>
      <c r="P16" s="2180"/>
      <c r="Q16" s="1277"/>
      <c r="R16" s="1371">
        <v>15</v>
      </c>
      <c r="S16" s="1372"/>
      <c r="T16" s="1371" t="e">
        <f t="shared" si="0"/>
        <v>#DIV/0!</v>
      </c>
      <c r="U16" s="1372"/>
      <c r="V16" s="1371" t="e">
        <f t="shared" si="1"/>
        <v>#DIV/0!</v>
      </c>
      <c r="W16" s="1375"/>
      <c r="X16" s="1375"/>
      <c r="Y16" s="1375"/>
      <c r="Z16" s="1375"/>
      <c r="AA16" s="1375"/>
      <c r="AB16" s="1375"/>
      <c r="AC16" s="1376"/>
      <c r="AD16" s="3017"/>
      <c r="AE16" s="3017"/>
      <c r="AF16" s="3017"/>
      <c r="AG16" s="3017"/>
      <c r="AH16" s="3017"/>
      <c r="AI16" s="3017"/>
      <c r="AJ16" s="3018"/>
    </row>
    <row r="17" spans="1:37" ht="13.5" thickBot="1">
      <c r="A17" s="3402"/>
      <c r="B17" s="2379" t="s">
        <v>2683</v>
      </c>
      <c r="C17" s="2380">
        <f>SUMPRODUCT((修正!A2:A5=E2)*(修正!B1:M1=G2)*(修正!B2:M5))</f>
        <v>0</v>
      </c>
      <c r="D17" s="190" t="str">
        <f>IF(OR(G2="八级",G2="九级",G2="十级",G2="十一级",G2="十二级"),"五通一平","七通一平")</f>
        <v>七通一平</v>
      </c>
      <c r="E17" s="2369">
        <f>SUMPRODUCT((修正!B1:M1=G2)*(修正!B15:M15))</f>
        <v>0</v>
      </c>
      <c r="F17" s="2370"/>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785</v>
      </c>
      <c r="B18" s="2374" t="s">
        <v>2686</v>
      </c>
      <c r="C18" s="2375">
        <f>SUMIF(修正!C18:C39,E3,修正!E18:E39)</f>
        <v>0</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7.75" thickBot="1">
      <c r="A19" s="2243" t="s">
        <v>786</v>
      </c>
      <c r="B19" s="2244" t="s">
        <v>2687</v>
      </c>
      <c r="C19" s="860" t="e">
        <f>ROUND(IF(H19="按公示增长率计算",SUMPRODUCT((地价!A3:A33=YEAR(G19)&amp;"-"&amp;ROUNDUP(MONTH(G19)/3,0))*(地价!X2:AB2=E2)*(地价!X3:AB33)),IF(H19="地价指数",M20/M19,(1+I19)^O19)),4)</f>
        <v>#VALUE!</v>
      </c>
      <c r="D19" s="2248" t="s">
        <v>2688</v>
      </c>
      <c r="E19" s="861">
        <v>41640</v>
      </c>
      <c r="F19" s="2248" t="s">
        <v>2689</v>
      </c>
      <c r="G19" s="862">
        <f>'数据-取费表'!B2</f>
        <v>44236</v>
      </c>
      <c r="H19" s="2249"/>
      <c r="I19" s="863" t="str">
        <f>IF(H19="季度增幅（自定义）",SUMIF(N21:N24,E2,O21:O24),"")</f>
        <v/>
      </c>
      <c r="J19" s="2246"/>
      <c r="K19" s="1284"/>
      <c r="L19" s="2250" t="s">
        <v>2690</v>
      </c>
      <c r="M19" s="1494">
        <f>ROUND(SUMIF(地价!B2:F2,E2,地价!B33:F33),0)</f>
        <v>0</v>
      </c>
      <c r="N19" s="2251" t="s">
        <v>2691</v>
      </c>
      <c r="O19" s="864">
        <f>ROUNDDOWN(DATEDIF(E19,G19,"M")/3,0)</f>
        <v>28</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787</v>
      </c>
      <c r="B20" s="2254" t="s">
        <v>2692</v>
      </c>
      <c r="C20" s="865" t="e">
        <f>ROUND(POWER(1+G20,J20-I20)*(POWER(1+G20,I20)-1)/(POWER(1+G20,J20)-1),4)</f>
        <v>#DIV/0!</v>
      </c>
      <c r="D20" s="2255" t="s">
        <v>2693</v>
      </c>
      <c r="E20" s="1503">
        <f ca="1">存贷款利率!D4/100</f>
        <v>3.85E-2</v>
      </c>
      <c r="F20" s="2255" t="s">
        <v>2685</v>
      </c>
      <c r="G20" s="870">
        <f>SUMIF(M26:P26,E2,M28:P28)</f>
        <v>0</v>
      </c>
      <c r="H20" s="2255" t="s">
        <v>2694</v>
      </c>
      <c r="I20" s="871" t="e">
        <f>SUMIF('数据-取费表'!C6:C15,E2,'数据-取费表'!F6:F15)/COUNTIF('数据-取费表'!C6:C15,E2)</f>
        <v>#DIV/0!</v>
      </c>
      <c r="J20" s="872">
        <f>IF(E2="住宅",70,IF(E2="商业",40,50))</f>
        <v>50</v>
      </c>
      <c r="K20" s="1284"/>
      <c r="L20" s="2256" t="s">
        <v>2695</v>
      </c>
      <c r="M20" s="1495">
        <f>ROUND(SUMPRODUCT((地价!A4:A33=YEAR(G19)&amp;"-"&amp;ROUNDUP(MONTH(G19)/3,0))*(地价!B2:F2=E2)*(地价!B4:F33)),0)</f>
        <v>0</v>
      </c>
      <c r="N20" s="2257" t="s">
        <v>2696</v>
      </c>
      <c r="O20" s="2258" t="s">
        <v>2697</v>
      </c>
      <c r="P20" s="2259" t="s">
        <v>2698</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788</v>
      </c>
      <c r="B21" s="2261" t="s">
        <v>2699</v>
      </c>
      <c r="C21" s="873">
        <f>IF(B21="容积率修正",IF(G3&lt;=10,D22,J22),C23)</f>
        <v>0</v>
      </c>
      <c r="D21" s="2262"/>
      <c r="E21" s="2262"/>
      <c r="F21" s="2262"/>
      <c r="G21" s="2262"/>
      <c r="H21" s="2262"/>
      <c r="I21" s="2262"/>
      <c r="J21" s="2263"/>
      <c r="K21" s="1284"/>
      <c r="L21" s="3016"/>
      <c r="M21" s="3016"/>
      <c r="N21" s="2264" t="s">
        <v>2700</v>
      </c>
      <c r="O21" s="1332"/>
      <c r="P21" s="1333">
        <f>SUMPRODUCT((地价!A3:A33=YEAR(G19)&amp;"-"&amp;ROUNDUP(MONTH(G19)/3,0))*(地价!AD2:AH2=N21)*(地价!AD3:AH33))</f>
        <v>1.0999999999999999E-2</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2701</v>
      </c>
      <c r="B22" s="2265" t="s">
        <v>2702</v>
      </c>
      <c r="C22" s="1534" t="s">
        <v>2703</v>
      </c>
      <c r="D22" s="1534">
        <f>IF(E22=G22,F22,IF(G3&lt;=10,ROUND(F22+(H22-F22)*(G3-E22)/(G22-E22),4),"——"))</f>
        <v>0</v>
      </c>
      <c r="E22" s="852">
        <f>ROUNDDOWN(G3,1)</f>
        <v>0.9</v>
      </c>
      <c r="F22" s="15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132</v>
      </c>
      <c r="J22" s="874" t="str">
        <f>IF(G3&gt;10,D113,"——")</f>
        <v>——</v>
      </c>
      <c r="K22" s="1284"/>
      <c r="L22" s="3016"/>
      <c r="M22" s="3016"/>
      <c r="N22" s="2264" t="s">
        <v>2704</v>
      </c>
      <c r="O22" s="1332"/>
      <c r="P22" s="1333">
        <f>SUMPRODUCT((地价!A3:A33=YEAR(G19)&amp;"-"&amp;ROUNDUP(MONTH(G19)/3,0))*(地价!AD2:AH2=N22)*(地价!AD3:AH33))</f>
        <v>1.0999999999999999E-2</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2705</v>
      </c>
      <c r="B23" s="2266" t="s">
        <v>2706</v>
      </c>
      <c r="C23" s="947">
        <f>ROUND(IF(G3&gt;1,IF(I3&lt;7,SUMPRODUCT((B93:B98=I3)*(C92:N92=G2)*(C93:N98)),SUMIF(C92:N92,G2,C100:N100)),IF(I3&lt;7,SUMPRODUCT((B102:B107=I3)*(C92:N92=G2)*(C102:N107)),SUMIF(C92:N92,G2,C109:N109))),4)</f>
        <v>0</v>
      </c>
      <c r="D23" s="2234"/>
      <c r="E23" s="2234"/>
      <c r="F23" s="2267"/>
      <c r="G23" s="2268"/>
      <c r="H23" s="2269"/>
      <c r="I23" s="2270"/>
      <c r="J23" s="2271"/>
      <c r="K23" s="1277"/>
      <c r="L23" s="2180"/>
      <c r="M23" s="2180"/>
      <c r="N23" s="2264" t="s">
        <v>2707</v>
      </c>
      <c r="O23" s="1332"/>
      <c r="P23" s="1333">
        <f>SUMPRODUCT((地价!A3:A33=YEAR(G19)&amp;"-"&amp;ROUNDUP(MONTH(G19)/3,0))*(地价!AD2:AH2=N23)*(地价!AD3:AH33))</f>
        <v>1.8499999999999999E-2</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789</v>
      </c>
      <c r="B24" s="2244" t="s">
        <v>2708</v>
      </c>
      <c r="C24" s="860">
        <f>SUMIF(A45:A88,E2,B45:B88)</f>
        <v>0</v>
      </c>
      <c r="D24" s="2245"/>
      <c r="E24" s="2272"/>
      <c r="F24" s="2272"/>
      <c r="G24" s="2272"/>
      <c r="H24" s="2272"/>
      <c r="I24" s="2272"/>
      <c r="J24" s="2273"/>
      <c r="K24" s="1284"/>
      <c r="L24" s="3016"/>
      <c r="M24" s="3016"/>
      <c r="N24" s="2274" t="s">
        <v>2709</v>
      </c>
      <c r="O24" s="1334"/>
      <c r="P24" s="1335">
        <f>SUMPRODUCT((地价!A3:A33=YEAR(G19)&amp;"-"&amp;ROUNDUP(MONTH(G19)/3,0))*(地价!AD2:AH2=N24)*(地价!AD3:AH33))</f>
        <v>1.1900000000000001E-2</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790</v>
      </c>
      <c r="B25" s="2275" t="s">
        <v>2710</v>
      </c>
      <c r="C25" s="866"/>
      <c r="D25" s="2209"/>
      <c r="E25" s="2209"/>
      <c r="F25" s="2276"/>
      <c r="G25" s="2209"/>
      <c r="H25" s="2209"/>
      <c r="I25" s="2209"/>
      <c r="J25" s="2210"/>
      <c r="K25" s="1277"/>
      <c r="L25" s="2180"/>
      <c r="M25" s="2180"/>
      <c r="N25" s="3011" t="s">
        <v>2711</v>
      </c>
      <c r="O25" s="3012"/>
      <c r="P25" s="3013">
        <f>SUMPRODUCT((地价!A3:A33=YEAR(G19)&amp;"-"&amp;ROUNDUP(MONTH(G19)/3,0))*(地价!AD2:AH2=N25)*(地价!AD3:AH33))</f>
        <v>1.6799999999999999E-2</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2712</v>
      </c>
      <c r="C26" s="2539" t="e">
        <f>IF(B21="容积率修正",E29+SUM(E33:E39),SUM(V2:V16)+SUM(E33:E39))</f>
        <v>#DIV/0!</v>
      </c>
      <c r="D26" s="2278"/>
      <c r="E26" s="2234"/>
      <c r="F26" s="2279"/>
      <c r="G26" s="2234"/>
      <c r="H26" s="2234"/>
      <c r="I26" s="2234"/>
      <c r="J26" s="2280"/>
      <c r="K26" s="1277"/>
      <c r="L26" s="3014" t="s">
        <v>2610</v>
      </c>
      <c r="M26" s="2207" t="s">
        <v>2675</v>
      </c>
      <c r="N26" s="2207" t="s">
        <v>2676</v>
      </c>
      <c r="O26" s="2207" t="s">
        <v>2677</v>
      </c>
      <c r="P26" s="3015" t="s">
        <v>2678</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2713</v>
      </c>
      <c r="C27" s="867" t="e">
        <f>E30+SUM(I33:I39)</f>
        <v>#DIV/0!</v>
      </c>
      <c r="D27" s="2282"/>
      <c r="E27" s="2283"/>
      <c r="F27" s="2284"/>
      <c r="G27" s="2283"/>
      <c r="H27" s="2283"/>
      <c r="I27" s="2283"/>
      <c r="J27" s="2285"/>
      <c r="K27" s="1277"/>
      <c r="L27" s="2240" t="s">
        <v>2682</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2714</v>
      </c>
      <c r="C28" s="2288" t="s">
        <v>2715</v>
      </c>
      <c r="D28" s="2288" t="s">
        <v>2716</v>
      </c>
      <c r="E28" s="2289" t="s">
        <v>2717</v>
      </c>
      <c r="F28" s="2290"/>
      <c r="G28" s="2222"/>
      <c r="H28" s="2222"/>
      <c r="I28" s="2222"/>
      <c r="J28" s="2223"/>
      <c r="K28" s="1277"/>
      <c r="L28" s="2241" t="s">
        <v>2685</v>
      </c>
      <c r="M28" s="180">
        <f ca="1">ROUND($E$20*(1+M27),3)</f>
        <v>4.8000000000000001E-2</v>
      </c>
      <c r="N28" s="180">
        <f ca="1">ROUND($E$20*(1+N27),3)</f>
        <v>4.5999999999999999E-2</v>
      </c>
      <c r="O28" s="180">
        <f ca="1">ROUND($E$20*(1+O27),3)</f>
        <v>4.3999999999999997E-2</v>
      </c>
      <c r="P28" s="1280">
        <f ca="1">ROUND($E$20*(1+P27),3)</f>
        <v>4.2000000000000003E-2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2718</v>
      </c>
      <c r="C29" s="177" t="e">
        <f>ROUND(C5*C18*C19*C20*C21*C24,0)</f>
        <v>#DIV/0!</v>
      </c>
      <c r="D29" s="2293"/>
      <c r="E29" s="876" t="e">
        <f>ROUND(C29*D29/10000,0)</f>
        <v>#DIV/0!</v>
      </c>
      <c r="F29" s="2294" t="s">
        <v>2719</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2720</v>
      </c>
      <c r="C30" s="190" t="e">
        <f>ROUND(IF(E2="工业",C29*M39,C29*M38),0)</f>
        <v>#DIV/0!</v>
      </c>
      <c r="D30" s="2299"/>
      <c r="E30" s="876" t="e">
        <f>ROUND(C30*D30/10000,0)</f>
        <v>#DIV/0!</v>
      </c>
      <c r="F30" s="2300" t="s">
        <v>2721</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2722</v>
      </c>
      <c r="C31" s="2305" t="s">
        <v>2723</v>
      </c>
      <c r="D31" s="2222"/>
      <c r="E31" s="2305"/>
      <c r="F31" s="2305"/>
      <c r="G31" s="2220" t="s">
        <v>2724</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5" t="s">
        <v>2715</v>
      </c>
      <c r="D32" s="452" t="s">
        <v>2716</v>
      </c>
      <c r="E32" s="452" t="s">
        <v>2717</v>
      </c>
      <c r="F32" s="345" t="s">
        <v>2725</v>
      </c>
      <c r="G32" s="2308" t="s">
        <v>2715</v>
      </c>
      <c r="H32" s="2308" t="s">
        <v>2716</v>
      </c>
      <c r="I32" s="2308" t="s">
        <v>2717</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411"/>
      <c r="B33" s="2309" t="s">
        <v>2726</v>
      </c>
      <c r="C33" s="177" t="e">
        <f>ROUND(D5*C19*C20*C24*F33,0)</f>
        <v>#DIV/0!</v>
      </c>
      <c r="D33" s="2293"/>
      <c r="E33" s="173" t="e">
        <f>ROUND(C33*D33/10000,0)</f>
        <v>#DIV/0!</v>
      </c>
      <c r="F33" s="173">
        <f>SUMIF(修正!A45:A56,G2,修正!B45:B56)</f>
        <v>0</v>
      </c>
      <c r="G33" s="173" t="e">
        <f t="shared" ref="G33" si="6">ROUND(IF(E2="工业",C33*$M$39,C33*$M$38),0)</f>
        <v>#DIV/0!</v>
      </c>
      <c r="H33" s="173">
        <f>D33</f>
        <v>0</v>
      </c>
      <c r="I33" s="173" t="e">
        <f>ROUND(G33*H33/10000,0)</f>
        <v>#DIV/0!</v>
      </c>
      <c r="J33" s="3416" t="s">
        <v>3032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412"/>
      <c r="B34" s="2226" t="s">
        <v>2727</v>
      </c>
      <c r="C34" s="177" t="e">
        <f>ROUND(D5*C19*C20*C24*F34,0)</f>
        <v>#DIV/0!</v>
      </c>
      <c r="D34" s="2293"/>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41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412"/>
      <c r="B35" s="2226" t="s">
        <v>2728</v>
      </c>
      <c r="C35" s="177" t="e">
        <f>ROUND(D5*C19*C20*C24*F35,0)</f>
        <v>#DIV/0!</v>
      </c>
      <c r="D35" s="2293"/>
      <c r="E35" s="173" t="e">
        <f t="shared" si="7"/>
        <v>#DIV/0!</v>
      </c>
      <c r="F35" s="173">
        <f>SUMIF(修正!A45:A56,G2,修正!D45:D56)</f>
        <v>0</v>
      </c>
      <c r="G35" s="173" t="e">
        <f>ROUND(IF(E2="工业",C35*$M$39,C35*$M$38),0)</f>
        <v>#DIV/0!</v>
      </c>
      <c r="H35" s="173">
        <f t="shared" si="8"/>
        <v>0</v>
      </c>
      <c r="I35" s="173" t="e">
        <f t="shared" si="9"/>
        <v>#DIV/0!</v>
      </c>
      <c r="J35" s="341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413"/>
      <c r="B36" s="2226" t="s">
        <v>2729</v>
      </c>
      <c r="C36" s="177" t="e">
        <f>ROUND(D5*C19*C20*C24*F36,0)</f>
        <v>#DIV/0!</v>
      </c>
      <c r="D36" s="2293"/>
      <c r="E36" s="173" t="e">
        <f t="shared" si="7"/>
        <v>#DIV/0!</v>
      </c>
      <c r="F36" s="173">
        <f>SUMIF(修正!A45:A56,G2,修正!E45:E56)</f>
        <v>0</v>
      </c>
      <c r="G36" s="173" t="e">
        <f>ROUND(IF(E2="工业",C36*$M$39,C36*$M$38),0)</f>
        <v>#DIV/0!</v>
      </c>
      <c r="H36" s="173">
        <f t="shared" si="8"/>
        <v>0</v>
      </c>
      <c r="I36" s="173" t="e">
        <f t="shared" si="9"/>
        <v>#DIV/0!</v>
      </c>
      <c r="J36" s="3413"/>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2730</v>
      </c>
      <c r="C37" s="173" t="e">
        <f>ROUND(D5*C19*C20*C24*F37,0)</f>
        <v>#DIV/0!</v>
      </c>
      <c r="D37" s="2293"/>
      <c r="E37" s="173" t="e">
        <f t="shared" si="7"/>
        <v>#DIV/0!</v>
      </c>
      <c r="F37" s="177">
        <f>SUMIF(修正!A45:A56,G2,修正!F45:F56)</f>
        <v>0</v>
      </c>
      <c r="G37" s="173" t="e">
        <f>ROUND(IF(E2="工业",C37*$M$39,C37*$M$38),0)</f>
        <v>#DIV/0!</v>
      </c>
      <c r="H37" s="173">
        <f t="shared" si="8"/>
        <v>0</v>
      </c>
      <c r="I37" s="173" t="e">
        <f t="shared" si="9"/>
        <v>#DIV/0!</v>
      </c>
      <c r="J37" s="2310"/>
      <c r="K37" s="1277"/>
      <c r="L37" s="2312" t="s">
        <v>2731</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2732</v>
      </c>
      <c r="C38" s="173" t="e">
        <f>ROUND(D5*C19*C41*C24*F38,0)</f>
        <v>#DIV/0!</v>
      </c>
      <c r="D38" s="2293"/>
      <c r="E38" s="173" t="e">
        <f t="shared" si="7"/>
        <v>#DIV/0!</v>
      </c>
      <c r="F38" s="177">
        <f>SUMIF(修正!A45:A56,G2,修正!G45:G56)</f>
        <v>0</v>
      </c>
      <c r="G38" s="173" t="e">
        <f>ROUND(IF(E2="工业",C38*$M$39,C38*$M$38),0)</f>
        <v>#DIV/0!</v>
      </c>
      <c r="H38" s="173">
        <f t="shared" si="8"/>
        <v>0</v>
      </c>
      <c r="I38" s="173" t="e">
        <f t="shared" si="9"/>
        <v>#DIV/0!</v>
      </c>
      <c r="J38" s="2310"/>
      <c r="K38" s="1277"/>
      <c r="L38" s="1603" t="s">
        <v>2733</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2734</v>
      </c>
      <c r="C39" s="190" t="e">
        <f>ROUND(D5*C19*C41*C24*F39,0)</f>
        <v>#DIV/0!</v>
      </c>
      <c r="D39" s="2299"/>
      <c r="E39" s="190" t="e">
        <f t="shared" si="7"/>
        <v>#DIV/0!</v>
      </c>
      <c r="F39" s="868">
        <f>SUMIF(修正!A45:A56,G2,修正!H45:H56)</f>
        <v>0</v>
      </c>
      <c r="G39" s="190" t="e">
        <f>ROUND(IF(E2="工业",C39*$M$39,C39*$M$38),0)</f>
        <v>#DIV/0!</v>
      </c>
      <c r="H39" s="190">
        <f t="shared" si="8"/>
        <v>0</v>
      </c>
      <c r="I39" s="190" t="e">
        <f t="shared" si="9"/>
        <v>#DIV/0!</v>
      </c>
      <c r="J39" s="2316"/>
      <c r="K39" s="1277"/>
      <c r="L39" s="2317" t="s">
        <v>2678</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2839</v>
      </c>
      <c r="C41" s="345" t="e">
        <f>ROUND(POWER(1+E41,H41-G41)*(POWER(1+E41,G41)-1)/(POWER(1+E41,H41)-1),4)</f>
        <v>#DIV/0!</v>
      </c>
      <c r="D41" s="173" t="s">
        <v>2685</v>
      </c>
      <c r="E41" s="2366">
        <f>G20</f>
        <v>0</v>
      </c>
      <c r="F41" s="173" t="s">
        <v>2694</v>
      </c>
      <c r="G41" s="186"/>
      <c r="H41" s="173">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2735</v>
      </c>
      <c r="B45" s="2321"/>
      <c r="C45" s="4"/>
      <c r="D45" s="4"/>
      <c r="E45" s="4"/>
      <c r="F45" s="3"/>
      <c r="G45" s="3"/>
      <c r="H45" s="3"/>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2736</v>
      </c>
      <c r="B46" s="2323">
        <f>1+E48</f>
        <v>1</v>
      </c>
      <c r="C46" s="2324"/>
      <c r="D46" s="750"/>
      <c r="E46" s="751"/>
      <c r="F46" s="2325"/>
      <c r="G46" s="3"/>
      <c r="H46" s="4"/>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2737</v>
      </c>
      <c r="B47" s="1533" t="s">
        <v>2738</v>
      </c>
      <c r="C47" s="1533" t="s">
        <v>2739</v>
      </c>
      <c r="D47" s="1533" t="s">
        <v>2740</v>
      </c>
      <c r="E47" s="755" t="s">
        <v>2741</v>
      </c>
      <c r="F47" s="2327" t="s">
        <v>2742</v>
      </c>
      <c r="G47" s="1533" t="s">
        <v>731</v>
      </c>
      <c r="H47" s="2328" t="s">
        <v>2743</v>
      </c>
      <c r="I47" s="1533" t="s">
        <v>2744</v>
      </c>
      <c r="J47" s="557" t="s">
        <v>2393</v>
      </c>
      <c r="K47" s="557" t="s">
        <v>2394</v>
      </c>
      <c r="L47" s="557" t="s">
        <v>2395</v>
      </c>
      <c r="M47" s="557" t="s">
        <v>2396</v>
      </c>
      <c r="N47" s="557" t="s">
        <v>2397</v>
      </c>
      <c r="AA47" s="1278"/>
      <c r="AB47" s="1278"/>
      <c r="AC47" s="1278"/>
      <c r="AD47" s="1278"/>
      <c r="AE47" s="1278"/>
      <c r="AF47" s="1278"/>
      <c r="AG47" s="1278"/>
      <c r="AH47" s="1278"/>
      <c r="AI47" s="1278"/>
      <c r="AJ47" s="1278"/>
      <c r="AK47" s="1278"/>
    </row>
    <row r="48" spans="1:37" s="1277" customFormat="1" ht="38.25">
      <c r="A48" s="2326" t="s">
        <v>2745</v>
      </c>
      <c r="B48" s="2329" t="str">
        <f>估价对象房地状况!C4</f>
        <v>估价对象位于XX商圈，周边商业氛围成熟，人流量大，商业繁华度好</v>
      </c>
      <c r="C48" s="2231"/>
      <c r="D48" s="1193">
        <f t="shared" ref="D48:D56" si="10">SUMIF($J$47:$N$47,C48,J48:N48)</f>
        <v>0</v>
      </c>
      <c r="E48" s="757">
        <f>ROUND(SUM(D48:D56),4)</f>
        <v>0</v>
      </c>
      <c r="F48" s="1997"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6" t="s">
        <v>2746</v>
      </c>
      <c r="B49" s="2330" t="str">
        <f>估价对象房地状况!C18</f>
        <v>估价对象周边道路状况、公共交通通达情况、停车便捷程度，综合评价交通便捷度较好</v>
      </c>
      <c r="C49" s="2231"/>
      <c r="D49" s="1193">
        <f t="shared" si="10"/>
        <v>0</v>
      </c>
      <c r="E49" s="758"/>
      <c r="F49" s="1997"/>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6" t="s">
        <v>2747</v>
      </c>
      <c r="B50" s="2330">
        <f>估价对象房地状况!C19</f>
        <v>0</v>
      </c>
      <c r="C50" s="2231"/>
      <c r="D50" s="1193">
        <f t="shared" si="10"/>
        <v>0</v>
      </c>
      <c r="E50" s="758"/>
      <c r="F50" s="1997"/>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6" t="s">
        <v>2748</v>
      </c>
      <c r="B51" s="2331" t="s">
        <v>2749</v>
      </c>
      <c r="C51" s="2231"/>
      <c r="D51" s="1193">
        <f t="shared" si="10"/>
        <v>0</v>
      </c>
      <c r="E51" s="758"/>
      <c r="F51" s="1997"/>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6" t="s">
        <v>2750</v>
      </c>
      <c r="B52" s="2330">
        <f>估价对象房地状况!C24</f>
        <v>0</v>
      </c>
      <c r="C52" s="2231"/>
      <c r="D52" s="1193">
        <f t="shared" si="10"/>
        <v>0</v>
      </c>
      <c r="E52" s="758"/>
      <c r="F52" s="1997"/>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6" t="s">
        <v>2751</v>
      </c>
      <c r="B53" s="2332" t="s">
        <v>2752</v>
      </c>
      <c r="C53" s="2231"/>
      <c r="D53" s="1193">
        <f t="shared" si="10"/>
        <v>0</v>
      </c>
      <c r="E53" s="758"/>
      <c r="F53" s="1997"/>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3" t="s">
        <v>2753</v>
      </c>
      <c r="B54" s="1492" t="str">
        <f>估价对象房地状况!C21</f>
        <v>估价对象所在区域公共配套设施齐备情况</v>
      </c>
      <c r="C54" s="2231"/>
      <c r="D54" s="1193">
        <f t="shared" si="10"/>
        <v>0</v>
      </c>
      <c r="E54" s="758"/>
      <c r="F54" s="1997"/>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3" t="s">
        <v>2754</v>
      </c>
      <c r="B55" s="2330" t="str">
        <f>估价对象房地状况!C22</f>
        <v>估价对象所在区域基础设施水平</v>
      </c>
      <c r="C55" s="2231"/>
      <c r="D55" s="1193">
        <f t="shared" si="10"/>
        <v>0</v>
      </c>
      <c r="E55" s="758"/>
      <c r="F55" s="1997"/>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4" t="s">
        <v>2755</v>
      </c>
      <c r="B56" s="2335" t="str">
        <f>估价对象房地状况!C20</f>
        <v>区域自然环境：；人文环境；综合评价环境状况一般</v>
      </c>
      <c r="C56" s="2231"/>
      <c r="D56" s="1193">
        <f t="shared" si="10"/>
        <v>0</v>
      </c>
      <c r="E56" s="761"/>
      <c r="F56" s="1997"/>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2" t="s">
        <v>2756</v>
      </c>
      <c r="B57" s="2323">
        <f>1+E59</f>
        <v>1</v>
      </c>
      <c r="C57" s="750"/>
      <c r="D57" s="750"/>
      <c r="E57" s="751"/>
      <c r="F57" s="2325"/>
      <c r="G57" s="3"/>
      <c r="H57" s="3"/>
      <c r="I57" s="3"/>
      <c r="J57" s="4"/>
      <c r="K57" s="4"/>
      <c r="L57" s="4"/>
      <c r="M57" s="4"/>
      <c r="N57" s="4"/>
      <c r="AA57" s="1278"/>
      <c r="AB57" s="1278"/>
      <c r="AC57" s="1278"/>
      <c r="AD57" s="1278"/>
      <c r="AE57" s="1278"/>
      <c r="AF57" s="1278"/>
      <c r="AG57" s="1278"/>
      <c r="AH57" s="1278"/>
      <c r="AI57" s="1278"/>
      <c r="AJ57" s="1278"/>
      <c r="AK57" s="1278"/>
    </row>
    <row r="58" spans="1:37" s="1277" customFormat="1" ht="24.75">
      <c r="A58" s="2326" t="s">
        <v>2737</v>
      </c>
      <c r="B58" s="1533"/>
      <c r="C58" s="1533" t="s">
        <v>2739</v>
      </c>
      <c r="D58" s="1533" t="s">
        <v>2740</v>
      </c>
      <c r="E58" s="755" t="s">
        <v>2741</v>
      </c>
      <c r="F58" s="2327" t="s">
        <v>2757</v>
      </c>
      <c r="G58" s="1533" t="s">
        <v>731</v>
      </c>
      <c r="H58" s="2328" t="s">
        <v>2743</v>
      </c>
      <c r="I58" s="1533" t="s">
        <v>2744</v>
      </c>
      <c r="J58" s="557" t="s">
        <v>2393</v>
      </c>
      <c r="K58" s="557" t="s">
        <v>2394</v>
      </c>
      <c r="L58" s="557" t="s">
        <v>2395</v>
      </c>
      <c r="M58" s="557" t="s">
        <v>2396</v>
      </c>
      <c r="N58" s="557" t="s">
        <v>2397</v>
      </c>
      <c r="AA58" s="1278"/>
      <c r="AB58" s="1278"/>
      <c r="AC58" s="1278"/>
      <c r="AD58" s="1278"/>
      <c r="AE58" s="1278"/>
      <c r="AF58" s="1278"/>
      <c r="AG58" s="1278"/>
      <c r="AH58" s="1278"/>
      <c r="AI58" s="1278"/>
      <c r="AJ58" s="1278"/>
      <c r="AK58" s="1278"/>
    </row>
    <row r="59" spans="1:37" s="1277" customFormat="1" ht="38.25">
      <c r="A59" s="2326" t="s">
        <v>2758</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2746</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2747</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2748</v>
      </c>
      <c r="B62" s="2331" t="s">
        <v>2749</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2750</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2751</v>
      </c>
      <c r="B64" s="2332" t="s">
        <v>2752</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2753</v>
      </c>
      <c r="B65" s="1492"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2754</v>
      </c>
      <c r="B66" s="1492"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2755</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2759</v>
      </c>
      <c r="B68" s="2323">
        <f>1+E70</f>
        <v>1</v>
      </c>
      <c r="C68" s="750"/>
      <c r="D68" s="750"/>
      <c r="E68" s="751"/>
      <c r="F68" s="2325"/>
      <c r="G68" s="3"/>
      <c r="H68" s="3"/>
      <c r="I68" s="3"/>
      <c r="J68" s="4"/>
      <c r="K68" s="4"/>
      <c r="L68" s="4"/>
      <c r="M68" s="4"/>
      <c r="N68" s="4"/>
      <c r="AA68" s="1278"/>
      <c r="AB68" s="1278"/>
      <c r="AC68" s="1278"/>
      <c r="AD68" s="1278"/>
      <c r="AE68" s="1278"/>
      <c r="AF68" s="1278"/>
      <c r="AG68" s="1278"/>
      <c r="AH68" s="1278"/>
      <c r="AI68" s="1278"/>
      <c r="AJ68" s="1278"/>
      <c r="AK68" s="1278"/>
    </row>
    <row r="69" spans="1:37" s="1277" customFormat="1" ht="24.75">
      <c r="A69" s="2326" t="s">
        <v>2737</v>
      </c>
      <c r="B69" s="1533"/>
      <c r="C69" s="1533" t="s">
        <v>2739</v>
      </c>
      <c r="D69" s="1533" t="s">
        <v>2740</v>
      </c>
      <c r="E69" s="755" t="s">
        <v>2741</v>
      </c>
      <c r="F69" s="2327" t="s">
        <v>2757</v>
      </c>
      <c r="G69" s="1533" t="s">
        <v>731</v>
      </c>
      <c r="H69" s="2328" t="s">
        <v>2743</v>
      </c>
      <c r="I69" s="1533" t="s">
        <v>2744</v>
      </c>
      <c r="J69" s="557" t="s">
        <v>2393</v>
      </c>
      <c r="K69" s="557" t="s">
        <v>2394</v>
      </c>
      <c r="L69" s="557" t="s">
        <v>2395</v>
      </c>
      <c r="M69" s="557" t="s">
        <v>2396</v>
      </c>
      <c r="N69" s="557" t="s">
        <v>2397</v>
      </c>
      <c r="AA69" s="1278"/>
      <c r="AB69" s="1278"/>
      <c r="AC69" s="1278"/>
      <c r="AD69" s="1278"/>
      <c r="AE69" s="1278"/>
      <c r="AF69" s="1278"/>
      <c r="AG69" s="1278"/>
      <c r="AH69" s="1278"/>
      <c r="AI69" s="1278"/>
      <c r="AJ69" s="1278"/>
      <c r="AK69" s="1278"/>
    </row>
    <row r="70" spans="1:37" s="1277" customFormat="1" ht="51">
      <c r="A70" s="2326" t="s">
        <v>2760</v>
      </c>
      <c r="B70" s="2329" t="str">
        <f>估价对象房地状况!C15</f>
        <v>估价对象周边居住用地比例、居住小区规模和社区发展完善程度，综合评价居住社区成熟度一般</v>
      </c>
      <c r="C70" s="2231"/>
      <c r="D70" s="1193">
        <f t="shared" ref="D70:D78" si="20">SUMIF($J$69:$N$69,C70,J70:N70)</f>
        <v>0</v>
      </c>
      <c r="E70" s="757">
        <f>ROUND(SUM(D70:D78),4)</f>
        <v>0</v>
      </c>
      <c r="F70" s="1997"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6" t="s">
        <v>2746</v>
      </c>
      <c r="B71" s="2330" t="str">
        <f>估价对象房地状况!C18</f>
        <v>估价对象周边道路状况、公共交通通达情况、停车便捷程度，综合评价交通便捷度较好</v>
      </c>
      <c r="C71" s="2231"/>
      <c r="D71" s="1193">
        <f t="shared" si="20"/>
        <v>0</v>
      </c>
      <c r="E71" s="762"/>
      <c r="F71" s="1997"/>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6" t="s">
        <v>2747</v>
      </c>
      <c r="B72" s="2330">
        <f>估价对象房地状况!C19</f>
        <v>0</v>
      </c>
      <c r="C72" s="2231"/>
      <c r="D72" s="1193">
        <f t="shared" si="20"/>
        <v>0</v>
      </c>
      <c r="E72" s="762"/>
      <c r="F72" s="1997"/>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6" t="s">
        <v>2761</v>
      </c>
      <c r="B73" s="2330">
        <f>估价对象房地状况!C24</f>
        <v>0</v>
      </c>
      <c r="C73" s="2231"/>
      <c r="D73" s="1193">
        <f t="shared" si="20"/>
        <v>0</v>
      </c>
      <c r="E73" s="762"/>
      <c r="F73" s="1997"/>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6" t="s">
        <v>2753</v>
      </c>
      <c r="B74" s="1492" t="str">
        <f>估价对象房地状况!C21</f>
        <v>估价对象所在区域公共配套设施齐备情况</v>
      </c>
      <c r="C74" s="2231"/>
      <c r="D74" s="1193">
        <f t="shared" si="20"/>
        <v>0</v>
      </c>
      <c r="E74" s="762"/>
      <c r="F74" s="1997"/>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6" t="s">
        <v>2754</v>
      </c>
      <c r="B75" s="1492" t="str">
        <f>估价对象房地状况!C22</f>
        <v>估价对象所在区域基础设施水平</v>
      </c>
      <c r="C75" s="2231"/>
      <c r="D75" s="1193">
        <f t="shared" si="20"/>
        <v>0</v>
      </c>
      <c r="E75" s="762"/>
      <c r="F75" s="1997"/>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0" customFormat="1" ht="24">
      <c r="A76" s="2326" t="s">
        <v>2751</v>
      </c>
      <c r="B76" s="2332" t="s">
        <v>2752</v>
      </c>
      <c r="C76" s="2231"/>
      <c r="D76" s="1193">
        <f t="shared" si="20"/>
        <v>0</v>
      </c>
      <c r="E76" s="762"/>
      <c r="F76" s="1997"/>
      <c r="G76" s="1191"/>
      <c r="H76" s="1195" t="str">
        <f t="shared" si="21"/>
        <v>——</v>
      </c>
      <c r="I76" s="756">
        <v>0.05</v>
      </c>
      <c r="J76" s="1192">
        <f t="shared" si="22"/>
        <v>0</v>
      </c>
      <c r="K76" s="1192">
        <f t="shared" si="23"/>
        <v>0</v>
      </c>
      <c r="L76" s="1192">
        <v>0</v>
      </c>
      <c r="M76" s="1192">
        <f t="shared" si="24"/>
        <v>0</v>
      </c>
      <c r="N76" s="1192">
        <f t="shared" si="24"/>
        <v>0</v>
      </c>
      <c r="AA76" s="2337"/>
      <c r="AB76" s="1278"/>
      <c r="AC76" s="1278"/>
      <c r="AD76" s="1278"/>
      <c r="AE76" s="1278"/>
      <c r="AF76" s="1278"/>
      <c r="AG76" s="1278"/>
      <c r="AH76" s="2337"/>
      <c r="AI76" s="2337"/>
      <c r="AJ76" s="2337"/>
      <c r="AK76" s="2337"/>
    </row>
    <row r="77" spans="1:37" ht="38.25">
      <c r="A77" s="2326" t="s">
        <v>2755</v>
      </c>
      <c r="B77" s="2329" t="str">
        <f>估价对象房地状况!C20</f>
        <v>区域自然环境：；人文环境；综合评价环境状况一般</v>
      </c>
      <c r="C77" s="2231"/>
      <c r="D77" s="1193">
        <f t="shared" si="20"/>
        <v>0</v>
      </c>
      <c r="E77" s="762"/>
      <c r="F77" s="1997"/>
      <c r="G77" s="1191"/>
      <c r="H77" s="1195" t="str">
        <f t="shared" si="21"/>
        <v>——</v>
      </c>
      <c r="I77" s="756">
        <v>0.15</v>
      </c>
      <c r="J77" s="1192">
        <f t="shared" si="22"/>
        <v>0</v>
      </c>
      <c r="K77" s="1192">
        <f t="shared" si="23"/>
        <v>0</v>
      </c>
      <c r="L77" s="1192">
        <v>0</v>
      </c>
      <c r="M77" s="1192">
        <f t="shared" si="24"/>
        <v>0</v>
      </c>
      <c r="N77" s="1192">
        <f t="shared" si="24"/>
        <v>0</v>
      </c>
      <c r="Z77" s="2181"/>
      <c r="AA77" s="2247"/>
      <c r="AG77" s="1279"/>
      <c r="AK77" s="2247"/>
    </row>
    <row r="78" spans="1:37" ht="24.75" thickBot="1">
      <c r="A78" s="2334" t="s">
        <v>2762</v>
      </c>
      <c r="B78" s="2338"/>
      <c r="C78" s="2231"/>
      <c r="D78" s="1193">
        <f t="shared" si="20"/>
        <v>0</v>
      </c>
      <c r="E78" s="763"/>
      <c r="F78" s="1997"/>
      <c r="G78" s="1191"/>
      <c r="H78" s="1195" t="str">
        <f t="shared" si="21"/>
        <v>——</v>
      </c>
      <c r="I78" s="760">
        <v>0.04</v>
      </c>
      <c r="J78" s="1192">
        <f t="shared" si="22"/>
        <v>0</v>
      </c>
      <c r="K78" s="1192">
        <f t="shared" si="23"/>
        <v>0</v>
      </c>
      <c r="L78" s="1192">
        <v>0</v>
      </c>
      <c r="M78" s="1192">
        <f t="shared" si="24"/>
        <v>0</v>
      </c>
      <c r="N78" s="1192">
        <f t="shared" si="24"/>
        <v>0</v>
      </c>
      <c r="Z78" s="2181"/>
      <c r="AA78" s="2247"/>
      <c r="AG78" s="1279"/>
      <c r="AK78" s="2247"/>
    </row>
    <row r="79" spans="1:37" ht="15">
      <c r="A79" s="2322" t="s">
        <v>2763</v>
      </c>
      <c r="B79" s="2323">
        <f>1+E81</f>
        <v>1</v>
      </c>
      <c r="C79" s="750"/>
      <c r="D79" s="750"/>
      <c r="E79" s="751"/>
      <c r="F79" s="2325"/>
      <c r="G79" s="3"/>
      <c r="H79" s="3"/>
      <c r="I79" s="3"/>
      <c r="J79" s="4"/>
      <c r="K79" s="4"/>
      <c r="L79" s="4"/>
      <c r="M79" s="4"/>
      <c r="N79" s="4"/>
      <c r="Z79" s="2181"/>
      <c r="AA79" s="2247"/>
      <c r="AG79" s="1279"/>
      <c r="AK79" s="2247"/>
    </row>
    <row r="80" spans="1:37" ht="24.75">
      <c r="A80" s="2326" t="s">
        <v>2737</v>
      </c>
      <c r="B80" s="1533"/>
      <c r="C80" s="1533" t="s">
        <v>2739</v>
      </c>
      <c r="D80" s="1533" t="s">
        <v>2740</v>
      </c>
      <c r="E80" s="755" t="s">
        <v>2741</v>
      </c>
      <c r="F80" s="2327" t="s">
        <v>2757</v>
      </c>
      <c r="G80" s="1533" t="s">
        <v>731</v>
      </c>
      <c r="H80" s="2328" t="s">
        <v>2743</v>
      </c>
      <c r="I80" s="1533" t="s">
        <v>2744</v>
      </c>
      <c r="J80" s="557" t="s">
        <v>2393</v>
      </c>
      <c r="K80" s="557" t="s">
        <v>2394</v>
      </c>
      <c r="L80" s="557" t="s">
        <v>2395</v>
      </c>
      <c r="M80" s="557" t="s">
        <v>2396</v>
      </c>
      <c r="N80" s="557" t="s">
        <v>2397</v>
      </c>
      <c r="Z80" s="2181"/>
      <c r="AA80" s="2247"/>
      <c r="AG80" s="1279"/>
      <c r="AK80" s="2247"/>
    </row>
    <row r="81" spans="1:37" ht="38.25">
      <c r="A81" s="2326" t="s">
        <v>2764</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2746</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2747</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2761</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2753</v>
      </c>
      <c r="B85" s="1492"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2754</v>
      </c>
      <c r="B86" s="1492"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2751</v>
      </c>
      <c r="B87" s="2332" t="s">
        <v>2765</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2766</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403" t="s">
        <v>2767</v>
      </c>
      <c r="B90" s="3403"/>
      <c r="C90" s="3403"/>
      <c r="D90" s="3403"/>
      <c r="E90" s="3403"/>
      <c r="F90" s="3403"/>
      <c r="G90" s="3403"/>
      <c r="H90" s="3403"/>
      <c r="I90" s="3403"/>
      <c r="J90" s="3403"/>
      <c r="K90" s="2340"/>
      <c r="L90" s="2340"/>
      <c r="M90" s="2340"/>
      <c r="N90" s="2340"/>
    </row>
    <row r="91" spans="1:37">
      <c r="A91" s="3405" t="s">
        <v>2768</v>
      </c>
      <c r="B91" s="3405" t="s">
        <v>2769</v>
      </c>
      <c r="C91" s="2294" t="s">
        <v>2770</v>
      </c>
      <c r="D91" s="2295"/>
      <c r="E91" s="2295"/>
      <c r="F91" s="2295"/>
      <c r="G91" s="2295"/>
      <c r="H91" s="2295"/>
      <c r="I91" s="2295"/>
      <c r="J91" s="2341"/>
      <c r="K91" s="2342"/>
      <c r="L91" s="2342"/>
      <c r="M91" s="2342"/>
      <c r="N91" s="2342"/>
    </row>
    <row r="92" spans="1:37">
      <c r="A92" s="3405"/>
      <c r="B92" s="3405"/>
      <c r="C92" s="876" t="s">
        <v>2637</v>
      </c>
      <c r="D92" s="876" t="s">
        <v>2638</v>
      </c>
      <c r="E92" s="876" t="s">
        <v>2639</v>
      </c>
      <c r="F92" s="876" t="s">
        <v>2640</v>
      </c>
      <c r="G92" s="876" t="s">
        <v>2641</v>
      </c>
      <c r="H92" s="876" t="s">
        <v>2642</v>
      </c>
      <c r="I92" s="876" t="s">
        <v>2643</v>
      </c>
      <c r="J92" s="876" t="s">
        <v>2644</v>
      </c>
      <c r="K92" s="876" t="s">
        <v>2645</v>
      </c>
      <c r="L92" s="876" t="s">
        <v>2646</v>
      </c>
      <c r="M92" s="876" t="s">
        <v>2647</v>
      </c>
      <c r="N92" s="876" t="s">
        <v>2648</v>
      </c>
    </row>
    <row r="93" spans="1:37">
      <c r="A93" s="3406" t="s">
        <v>2771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407"/>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407"/>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407"/>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407"/>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407"/>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407"/>
      <c r="B99" s="2343" t="s">
        <v>2653</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408"/>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406" t="s">
        <v>2772</v>
      </c>
      <c r="B101" s="2347" t="s">
        <v>2773</v>
      </c>
      <c r="C101" s="2348">
        <f>$G$3</f>
        <v>0.97</v>
      </c>
      <c r="D101" s="2348">
        <f t="shared" ref="D101:N101" si="31">$G$3</f>
        <v>0.97</v>
      </c>
      <c r="E101" s="2348">
        <f t="shared" si="31"/>
        <v>0.97</v>
      </c>
      <c r="F101" s="2348">
        <f t="shared" si="31"/>
        <v>0.97</v>
      </c>
      <c r="G101" s="2348">
        <f t="shared" si="31"/>
        <v>0.97</v>
      </c>
      <c r="H101" s="2348">
        <f t="shared" si="31"/>
        <v>0.97</v>
      </c>
      <c r="I101" s="2348">
        <f t="shared" si="31"/>
        <v>0.97</v>
      </c>
      <c r="J101" s="2348">
        <f t="shared" si="31"/>
        <v>0.97</v>
      </c>
      <c r="K101" s="2348">
        <f t="shared" si="31"/>
        <v>0.97</v>
      </c>
      <c r="L101" s="2348">
        <f t="shared" si="31"/>
        <v>0.97</v>
      </c>
      <c r="M101" s="2348">
        <f t="shared" si="31"/>
        <v>0.97</v>
      </c>
      <c r="N101" s="2348">
        <f t="shared" si="31"/>
        <v>0.97</v>
      </c>
    </row>
    <row r="102" spans="1:14">
      <c r="A102" s="3407"/>
      <c r="B102" s="2343">
        <v>1</v>
      </c>
      <c r="C102" s="2344">
        <f>1.9362/C101</f>
        <v>1.9960824742268042</v>
      </c>
      <c r="D102" s="2344">
        <f>1.9362/D101</f>
        <v>1.9960824742268042</v>
      </c>
      <c r="E102" s="2344">
        <f>1.8629/E101</f>
        <v>1.9205154639175259</v>
      </c>
      <c r="F102" s="2344">
        <f>1.8629/F101</f>
        <v>1.9205154639175259</v>
      </c>
      <c r="G102" s="2344">
        <f>1.8629/G101</f>
        <v>1.9205154639175259</v>
      </c>
      <c r="H102" s="2344">
        <f>1.8629/H101</f>
        <v>1.9205154639175259</v>
      </c>
      <c r="I102" s="2344">
        <f>1.8629/I101</f>
        <v>1.9205154639175259</v>
      </c>
      <c r="J102" s="2344">
        <f>1.942/J101</f>
        <v>2.0020618556701031</v>
      </c>
      <c r="K102" s="2344">
        <f>1.942/K101</f>
        <v>2.0020618556701031</v>
      </c>
      <c r="L102" s="2344">
        <f>1.942/L101</f>
        <v>2.0020618556701031</v>
      </c>
      <c r="M102" s="2344">
        <f>1.942/M101</f>
        <v>2.0020618556701031</v>
      </c>
      <c r="N102" s="2344">
        <f>1.942/N101</f>
        <v>2.0020618556701031</v>
      </c>
    </row>
    <row r="103" spans="1:14">
      <c r="A103" s="3407"/>
      <c r="B103" s="2343">
        <v>2</v>
      </c>
      <c r="C103" s="2344">
        <f>1.4198/C101</f>
        <v>1.4637113402061857</v>
      </c>
      <c r="D103" s="2344">
        <f>1.4198/D101</f>
        <v>1.4637113402061857</v>
      </c>
      <c r="E103" s="2344">
        <f>1.3372/E101</f>
        <v>1.3785567010309279</v>
      </c>
      <c r="F103" s="2344">
        <f>1.3372/F101</f>
        <v>1.3785567010309279</v>
      </c>
      <c r="G103" s="2344">
        <f>1.3372/G101</f>
        <v>1.3785567010309279</v>
      </c>
      <c r="H103" s="2344">
        <f>1.3372/H101</f>
        <v>1.3785567010309279</v>
      </c>
      <c r="I103" s="2344">
        <f>1.3372/I101</f>
        <v>1.3785567010309279</v>
      </c>
      <c r="J103" s="2344">
        <f>1.2799/J101</f>
        <v>1.3194845360824743</v>
      </c>
      <c r="K103" s="2344">
        <f>1.2799/K101</f>
        <v>1.3194845360824743</v>
      </c>
      <c r="L103" s="2344">
        <f>1.2799/L101</f>
        <v>1.3194845360824743</v>
      </c>
      <c r="M103" s="2344">
        <f>1.2799/M101</f>
        <v>1.3194845360824743</v>
      </c>
      <c r="N103" s="2344">
        <f>1.2799/N101</f>
        <v>1.3194845360824743</v>
      </c>
    </row>
    <row r="104" spans="1:14">
      <c r="A104" s="3407"/>
      <c r="B104" s="2343">
        <v>3</v>
      </c>
      <c r="C104" s="2344">
        <f>1.1594/C101</f>
        <v>1.1952577319587629</v>
      </c>
      <c r="D104" s="2344">
        <f>1.1594/D101</f>
        <v>1.1952577319587629</v>
      </c>
      <c r="E104" s="2344">
        <f>1.0788/E101</f>
        <v>1.1121649484536082</v>
      </c>
      <c r="F104" s="2344">
        <f>1.0788/F101</f>
        <v>1.1121649484536082</v>
      </c>
      <c r="G104" s="2344">
        <f>1.0788/G101</f>
        <v>1.1121649484536082</v>
      </c>
      <c r="H104" s="2344">
        <f>1.0788/H101</f>
        <v>1.1121649484536082</v>
      </c>
      <c r="I104" s="2344">
        <f>1.0788/I101</f>
        <v>1.1121649484536082</v>
      </c>
      <c r="J104" s="2344">
        <f>1.0072/J101</f>
        <v>1.0383505154639177</v>
      </c>
      <c r="K104" s="2344">
        <f>1.0072/K101</f>
        <v>1.0383505154639177</v>
      </c>
      <c r="L104" s="2344">
        <f>1.0072/L101</f>
        <v>1.0383505154639177</v>
      </c>
      <c r="M104" s="2344">
        <f>1.0072/M101</f>
        <v>1.0383505154639177</v>
      </c>
      <c r="N104" s="2344">
        <f>1.0072/N101</f>
        <v>1.0383505154639177</v>
      </c>
    </row>
    <row r="105" spans="1:14">
      <c r="A105" s="3407"/>
      <c r="B105" s="2343">
        <v>4</v>
      </c>
      <c r="C105" s="2344">
        <f>0.9622/C101</f>
        <v>0.99195876288659801</v>
      </c>
      <c r="D105" s="2344">
        <f>0.9622/D101</f>
        <v>0.99195876288659801</v>
      </c>
      <c r="E105" s="2344">
        <f>0.8656/E101</f>
        <v>0.89237113402061863</v>
      </c>
      <c r="F105" s="2344">
        <f>0.8656/F101</f>
        <v>0.89237113402061863</v>
      </c>
      <c r="G105" s="2344">
        <f>0.8656/G101</f>
        <v>0.89237113402061863</v>
      </c>
      <c r="H105" s="2344">
        <f>0.8656/H101</f>
        <v>0.89237113402061863</v>
      </c>
      <c r="I105" s="2344">
        <f>0.8656/I101</f>
        <v>0.89237113402061863</v>
      </c>
      <c r="J105" s="2344">
        <f>0.7525/J101</f>
        <v>0.77577319587628868</v>
      </c>
      <c r="K105" s="2344">
        <f>0.7525/K101</f>
        <v>0.77577319587628868</v>
      </c>
      <c r="L105" s="2344">
        <f>0.7525/L101</f>
        <v>0.77577319587628868</v>
      </c>
      <c r="M105" s="2344">
        <f>0.7525/M101</f>
        <v>0.77577319587628868</v>
      </c>
      <c r="N105" s="2344">
        <f>0.7525/N101</f>
        <v>0.77577319587628868</v>
      </c>
    </row>
    <row r="106" spans="1:14">
      <c r="A106" s="3407"/>
      <c r="B106" s="2343">
        <v>5</v>
      </c>
      <c r="C106" s="2344">
        <f>0.8417/C101</f>
        <v>0.86773195876288667</v>
      </c>
      <c r="D106" s="2344">
        <f>0.8417/D101</f>
        <v>0.86773195876288667</v>
      </c>
      <c r="E106" s="2344">
        <f>0.7371/E101</f>
        <v>0.75989690721649483</v>
      </c>
      <c r="F106" s="2344">
        <f>0.7371/F101</f>
        <v>0.75989690721649483</v>
      </c>
      <c r="G106" s="2344">
        <f>0.7371/G101</f>
        <v>0.75989690721649483</v>
      </c>
      <c r="H106" s="2344">
        <f>0.7371/H101</f>
        <v>0.75989690721649483</v>
      </c>
      <c r="I106" s="2344">
        <f>0.7371/I101</f>
        <v>0.75989690721649483</v>
      </c>
      <c r="J106" s="2344">
        <f>0.5659/J101</f>
        <v>0.58340206185567012</v>
      </c>
      <c r="K106" s="2344">
        <f>0.5659/K101</f>
        <v>0.58340206185567012</v>
      </c>
      <c r="L106" s="2344">
        <f>0.5659/L101</f>
        <v>0.58340206185567012</v>
      </c>
      <c r="M106" s="2344">
        <f>0.5659/M101</f>
        <v>0.58340206185567012</v>
      </c>
      <c r="N106" s="2344">
        <f>0.5659/N101</f>
        <v>0.58340206185567012</v>
      </c>
    </row>
    <row r="107" spans="1:14">
      <c r="A107" s="3407"/>
      <c r="B107" s="2343">
        <v>6</v>
      </c>
      <c r="C107" s="2344">
        <f>0.7608/C101</f>
        <v>0.78432989690721655</v>
      </c>
      <c r="D107" s="2344">
        <f>0.7608/D101</f>
        <v>0.78432989690721655</v>
      </c>
      <c r="E107" s="2344">
        <f>0.6482/E101</f>
        <v>0.66824742268041237</v>
      </c>
      <c r="F107" s="2344">
        <f>0.6482/F101</f>
        <v>0.66824742268041237</v>
      </c>
      <c r="G107" s="2344">
        <f>0.6482/G101</f>
        <v>0.66824742268041237</v>
      </c>
      <c r="H107" s="2344">
        <f>0.6482/H101</f>
        <v>0.66824742268041237</v>
      </c>
      <c r="I107" s="2344">
        <f>0.6482/I101</f>
        <v>0.66824742268041237</v>
      </c>
      <c r="J107" s="2344">
        <f>0.4525/J101</f>
        <v>0.46649484536082475</v>
      </c>
      <c r="K107" s="2344">
        <f>0.4525/K101</f>
        <v>0.46649484536082475</v>
      </c>
      <c r="L107" s="2344">
        <f>0.4525/L101</f>
        <v>0.46649484536082475</v>
      </c>
      <c r="M107" s="2344">
        <f>0.4525/M101</f>
        <v>0.46649484536082475</v>
      </c>
      <c r="N107" s="2344">
        <f>0.4525/N101</f>
        <v>0.46649484536082475</v>
      </c>
    </row>
    <row r="108" spans="1:14">
      <c r="A108" s="3407"/>
      <c r="B108" s="3409" t="s">
        <v>2774</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408"/>
      <c r="B109" s="3410"/>
      <c r="C109" s="2346">
        <f>(-0.163*(C108^2)-0.59*C108+7617)*(10^(-4))/C101</f>
        <v>0.78525773195876292</v>
      </c>
      <c r="D109" s="2346">
        <f>(-0.163*(D108^2)-0.59*D108+7617)*(10^(-4))/D101</f>
        <v>0.78525773195876292</v>
      </c>
      <c r="E109" s="2346">
        <f>(-0.161*(E108^2)-7.509*E108+6533)*(10^(-4))/E101</f>
        <v>0.67350515463917526</v>
      </c>
      <c r="F109" s="2346">
        <f>(-0.161*(F108^2)-7.509*F108+6533)*(10^(-4))/F101</f>
        <v>0.67350515463917526</v>
      </c>
      <c r="G109" s="2346">
        <f>(-0.161*(G108^2)-7.509*G108+6533)*(10^(-4))/G101</f>
        <v>0.67350515463917526</v>
      </c>
      <c r="H109" s="2346">
        <f>(-0.161*(H108^2)-7.509*H108+6533)*(10^(-4))/H101</f>
        <v>0.67350515463917526</v>
      </c>
      <c r="I109" s="2346">
        <f>(-0.161*(I108^2)-7.509*I108+6533)*(10^(-4))/I101</f>
        <v>0.67350515463917526</v>
      </c>
      <c r="J109" s="2346">
        <f>(-0.214*(J108^2)-21.991*J108+4665)*(10^(-4))/J101</f>
        <v>0.4809278350515464</v>
      </c>
      <c r="K109" s="2346">
        <f>(-0.214*(K108^2)-21.991*K108+4665)*(10^(-4))/K101</f>
        <v>0.4809278350515464</v>
      </c>
      <c r="L109" s="2346">
        <f>(-0.214*(L108^2)-21.991*L108+4665)*(10^(-4))/L101</f>
        <v>0.4809278350515464</v>
      </c>
      <c r="M109" s="2346">
        <f>(-0.214*(M108^2)-21.991*M108+4665)*(10^(-4))/M101</f>
        <v>0.4809278350515464</v>
      </c>
      <c r="N109" s="2346">
        <f>(-0.214*(N108^2)-21.991*N108+4665)*(10^(-4))/N101</f>
        <v>0.4809278350515464</v>
      </c>
    </row>
    <row r="110" spans="1:14">
      <c r="A110" s="3404" t="s">
        <v>2775</v>
      </c>
      <c r="B110" s="3404"/>
      <c r="C110" s="3404"/>
      <c r="D110" s="3404"/>
      <c r="E110" s="3404"/>
      <c r="F110" s="3404"/>
      <c r="G110" s="3404"/>
      <c r="H110" s="3404"/>
      <c r="I110" s="3404"/>
      <c r="J110" s="3404"/>
      <c r="K110" s="2349"/>
      <c r="L110" s="2349"/>
      <c r="M110" s="2349"/>
      <c r="N110" s="2349"/>
    </row>
    <row r="112" spans="1:14" ht="13.5" thickBot="1"/>
    <row r="113" spans="1:13" ht="15.75" thickBot="1">
      <c r="A113" s="839" t="s">
        <v>2776</v>
      </c>
      <c r="B113" s="1194">
        <f>G3</f>
        <v>0.97</v>
      </c>
      <c r="C113" s="840" t="s">
        <v>2777</v>
      </c>
      <c r="D113" s="841">
        <f>SUMPRODUCT((A115:A118=F113)*(B114:M114=H113)*B115:M118)</f>
        <v>0</v>
      </c>
      <c r="E113" s="2185" t="s">
        <v>2610</v>
      </c>
      <c r="F113" s="2351">
        <f>E2</f>
        <v>0</v>
      </c>
      <c r="G113" s="2185" t="s">
        <v>2611</v>
      </c>
      <c r="H113" s="2351">
        <f>G2</f>
        <v>0</v>
      </c>
      <c r="I113" s="2185"/>
      <c r="J113" s="2352"/>
      <c r="K113" s="2352"/>
      <c r="L113" s="2352"/>
      <c r="M113" s="2352"/>
    </row>
    <row r="114" spans="1:13">
      <c r="A114" s="844"/>
      <c r="B114" s="2353" t="s">
        <v>2778</v>
      </c>
      <c r="C114" s="2353" t="s">
        <v>2779</v>
      </c>
      <c r="D114" s="2353" t="s">
        <v>2780</v>
      </c>
      <c r="E114" s="2354" t="s">
        <v>2781</v>
      </c>
      <c r="F114" s="2354" t="s">
        <v>2782</v>
      </c>
      <c r="G114" s="2354" t="s">
        <v>2783</v>
      </c>
      <c r="H114" s="2355" t="s">
        <v>2784</v>
      </c>
      <c r="I114" s="2355" t="s">
        <v>2785</v>
      </c>
      <c r="J114" s="2356" t="s">
        <v>2786</v>
      </c>
      <c r="K114" s="2356" t="s">
        <v>2787</v>
      </c>
      <c r="L114" s="2356" t="s">
        <v>2788</v>
      </c>
      <c r="M114" s="2357" t="s">
        <v>2789</v>
      </c>
    </row>
    <row r="115" spans="1:13">
      <c r="A115" s="845" t="s">
        <v>2675</v>
      </c>
      <c r="B115" s="846">
        <f>ROUND(0.9335-0.0094*B113,4)</f>
        <v>0.9244</v>
      </c>
      <c r="C115" s="846">
        <f>B115</f>
        <v>0.9244</v>
      </c>
      <c r="D115" s="846">
        <f>ROUND(0.8331-0.0109*B113,4)</f>
        <v>0.82250000000000001</v>
      </c>
      <c r="E115" s="846">
        <f>D115</f>
        <v>0.82250000000000001</v>
      </c>
      <c r="F115" s="846">
        <f>E115</f>
        <v>0.82250000000000001</v>
      </c>
      <c r="G115" s="846">
        <f>F115</f>
        <v>0.82250000000000001</v>
      </c>
      <c r="H115" s="846">
        <f>G115</f>
        <v>0.82250000000000001</v>
      </c>
      <c r="I115" s="846">
        <f>ROUND(0.689-0.0155*B113,4)</f>
        <v>0.67400000000000004</v>
      </c>
      <c r="J115" s="846">
        <f t="shared" ref="J115:M118" si="33">I115</f>
        <v>0.67400000000000004</v>
      </c>
      <c r="K115" s="846">
        <f t="shared" si="33"/>
        <v>0.67400000000000004</v>
      </c>
      <c r="L115" s="846">
        <f t="shared" si="33"/>
        <v>0.67400000000000004</v>
      </c>
      <c r="M115" s="847">
        <f t="shared" si="33"/>
        <v>0.67400000000000004</v>
      </c>
    </row>
    <row r="116" spans="1:13">
      <c r="A116" s="845" t="s">
        <v>2676</v>
      </c>
      <c r="B116" s="846">
        <f>ROUND(0.949-0.012*B113,4)</f>
        <v>0.93740000000000001</v>
      </c>
      <c r="C116" s="846">
        <f>B116</f>
        <v>0.93740000000000001</v>
      </c>
      <c r="D116" s="846">
        <f>ROUND(0.8567-0.013*B113,4)</f>
        <v>0.84409999999999996</v>
      </c>
      <c r="E116" s="846">
        <f t="shared" ref="E116:H117" si="34">D116</f>
        <v>0.84409999999999996</v>
      </c>
      <c r="F116" s="846">
        <f t="shared" si="34"/>
        <v>0.84409999999999996</v>
      </c>
      <c r="G116" s="846">
        <f t="shared" si="34"/>
        <v>0.84409999999999996</v>
      </c>
      <c r="H116" s="846">
        <f t="shared" si="34"/>
        <v>0.84409999999999996</v>
      </c>
      <c r="I116" s="846">
        <f>ROUND(0.7694-0.014*B113,4)</f>
        <v>0.75580000000000003</v>
      </c>
      <c r="J116" s="846">
        <f t="shared" si="33"/>
        <v>0.75580000000000003</v>
      </c>
      <c r="K116" s="846">
        <f t="shared" si="33"/>
        <v>0.75580000000000003</v>
      </c>
      <c r="L116" s="846">
        <f t="shared" si="33"/>
        <v>0.75580000000000003</v>
      </c>
      <c r="M116" s="847">
        <f t="shared" si="33"/>
        <v>0.75580000000000003</v>
      </c>
    </row>
    <row r="117" spans="1:13">
      <c r="A117" s="845" t="s">
        <v>2677</v>
      </c>
      <c r="B117" s="846">
        <f>ROUND(0.8808-0.006*B113,4)</f>
        <v>0.875</v>
      </c>
      <c r="C117" s="846">
        <f>B117</f>
        <v>0.875</v>
      </c>
      <c r="D117" s="846">
        <f>ROUND(0.8748-0.008*B113,4)</f>
        <v>0.86699999999999999</v>
      </c>
      <c r="E117" s="846">
        <f t="shared" si="34"/>
        <v>0.86699999999999999</v>
      </c>
      <c r="F117" s="846">
        <f t="shared" si="34"/>
        <v>0.86699999999999999</v>
      </c>
      <c r="G117" s="846">
        <f t="shared" si="34"/>
        <v>0.86699999999999999</v>
      </c>
      <c r="H117" s="846">
        <f t="shared" si="34"/>
        <v>0.86699999999999999</v>
      </c>
      <c r="I117" s="846">
        <f>ROUND(0.7412-0.0095*B113,4)</f>
        <v>0.73199999999999998</v>
      </c>
      <c r="J117" s="846">
        <f t="shared" si="33"/>
        <v>0.73199999999999998</v>
      </c>
      <c r="K117" s="846">
        <f t="shared" si="33"/>
        <v>0.73199999999999998</v>
      </c>
      <c r="L117" s="846">
        <f t="shared" si="33"/>
        <v>0.73199999999999998</v>
      </c>
      <c r="M117" s="847">
        <f t="shared" si="33"/>
        <v>0.73199999999999998</v>
      </c>
    </row>
    <row r="118" spans="1:13" ht="13.5" thickBot="1">
      <c r="A118" s="667" t="s">
        <v>2678</v>
      </c>
      <c r="B118" s="848">
        <f>ROUND(0.7275-0.01*B113,4)</f>
        <v>0.71779999999999999</v>
      </c>
      <c r="C118" s="848">
        <f>B118</f>
        <v>0.71779999999999999</v>
      </c>
      <c r="D118" s="848">
        <f>ROUND(0.7043-0.012*B113,4)</f>
        <v>0.69269999999999998</v>
      </c>
      <c r="E118" s="848">
        <f>D118</f>
        <v>0.69269999999999998</v>
      </c>
      <c r="F118" s="848">
        <f>E118</f>
        <v>0.69269999999999998</v>
      </c>
      <c r="G118" s="848">
        <f>ROUND(0.6299-0.0122*B113,4)</f>
        <v>0.61809999999999998</v>
      </c>
      <c r="H118" s="848">
        <f>G118</f>
        <v>0.61809999999999998</v>
      </c>
      <c r="I118" s="848">
        <f>ROUND(0.5667-0.0136*B113,4)</f>
        <v>0.55349999999999999</v>
      </c>
      <c r="J118" s="848">
        <f t="shared" si="33"/>
        <v>0.55349999999999999</v>
      </c>
      <c r="K118" s="848">
        <f t="shared" si="33"/>
        <v>0.55349999999999999</v>
      </c>
      <c r="L118" s="848">
        <f t="shared" si="33"/>
        <v>0.55349999999999999</v>
      </c>
      <c r="M118" s="849">
        <f t="shared" si="33"/>
        <v>0.55349999999999999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752" customWidth="1"/>
    <col min="2" max="9" width="8.125" style="814" customWidth="1"/>
    <col min="10" max="13" width="8.125" style="752"/>
    <col min="14" max="14" width="10" style="752" customWidth="1"/>
    <col min="15" max="16" width="8.125" style="752"/>
    <col min="17" max="17" width="34.125" style="752" customWidth="1"/>
    <col min="18" max="18" width="8.125" style="752" customWidth="1"/>
    <col min="19" max="19" width="8.125" style="752"/>
    <col min="20" max="20" width="11.625" style="752" customWidth="1"/>
    <col min="21" max="16384" width="8.125" style="752"/>
  </cols>
  <sheetData>
    <row r="1" spans="1:13" ht="19.5" customHeight="1" thickBot="1">
      <c r="A1" s="792" t="s">
        <v>523</v>
      </c>
      <c r="B1" s="767" t="s">
        <v>134</v>
      </c>
      <c r="C1" s="767" t="s">
        <v>135</v>
      </c>
      <c r="D1" s="767" t="s">
        <v>136</v>
      </c>
      <c r="E1" s="767" t="s">
        <v>137</v>
      </c>
      <c r="F1" s="767" t="s">
        <v>138</v>
      </c>
      <c r="G1" s="767" t="s">
        <v>139</v>
      </c>
      <c r="H1" s="767" t="s">
        <v>140</v>
      </c>
      <c r="I1" s="767" t="s">
        <v>141</v>
      </c>
      <c r="J1" s="767" t="s">
        <v>142</v>
      </c>
      <c r="K1" s="767" t="s">
        <v>143</v>
      </c>
      <c r="L1" s="767" t="s">
        <v>144</v>
      </c>
      <c r="M1" s="768" t="s">
        <v>145</v>
      </c>
    </row>
    <row r="2" spans="1:13" ht="19.5" customHeight="1">
      <c r="A2" s="793" t="s">
        <v>160</v>
      </c>
      <c r="B2" s="794">
        <v>3.5</v>
      </c>
      <c r="C2" s="794">
        <v>3.5</v>
      </c>
      <c r="D2" s="795">
        <v>2.5</v>
      </c>
      <c r="E2" s="795">
        <v>2.5</v>
      </c>
      <c r="F2" s="795">
        <v>2.5</v>
      </c>
      <c r="G2" s="795">
        <v>2.5</v>
      </c>
      <c r="H2" s="795">
        <v>2.5</v>
      </c>
      <c r="I2" s="794">
        <v>2</v>
      </c>
      <c r="J2" s="794">
        <v>2</v>
      </c>
      <c r="K2" s="794">
        <v>2</v>
      </c>
      <c r="L2" s="794">
        <v>2</v>
      </c>
      <c r="M2" s="796">
        <v>2</v>
      </c>
    </row>
    <row r="3" spans="1:13" ht="19.5" customHeight="1">
      <c r="A3" s="797" t="s">
        <v>161</v>
      </c>
      <c r="B3" s="798">
        <v>3.5</v>
      </c>
      <c r="C3" s="798">
        <v>3.5</v>
      </c>
      <c r="D3" s="799">
        <v>2.5</v>
      </c>
      <c r="E3" s="799">
        <v>2.5</v>
      </c>
      <c r="F3" s="799">
        <v>2.5</v>
      </c>
      <c r="G3" s="799">
        <v>2.5</v>
      </c>
      <c r="H3" s="799">
        <v>2.5</v>
      </c>
      <c r="I3" s="798">
        <v>2</v>
      </c>
      <c r="J3" s="798">
        <v>2</v>
      </c>
      <c r="K3" s="798">
        <v>2</v>
      </c>
      <c r="L3" s="798">
        <v>2</v>
      </c>
      <c r="M3" s="800">
        <v>2</v>
      </c>
    </row>
    <row r="4" spans="1:13" ht="19.5" customHeight="1">
      <c r="A4" s="797" t="s">
        <v>729</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163</v>
      </c>
      <c r="B5" s="802">
        <v>1.5</v>
      </c>
      <c r="C5" s="802">
        <v>1.5</v>
      </c>
      <c r="D5" s="802">
        <v>1.5</v>
      </c>
      <c r="E5" s="802">
        <v>1.5</v>
      </c>
      <c r="F5" s="802">
        <v>1.5</v>
      </c>
      <c r="G5" s="803">
        <v>1.2</v>
      </c>
      <c r="H5" s="803">
        <v>1.2</v>
      </c>
      <c r="I5" s="803">
        <v>1</v>
      </c>
      <c r="J5" s="803">
        <v>1</v>
      </c>
      <c r="K5" s="803">
        <v>1</v>
      </c>
      <c r="L5" s="803">
        <v>1</v>
      </c>
      <c r="M5" s="804">
        <v>1</v>
      </c>
    </row>
    <row r="6" spans="1:13" ht="19.5" customHeight="1">
      <c r="A6" s="805" t="s">
        <v>524</v>
      </c>
      <c r="B6" s="806">
        <v>80</v>
      </c>
      <c r="C6" s="806">
        <v>80</v>
      </c>
      <c r="D6" s="806">
        <v>65</v>
      </c>
      <c r="E6" s="806">
        <v>65</v>
      </c>
      <c r="F6" s="806">
        <v>65</v>
      </c>
      <c r="G6" s="806">
        <v>65</v>
      </c>
      <c r="H6" s="806">
        <v>65</v>
      </c>
      <c r="I6" s="806">
        <v>50</v>
      </c>
      <c r="J6" s="806">
        <v>50</v>
      </c>
      <c r="K6" s="806">
        <v>50</v>
      </c>
      <c r="L6" s="806">
        <v>50</v>
      </c>
      <c r="M6" s="807">
        <v>50</v>
      </c>
    </row>
    <row r="7" spans="1:13" ht="19.5" customHeight="1">
      <c r="A7" s="753" t="s">
        <v>525</v>
      </c>
      <c r="B7" s="754">
        <v>70</v>
      </c>
      <c r="C7" s="754">
        <v>70</v>
      </c>
      <c r="D7" s="754">
        <v>55</v>
      </c>
      <c r="E7" s="754">
        <v>55</v>
      </c>
      <c r="F7" s="754">
        <v>55</v>
      </c>
      <c r="G7" s="754">
        <v>55</v>
      </c>
      <c r="H7" s="754">
        <v>55</v>
      </c>
      <c r="I7" s="754">
        <v>40</v>
      </c>
      <c r="J7" s="754">
        <v>40</v>
      </c>
      <c r="K7" s="754">
        <v>40</v>
      </c>
      <c r="L7" s="754">
        <v>40</v>
      </c>
      <c r="M7" s="808">
        <v>40</v>
      </c>
    </row>
    <row r="8" spans="1:13" ht="19.5" customHeight="1">
      <c r="A8" s="753" t="s">
        <v>526</v>
      </c>
      <c r="B8" s="754">
        <v>20</v>
      </c>
      <c r="C8" s="754">
        <v>20</v>
      </c>
      <c r="D8" s="754">
        <v>15</v>
      </c>
      <c r="E8" s="754">
        <v>15</v>
      </c>
      <c r="F8" s="754">
        <v>15</v>
      </c>
      <c r="G8" s="754">
        <v>15</v>
      </c>
      <c r="H8" s="754">
        <v>15</v>
      </c>
      <c r="I8" s="754">
        <v>10</v>
      </c>
      <c r="J8" s="754">
        <v>10</v>
      </c>
      <c r="K8" s="754">
        <v>10</v>
      </c>
      <c r="L8" s="754">
        <v>10</v>
      </c>
      <c r="M8" s="808">
        <v>10</v>
      </c>
    </row>
    <row r="9" spans="1:13" ht="19.5" customHeight="1">
      <c r="A9" s="753" t="s">
        <v>527</v>
      </c>
      <c r="B9" s="754">
        <v>30</v>
      </c>
      <c r="C9" s="754">
        <v>30</v>
      </c>
      <c r="D9" s="754">
        <v>25</v>
      </c>
      <c r="E9" s="754">
        <v>25</v>
      </c>
      <c r="F9" s="754">
        <v>25</v>
      </c>
      <c r="G9" s="754">
        <v>25</v>
      </c>
      <c r="H9" s="754">
        <v>25</v>
      </c>
      <c r="I9" s="754">
        <v>20</v>
      </c>
      <c r="J9" s="754">
        <v>20</v>
      </c>
      <c r="K9" s="754">
        <v>20</v>
      </c>
      <c r="L9" s="754">
        <v>20</v>
      </c>
      <c r="M9" s="808">
        <v>20</v>
      </c>
    </row>
    <row r="10" spans="1:13" ht="19.5" customHeight="1">
      <c r="A10" s="753" t="s">
        <v>528</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529</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530</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531</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532</v>
      </c>
      <c r="B14" s="811">
        <v>0</v>
      </c>
      <c r="C14" s="811">
        <v>0</v>
      </c>
      <c r="D14" s="811">
        <v>0</v>
      </c>
      <c r="E14" s="811">
        <v>0</v>
      </c>
      <c r="F14" s="811">
        <v>0</v>
      </c>
      <c r="G14" s="811">
        <v>0</v>
      </c>
      <c r="H14" s="811">
        <v>0</v>
      </c>
      <c r="I14" s="811">
        <v>0</v>
      </c>
      <c r="J14" s="811">
        <v>0</v>
      </c>
      <c r="K14" s="811">
        <v>0</v>
      </c>
      <c r="L14" s="811">
        <v>0</v>
      </c>
      <c r="M14" s="811">
        <v>0</v>
      </c>
    </row>
    <row r="15" spans="1:13" ht="19.5" customHeight="1">
      <c r="A15" s="754" t="s">
        <v>2841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533</v>
      </c>
      <c r="B16" s="812"/>
      <c r="C16" s="813"/>
      <c r="D16" s="813"/>
      <c r="E16" s="812"/>
      <c r="F16" s="813"/>
      <c r="G16" s="813"/>
    </row>
    <row r="17" spans="1:9" ht="19.5" customHeight="1">
      <c r="A17" s="754" t="s">
        <v>534</v>
      </c>
      <c r="B17" s="815" t="s">
        <v>535</v>
      </c>
      <c r="C17" s="869" t="s">
        <v>735</v>
      </c>
      <c r="D17" s="816"/>
      <c r="E17" s="754" t="s">
        <v>536</v>
      </c>
      <c r="F17" s="817"/>
      <c r="G17" s="817"/>
    </row>
    <row r="18" spans="1:9" s="823" customFormat="1" ht="19.5" customHeight="1">
      <c r="A18" s="3427" t="s">
        <v>160</v>
      </c>
      <c r="B18" s="818" t="s">
        <v>537</v>
      </c>
      <c r="C18" s="819" t="s">
        <v>538</v>
      </c>
      <c r="D18" s="820"/>
      <c r="E18" s="818">
        <v>1</v>
      </c>
      <c r="F18" s="821" t="s">
        <v>539</v>
      </c>
      <c r="G18" s="822"/>
      <c r="H18" s="814"/>
      <c r="I18" s="814"/>
    </row>
    <row r="19" spans="1:9" s="823" customFormat="1" ht="19.5" customHeight="1">
      <c r="A19" s="3427"/>
      <c r="B19" s="3427" t="s">
        <v>540</v>
      </c>
      <c r="C19" s="819" t="s">
        <v>541</v>
      </c>
      <c r="D19" s="820"/>
      <c r="E19" s="818">
        <v>0.9</v>
      </c>
      <c r="F19" s="821" t="s">
        <v>542</v>
      </c>
      <c r="G19" s="822"/>
      <c r="H19" s="814"/>
      <c r="I19" s="814"/>
    </row>
    <row r="20" spans="1:9" s="823" customFormat="1" ht="19.5" customHeight="1">
      <c r="A20" s="3427"/>
      <c r="B20" s="3427"/>
      <c r="C20" s="819" t="s">
        <v>543</v>
      </c>
      <c r="D20" s="820"/>
      <c r="E20" s="818">
        <v>1.1000000000000001</v>
      </c>
      <c r="F20" s="821" t="s">
        <v>544</v>
      </c>
      <c r="G20" s="822"/>
      <c r="H20" s="814"/>
      <c r="I20" s="814"/>
    </row>
    <row r="21" spans="1:9" s="823" customFormat="1" ht="19.5" customHeight="1">
      <c r="A21" s="3427"/>
      <c r="B21" s="3427"/>
      <c r="C21" s="819" t="s">
        <v>545</v>
      </c>
      <c r="D21" s="820"/>
      <c r="E21" s="818">
        <v>0.8</v>
      </c>
      <c r="F21" s="821" t="s">
        <v>546</v>
      </c>
      <c r="G21" s="822"/>
      <c r="H21" s="814"/>
      <c r="I21" s="814"/>
    </row>
    <row r="22" spans="1:9" s="823" customFormat="1" ht="19.5" customHeight="1">
      <c r="A22" s="3427"/>
      <c r="B22" s="3427"/>
      <c r="C22" s="819" t="s">
        <v>547</v>
      </c>
      <c r="D22" s="820"/>
      <c r="E22" s="818">
        <v>0.5</v>
      </c>
      <c r="F22" s="821"/>
      <c r="G22" s="822"/>
      <c r="H22" s="814"/>
      <c r="I22" s="814"/>
    </row>
    <row r="23" spans="1:9" s="823" customFormat="1" ht="19.5" customHeight="1">
      <c r="A23" s="3427" t="s">
        <v>161</v>
      </c>
      <c r="B23" s="818" t="s">
        <v>537</v>
      </c>
      <c r="C23" s="819" t="s">
        <v>548</v>
      </c>
      <c r="D23" s="820"/>
      <c r="E23" s="818">
        <v>1</v>
      </c>
      <c r="F23" s="821" t="s">
        <v>549</v>
      </c>
      <c r="G23" s="822"/>
      <c r="H23" s="814"/>
      <c r="I23" s="814"/>
    </row>
    <row r="24" spans="1:9" s="823" customFormat="1" ht="19.5" customHeight="1">
      <c r="A24" s="3427"/>
      <c r="B24" s="3427" t="s">
        <v>540</v>
      </c>
      <c r="C24" s="819" t="s">
        <v>550</v>
      </c>
      <c r="D24" s="820"/>
      <c r="E24" s="818">
        <v>0.5</v>
      </c>
      <c r="F24" s="821"/>
      <c r="G24" s="822"/>
      <c r="H24" s="814"/>
      <c r="I24" s="814"/>
    </row>
    <row r="25" spans="1:9" s="823" customFormat="1" ht="19.5" customHeight="1">
      <c r="A25" s="3427"/>
      <c r="B25" s="3427"/>
      <c r="C25" s="819" t="s">
        <v>551</v>
      </c>
      <c r="D25" s="820"/>
      <c r="E25" s="818">
        <v>1.1000000000000001</v>
      </c>
      <c r="F25" s="821"/>
      <c r="G25" s="822"/>
      <c r="H25" s="814"/>
      <c r="I25" s="814"/>
    </row>
    <row r="26" spans="1:9" s="823" customFormat="1" ht="19.5" customHeight="1">
      <c r="A26" s="3427"/>
      <c r="B26" s="3427"/>
      <c r="C26" s="819" t="s">
        <v>552</v>
      </c>
      <c r="D26" s="820"/>
      <c r="E26" s="818">
        <v>1.1000000000000001</v>
      </c>
      <c r="F26" s="821"/>
      <c r="G26" s="822"/>
      <c r="H26" s="814"/>
      <c r="I26" s="814"/>
    </row>
    <row r="27" spans="1:9" s="823" customFormat="1" ht="19.5" customHeight="1">
      <c r="A27" s="3427"/>
      <c r="B27" s="3427"/>
      <c r="C27" s="819" t="s">
        <v>553</v>
      </c>
      <c r="D27" s="820"/>
      <c r="E27" s="818">
        <v>0.9</v>
      </c>
      <c r="F27" s="821" t="s">
        <v>554</v>
      </c>
      <c r="G27" s="822"/>
      <c r="H27" s="814"/>
      <c r="I27" s="814"/>
    </row>
    <row r="28" spans="1:9" s="823" customFormat="1" ht="19.5" customHeight="1">
      <c r="A28" s="3427"/>
      <c r="B28" s="3427"/>
      <c r="C28" s="819" t="s">
        <v>555</v>
      </c>
      <c r="D28" s="820"/>
      <c r="E28" s="818">
        <v>0.9</v>
      </c>
      <c r="F28" s="821" t="s">
        <v>556</v>
      </c>
      <c r="G28" s="822"/>
      <c r="H28" s="814"/>
      <c r="I28" s="814"/>
    </row>
    <row r="29" spans="1:9" s="823" customFormat="1" ht="19.5" customHeight="1">
      <c r="A29" s="3427"/>
      <c r="B29" s="3427"/>
      <c r="C29" s="819" t="s">
        <v>557</v>
      </c>
      <c r="D29" s="820"/>
      <c r="E29" s="818">
        <v>0.9</v>
      </c>
      <c r="F29" s="821" t="s">
        <v>558</v>
      </c>
      <c r="G29" s="822"/>
      <c r="H29" s="814"/>
      <c r="I29" s="814"/>
    </row>
    <row r="30" spans="1:9" s="823" customFormat="1" ht="19.5" customHeight="1">
      <c r="A30" s="3427"/>
      <c r="B30" s="3427"/>
      <c r="C30" s="819" t="s">
        <v>559</v>
      </c>
      <c r="D30" s="820"/>
      <c r="E30" s="818">
        <v>0.9</v>
      </c>
      <c r="F30" s="821" t="s">
        <v>560</v>
      </c>
      <c r="G30" s="822"/>
      <c r="H30" s="814"/>
      <c r="I30" s="814"/>
    </row>
    <row r="31" spans="1:9" s="823" customFormat="1" ht="19.5" customHeight="1">
      <c r="A31" s="3427"/>
      <c r="B31" s="3427"/>
      <c r="C31" s="819" t="s">
        <v>561</v>
      </c>
      <c r="D31" s="820"/>
      <c r="E31" s="818">
        <v>0.8</v>
      </c>
      <c r="F31" s="821" t="s">
        <v>562</v>
      </c>
      <c r="G31" s="822"/>
      <c r="H31" s="814"/>
      <c r="I31" s="814"/>
    </row>
    <row r="32" spans="1:9" s="823" customFormat="1" ht="19.5" customHeight="1">
      <c r="A32" s="3427"/>
      <c r="B32" s="3427"/>
      <c r="C32" s="819" t="s">
        <v>563</v>
      </c>
      <c r="D32" s="820"/>
      <c r="E32" s="818">
        <v>0.8</v>
      </c>
      <c r="F32" s="821" t="s">
        <v>564</v>
      </c>
      <c r="G32" s="822"/>
      <c r="H32" s="814"/>
      <c r="I32" s="814"/>
    </row>
    <row r="33" spans="1:9" s="823" customFormat="1" ht="19.5" customHeight="1">
      <c r="A33" s="3427" t="s">
        <v>162</v>
      </c>
      <c r="B33" s="818" t="s">
        <v>537</v>
      </c>
      <c r="C33" s="819" t="s">
        <v>565</v>
      </c>
      <c r="D33" s="820"/>
      <c r="E33" s="818">
        <v>1</v>
      </c>
      <c r="F33" s="821" t="s">
        <v>566</v>
      </c>
      <c r="G33" s="822"/>
      <c r="H33" s="814"/>
      <c r="I33" s="814"/>
    </row>
    <row r="34" spans="1:9" s="823" customFormat="1" ht="19.5" customHeight="1">
      <c r="A34" s="3427"/>
      <c r="B34" s="818" t="s">
        <v>540</v>
      </c>
      <c r="C34" s="819" t="s">
        <v>567</v>
      </c>
      <c r="D34" s="820"/>
      <c r="E34" s="818">
        <v>1.5</v>
      </c>
      <c r="F34" s="821" t="s">
        <v>568</v>
      </c>
      <c r="G34" s="822"/>
      <c r="H34" s="814"/>
      <c r="I34" s="814"/>
    </row>
    <row r="35" spans="1:9" s="823" customFormat="1" ht="19.5" customHeight="1">
      <c r="A35" s="3427" t="s">
        <v>163</v>
      </c>
      <c r="B35" s="818" t="s">
        <v>537</v>
      </c>
      <c r="C35" s="819" t="s">
        <v>569</v>
      </c>
      <c r="D35" s="820"/>
      <c r="E35" s="818">
        <v>1</v>
      </c>
      <c r="F35" s="821" t="s">
        <v>570</v>
      </c>
      <c r="G35" s="822"/>
      <c r="H35" s="814"/>
      <c r="I35" s="814"/>
    </row>
    <row r="36" spans="1:9" s="823" customFormat="1" ht="19.5" customHeight="1">
      <c r="A36" s="3427"/>
      <c r="B36" s="3427" t="s">
        <v>540</v>
      </c>
      <c r="C36" s="819" t="s">
        <v>571</v>
      </c>
      <c r="D36" s="820"/>
      <c r="E36" s="818">
        <v>1</v>
      </c>
      <c r="F36" s="821" t="s">
        <v>572</v>
      </c>
      <c r="G36" s="822"/>
      <c r="H36" s="814"/>
      <c r="I36" s="814"/>
    </row>
    <row r="37" spans="1:9" s="823" customFormat="1" ht="19.5" customHeight="1">
      <c r="A37" s="3427"/>
      <c r="B37" s="3427"/>
      <c r="C37" s="819" t="s">
        <v>573</v>
      </c>
      <c r="D37" s="820"/>
      <c r="E37" s="818">
        <v>1.5</v>
      </c>
      <c r="F37" s="821" t="s">
        <v>574</v>
      </c>
      <c r="G37" s="822"/>
      <c r="H37" s="814"/>
      <c r="I37" s="814"/>
    </row>
    <row r="38" spans="1:9" s="823" customFormat="1" ht="19.5" customHeight="1">
      <c r="A38" s="3427"/>
      <c r="B38" s="3427"/>
      <c r="C38" s="819" t="s">
        <v>575</v>
      </c>
      <c r="D38" s="820"/>
      <c r="E38" s="818">
        <v>1</v>
      </c>
      <c r="F38" s="821" t="s">
        <v>576</v>
      </c>
      <c r="G38" s="822"/>
      <c r="H38" s="814"/>
      <c r="I38" s="814"/>
    </row>
    <row r="39" spans="1:9" s="823" customFormat="1" ht="19.5" customHeight="1">
      <c r="A39" s="3427"/>
      <c r="B39" s="3427"/>
      <c r="C39" s="819" t="s">
        <v>577</v>
      </c>
      <c r="D39" s="820"/>
      <c r="E39" s="818">
        <v>1</v>
      </c>
      <c r="F39" s="821" t="s">
        <v>578</v>
      </c>
      <c r="G39" s="822"/>
      <c r="H39" s="814"/>
      <c r="I39" s="814"/>
    </row>
    <row r="40" spans="1:9" s="823" customFormat="1" ht="19.5" customHeight="1">
      <c r="A40" s="824" t="s">
        <v>579</v>
      </c>
      <c r="B40" s="824"/>
      <c r="C40" s="824"/>
      <c r="D40" s="824"/>
      <c r="E40" s="824"/>
      <c r="F40" s="825"/>
      <c r="G40" s="825"/>
      <c r="H40" s="814"/>
      <c r="I40" s="814"/>
    </row>
    <row r="42" spans="1:9" ht="19.5" customHeight="1">
      <c r="A42" s="826"/>
      <c r="B42" s="754" t="s">
        <v>580</v>
      </c>
      <c r="C42" s="754" t="s">
        <v>580</v>
      </c>
      <c r="D42" s="754" t="s">
        <v>580</v>
      </c>
      <c r="E42" s="759" t="s">
        <v>580</v>
      </c>
      <c r="F42" s="759" t="s">
        <v>580</v>
      </c>
      <c r="G42" s="759" t="s">
        <v>581</v>
      </c>
      <c r="H42" s="759" t="s">
        <v>580</v>
      </c>
    </row>
    <row r="43" spans="1:9" ht="19.5" customHeight="1">
      <c r="A43" s="827"/>
      <c r="B43" s="759" t="s">
        <v>160</v>
      </c>
      <c r="C43" s="759" t="s">
        <v>160</v>
      </c>
      <c r="D43" s="759" t="s">
        <v>160</v>
      </c>
      <c r="E43" s="759" t="s">
        <v>160</v>
      </c>
      <c r="F43" s="754" t="s">
        <v>161</v>
      </c>
      <c r="G43" s="754" t="s">
        <v>163</v>
      </c>
      <c r="H43" s="754" t="s">
        <v>582</v>
      </c>
    </row>
    <row r="44" spans="1:9" ht="19.5" customHeight="1">
      <c r="A44" s="828"/>
      <c r="B44" s="754">
        <v>1</v>
      </c>
      <c r="C44" s="754">
        <v>2</v>
      </c>
      <c r="D44" s="754">
        <v>3</v>
      </c>
      <c r="E44" s="759">
        <v>4</v>
      </c>
      <c r="F44" s="816" t="s">
        <v>583</v>
      </c>
      <c r="G44" s="816" t="s">
        <v>583</v>
      </c>
      <c r="H44" s="816" t="s">
        <v>583</v>
      </c>
    </row>
    <row r="45" spans="1:9" ht="19.5" customHeight="1">
      <c r="A45" s="829" t="s">
        <v>134</v>
      </c>
      <c r="B45" s="754">
        <v>0.8</v>
      </c>
      <c r="C45" s="754">
        <v>0.5</v>
      </c>
      <c r="D45" s="754">
        <v>0.36</v>
      </c>
      <c r="E45" s="754">
        <v>0.3</v>
      </c>
      <c r="F45" s="816">
        <v>0.3</v>
      </c>
      <c r="G45" s="754">
        <v>0.3</v>
      </c>
      <c r="H45" s="754">
        <v>0.25</v>
      </c>
    </row>
    <row r="46" spans="1:9" ht="19.5" customHeight="1">
      <c r="A46" s="829" t="s">
        <v>135</v>
      </c>
      <c r="B46" s="754">
        <v>0.8</v>
      </c>
      <c r="C46" s="754">
        <v>0.5</v>
      </c>
      <c r="D46" s="754">
        <v>0.36</v>
      </c>
      <c r="E46" s="754">
        <v>0.3</v>
      </c>
      <c r="F46" s="754">
        <v>0.3</v>
      </c>
      <c r="G46" s="754">
        <v>0.3</v>
      </c>
      <c r="H46" s="754">
        <v>0.25</v>
      </c>
    </row>
    <row r="47" spans="1:9" ht="19.5" customHeight="1">
      <c r="A47" s="829" t="s">
        <v>136</v>
      </c>
      <c r="B47" s="754">
        <v>0.7</v>
      </c>
      <c r="C47" s="754">
        <v>0.4</v>
      </c>
      <c r="D47" s="754">
        <v>0.28000000000000003</v>
      </c>
      <c r="E47" s="754">
        <v>0.25</v>
      </c>
      <c r="F47" s="754">
        <v>0.25</v>
      </c>
      <c r="G47" s="754">
        <v>0.25</v>
      </c>
      <c r="H47" s="754">
        <v>0.2</v>
      </c>
    </row>
    <row r="48" spans="1:9" ht="19.5" customHeight="1">
      <c r="A48" s="829" t="s">
        <v>137</v>
      </c>
      <c r="B48" s="754">
        <v>0.7</v>
      </c>
      <c r="C48" s="754">
        <v>0.4</v>
      </c>
      <c r="D48" s="754">
        <v>0.28000000000000003</v>
      </c>
      <c r="E48" s="754">
        <v>0.25</v>
      </c>
      <c r="F48" s="754">
        <v>0.25</v>
      </c>
      <c r="G48" s="754">
        <v>0.25</v>
      </c>
      <c r="H48" s="754">
        <v>0.2</v>
      </c>
    </row>
    <row r="49" spans="1:8" s="814" customFormat="1" ht="19.5" customHeight="1">
      <c r="A49" s="829" t="s">
        <v>138</v>
      </c>
      <c r="B49" s="754">
        <v>0.7</v>
      </c>
      <c r="C49" s="754">
        <v>0.4</v>
      </c>
      <c r="D49" s="754">
        <v>0.28000000000000003</v>
      </c>
      <c r="E49" s="754">
        <v>0.25</v>
      </c>
      <c r="F49" s="754">
        <v>0.25</v>
      </c>
      <c r="G49" s="754">
        <v>0.25</v>
      </c>
      <c r="H49" s="754">
        <v>0.2</v>
      </c>
    </row>
    <row r="50" spans="1:8" s="814" customFormat="1" ht="19.5" customHeight="1">
      <c r="A50" s="829" t="s">
        <v>139</v>
      </c>
      <c r="B50" s="754">
        <v>0.7</v>
      </c>
      <c r="C50" s="754">
        <v>0.4</v>
      </c>
      <c r="D50" s="754">
        <v>0.28000000000000003</v>
      </c>
      <c r="E50" s="754">
        <v>0.25</v>
      </c>
      <c r="F50" s="754">
        <v>0.25</v>
      </c>
      <c r="G50" s="754">
        <v>0.25</v>
      </c>
      <c r="H50" s="754">
        <v>0.2</v>
      </c>
    </row>
    <row r="51" spans="1:8" s="814" customFormat="1" ht="19.5" customHeight="1">
      <c r="A51" s="829" t="s">
        <v>140</v>
      </c>
      <c r="B51" s="754">
        <v>0.7</v>
      </c>
      <c r="C51" s="754">
        <v>0.4</v>
      </c>
      <c r="D51" s="754">
        <v>0.28000000000000003</v>
      </c>
      <c r="E51" s="754">
        <v>0.25</v>
      </c>
      <c r="F51" s="754">
        <v>0.25</v>
      </c>
      <c r="G51" s="754">
        <v>0.25</v>
      </c>
      <c r="H51" s="754">
        <v>0.2</v>
      </c>
    </row>
    <row r="52" spans="1:8" s="814" customFormat="1" ht="19.5" customHeight="1">
      <c r="A52" s="829" t="s">
        <v>141</v>
      </c>
      <c r="B52" s="754">
        <v>0.6</v>
      </c>
      <c r="C52" s="754">
        <v>0.3</v>
      </c>
      <c r="D52" s="754">
        <v>0.2</v>
      </c>
      <c r="E52" s="754">
        <v>0.2</v>
      </c>
      <c r="F52" s="754">
        <v>0.2</v>
      </c>
      <c r="G52" s="754">
        <v>0.2</v>
      </c>
      <c r="H52" s="754">
        <v>0.15</v>
      </c>
    </row>
    <row r="53" spans="1:8" s="814" customFormat="1" ht="19.5" customHeight="1">
      <c r="A53" s="829" t="s">
        <v>142</v>
      </c>
      <c r="B53" s="754">
        <v>0.6</v>
      </c>
      <c r="C53" s="754">
        <v>0.3</v>
      </c>
      <c r="D53" s="754">
        <v>0.2</v>
      </c>
      <c r="E53" s="754">
        <v>0.2</v>
      </c>
      <c r="F53" s="754">
        <v>0.2</v>
      </c>
      <c r="G53" s="754">
        <v>0.2</v>
      </c>
      <c r="H53" s="754">
        <v>0.15</v>
      </c>
    </row>
    <row r="54" spans="1:8" s="814" customFormat="1" ht="19.5" customHeight="1">
      <c r="A54" s="829" t="s">
        <v>143</v>
      </c>
      <c r="B54" s="754">
        <v>0.6</v>
      </c>
      <c r="C54" s="754">
        <v>0.3</v>
      </c>
      <c r="D54" s="754">
        <v>0.2</v>
      </c>
      <c r="E54" s="754">
        <v>0.2</v>
      </c>
      <c r="F54" s="754">
        <v>0.2</v>
      </c>
      <c r="G54" s="754">
        <v>0.2</v>
      </c>
      <c r="H54" s="754">
        <v>0.15</v>
      </c>
    </row>
    <row r="55" spans="1:8" s="814" customFormat="1" ht="19.5" customHeight="1">
      <c r="A55" s="829" t="s">
        <v>144</v>
      </c>
      <c r="B55" s="754">
        <v>0.6</v>
      </c>
      <c r="C55" s="754">
        <v>0.3</v>
      </c>
      <c r="D55" s="754">
        <v>0.2</v>
      </c>
      <c r="E55" s="754">
        <v>0.2</v>
      </c>
      <c r="F55" s="754">
        <v>0.2</v>
      </c>
      <c r="G55" s="754">
        <v>0.2</v>
      </c>
      <c r="H55" s="754">
        <v>0.15</v>
      </c>
    </row>
    <row r="56" spans="1:8" s="814" customFormat="1" ht="19.5" customHeight="1">
      <c r="A56" s="829" t="s">
        <v>145</v>
      </c>
      <c r="B56" s="754">
        <v>0.6</v>
      </c>
      <c r="C56" s="754">
        <v>0.3</v>
      </c>
      <c r="D56" s="754">
        <v>0.2</v>
      </c>
      <c r="E56" s="754">
        <v>0.2</v>
      </c>
      <c r="F56" s="754">
        <v>0.2</v>
      </c>
      <c r="G56" s="754">
        <v>0.2</v>
      </c>
      <c r="H56" s="754">
        <v>0.15</v>
      </c>
    </row>
    <row r="58" spans="1:8" s="814" customFormat="1" ht="19.5" customHeight="1">
      <c r="A58" s="830"/>
      <c r="B58" s="812"/>
      <c r="C58" s="812"/>
      <c r="D58" s="812" t="s">
        <v>584</v>
      </c>
      <c r="E58" s="812"/>
      <c r="F58" s="812"/>
    </row>
    <row r="59" spans="1:8" s="814" customFormat="1" ht="19.5" customHeight="1">
      <c r="A59" s="818" t="s">
        <v>585</v>
      </c>
      <c r="B59" s="818" t="s">
        <v>586</v>
      </c>
      <c r="C59" s="818" t="s">
        <v>587</v>
      </c>
      <c r="D59" s="818" t="s">
        <v>588</v>
      </c>
      <c r="E59" s="818" t="s">
        <v>589</v>
      </c>
      <c r="F59" s="818" t="s">
        <v>590</v>
      </c>
    </row>
    <row r="60" spans="1:8" ht="13.5">
      <c r="A60" s="875"/>
      <c r="B60" s="875"/>
      <c r="C60" s="875" t="s">
        <v>722</v>
      </c>
      <c r="D60" s="875"/>
      <c r="E60" s="831" t="s">
        <v>0</v>
      </c>
      <c r="F60" s="875" t="s">
        <v>0</v>
      </c>
    </row>
    <row r="61" spans="1:8" s="814" customFormat="1" ht="24">
      <c r="A61" s="818">
        <v>1</v>
      </c>
      <c r="B61" s="3427" t="s">
        <v>591</v>
      </c>
      <c r="C61" s="754" t="s">
        <v>592</v>
      </c>
      <c r="D61" s="754" t="s">
        <v>593</v>
      </c>
      <c r="E61" s="831">
        <v>0.5</v>
      </c>
      <c r="F61" s="818">
        <v>80</v>
      </c>
    </row>
    <row r="62" spans="1:8" s="814" customFormat="1" ht="24">
      <c r="A62" s="818">
        <v>2</v>
      </c>
      <c r="B62" s="3427"/>
      <c r="C62" s="754" t="s">
        <v>594</v>
      </c>
      <c r="D62" s="754" t="s">
        <v>595</v>
      </c>
      <c r="E62" s="831">
        <v>0.5</v>
      </c>
      <c r="F62" s="818">
        <v>80</v>
      </c>
    </row>
    <row r="63" spans="1:8" s="814" customFormat="1" ht="36">
      <c r="A63" s="818">
        <v>3</v>
      </c>
      <c r="B63" s="3427"/>
      <c r="C63" s="754" t="s">
        <v>596</v>
      </c>
      <c r="D63" s="754" t="s">
        <v>597</v>
      </c>
      <c r="E63" s="831">
        <v>0.5</v>
      </c>
      <c r="F63" s="818">
        <v>80</v>
      </c>
    </row>
    <row r="64" spans="1:8" s="814" customFormat="1" ht="36">
      <c r="A64" s="818">
        <v>4</v>
      </c>
      <c r="B64" s="3427"/>
      <c r="C64" s="754" t="s">
        <v>598</v>
      </c>
      <c r="D64" s="754" t="s">
        <v>599</v>
      </c>
      <c r="E64" s="831">
        <v>0.4</v>
      </c>
      <c r="F64" s="818">
        <v>60</v>
      </c>
    </row>
    <row r="65" spans="1:6" s="814" customFormat="1" ht="36">
      <c r="A65" s="818">
        <v>5</v>
      </c>
      <c r="B65" s="3427"/>
      <c r="C65" s="754" t="s">
        <v>600</v>
      </c>
      <c r="D65" s="754" t="s">
        <v>601</v>
      </c>
      <c r="E65" s="831">
        <v>0.2</v>
      </c>
      <c r="F65" s="818">
        <v>30</v>
      </c>
    </row>
    <row r="66" spans="1:6" s="814" customFormat="1" ht="36">
      <c r="A66" s="818">
        <v>6</v>
      </c>
      <c r="B66" s="3427"/>
      <c r="C66" s="754" t="s">
        <v>602</v>
      </c>
      <c r="D66" s="754" t="s">
        <v>603</v>
      </c>
      <c r="E66" s="831">
        <v>0.3</v>
      </c>
      <c r="F66" s="818">
        <v>50</v>
      </c>
    </row>
    <row r="67" spans="1:6" s="814" customFormat="1" ht="36">
      <c r="A67" s="818">
        <v>7</v>
      </c>
      <c r="B67" s="3427"/>
      <c r="C67" s="754" t="s">
        <v>604</v>
      </c>
      <c r="D67" s="754" t="s">
        <v>605</v>
      </c>
      <c r="E67" s="831">
        <v>0.2</v>
      </c>
      <c r="F67" s="818">
        <v>30</v>
      </c>
    </row>
    <row r="68" spans="1:6" s="814" customFormat="1" ht="36">
      <c r="A68" s="818">
        <v>8</v>
      </c>
      <c r="B68" s="3427"/>
      <c r="C68" s="754" t="s">
        <v>606</v>
      </c>
      <c r="D68" s="754" t="s">
        <v>607</v>
      </c>
      <c r="E68" s="831">
        <v>0.2</v>
      </c>
      <c r="F68" s="818">
        <v>30</v>
      </c>
    </row>
    <row r="69" spans="1:6" s="814" customFormat="1" ht="36">
      <c r="A69" s="818">
        <v>9</v>
      </c>
      <c r="B69" s="3427"/>
      <c r="C69" s="754" t="s">
        <v>608</v>
      </c>
      <c r="D69" s="754" t="s">
        <v>609</v>
      </c>
      <c r="E69" s="831">
        <v>0.2</v>
      </c>
      <c r="F69" s="818">
        <v>30</v>
      </c>
    </row>
    <row r="70" spans="1:6" s="814" customFormat="1" ht="48">
      <c r="A70" s="818">
        <v>10</v>
      </c>
      <c r="B70" s="3427"/>
      <c r="C70" s="754" t="s">
        <v>610</v>
      </c>
      <c r="D70" s="754" t="s">
        <v>611</v>
      </c>
      <c r="E70" s="831">
        <v>0.2</v>
      </c>
      <c r="F70" s="818">
        <v>30</v>
      </c>
    </row>
    <row r="71" spans="1:6" s="814" customFormat="1" ht="48">
      <c r="A71" s="818">
        <v>11</v>
      </c>
      <c r="B71" s="3427"/>
      <c r="C71" s="754" t="s">
        <v>612</v>
      </c>
      <c r="D71" s="754" t="s">
        <v>613</v>
      </c>
      <c r="E71" s="831">
        <v>0.2</v>
      </c>
      <c r="F71" s="818">
        <v>30</v>
      </c>
    </row>
    <row r="72" spans="1:6" s="814" customFormat="1" ht="36">
      <c r="A72" s="818">
        <v>12</v>
      </c>
      <c r="B72" s="3427"/>
      <c r="C72" s="754" t="s">
        <v>614</v>
      </c>
      <c r="D72" s="754" t="s">
        <v>615</v>
      </c>
      <c r="E72" s="831">
        <v>0.5</v>
      </c>
      <c r="F72" s="818">
        <v>80</v>
      </c>
    </row>
    <row r="73" spans="1:6" s="814" customFormat="1" ht="24">
      <c r="A73" s="818">
        <v>13</v>
      </c>
      <c r="B73" s="3427"/>
      <c r="C73" s="754" t="s">
        <v>616</v>
      </c>
      <c r="D73" s="754" t="s">
        <v>617</v>
      </c>
      <c r="E73" s="831">
        <v>0.4</v>
      </c>
      <c r="F73" s="818">
        <v>60</v>
      </c>
    </row>
    <row r="74" spans="1:6" s="814" customFormat="1" ht="24">
      <c r="A74" s="818">
        <v>14</v>
      </c>
      <c r="B74" s="3427"/>
      <c r="C74" s="754" t="s">
        <v>618</v>
      </c>
      <c r="D74" s="754" t="s">
        <v>619</v>
      </c>
      <c r="E74" s="831">
        <v>0.2</v>
      </c>
      <c r="F74" s="818">
        <v>30</v>
      </c>
    </row>
    <row r="75" spans="1:6" s="814" customFormat="1" ht="24">
      <c r="A75" s="818">
        <v>15</v>
      </c>
      <c r="B75" s="3427"/>
      <c r="C75" s="754" t="s">
        <v>620</v>
      </c>
      <c r="D75" s="754" t="s">
        <v>621</v>
      </c>
      <c r="E75" s="831">
        <v>0.2</v>
      </c>
      <c r="F75" s="818">
        <v>30</v>
      </c>
    </row>
    <row r="76" spans="1:6" s="814" customFormat="1" ht="24">
      <c r="A76" s="818">
        <v>16</v>
      </c>
      <c r="B76" s="3427" t="s">
        <v>622</v>
      </c>
      <c r="C76" s="754" t="s">
        <v>623</v>
      </c>
      <c r="D76" s="754" t="s">
        <v>624</v>
      </c>
      <c r="E76" s="831">
        <v>0.5</v>
      </c>
      <c r="F76" s="818">
        <v>80</v>
      </c>
    </row>
    <row r="77" spans="1:6" s="814" customFormat="1" ht="24">
      <c r="A77" s="818">
        <v>17</v>
      </c>
      <c r="B77" s="3427"/>
      <c r="C77" s="754" t="s">
        <v>625</v>
      </c>
      <c r="D77" s="754" t="s">
        <v>626</v>
      </c>
      <c r="E77" s="831">
        <v>0.5</v>
      </c>
      <c r="F77" s="818">
        <v>80</v>
      </c>
    </row>
    <row r="78" spans="1:6" s="814" customFormat="1" ht="24">
      <c r="A78" s="818">
        <v>18</v>
      </c>
      <c r="B78" s="3427"/>
      <c r="C78" s="754" t="s">
        <v>627</v>
      </c>
      <c r="D78" s="754" t="s">
        <v>628</v>
      </c>
      <c r="E78" s="831">
        <v>0.2</v>
      </c>
      <c r="F78" s="818">
        <v>30</v>
      </c>
    </row>
    <row r="79" spans="1:6" s="814" customFormat="1" ht="24">
      <c r="A79" s="818">
        <v>19</v>
      </c>
      <c r="B79" s="3427"/>
      <c r="C79" s="754" t="s">
        <v>629</v>
      </c>
      <c r="D79" s="754" t="s">
        <v>630</v>
      </c>
      <c r="E79" s="831">
        <v>0.5</v>
      </c>
      <c r="F79" s="818">
        <v>80</v>
      </c>
    </row>
    <row r="80" spans="1:6" s="814" customFormat="1" ht="36">
      <c r="A80" s="818">
        <v>20</v>
      </c>
      <c r="B80" s="3427"/>
      <c r="C80" s="754" t="s">
        <v>631</v>
      </c>
      <c r="D80" s="754" t="s">
        <v>632</v>
      </c>
      <c r="E80" s="831">
        <v>0.2</v>
      </c>
      <c r="F80" s="818">
        <v>30</v>
      </c>
    </row>
    <row r="81" spans="1:6" s="814" customFormat="1" ht="36">
      <c r="A81" s="818">
        <v>21</v>
      </c>
      <c r="B81" s="3427"/>
      <c r="C81" s="754" t="s">
        <v>633</v>
      </c>
      <c r="D81" s="754" t="s">
        <v>634</v>
      </c>
      <c r="E81" s="831">
        <v>0.2</v>
      </c>
      <c r="F81" s="818">
        <v>30</v>
      </c>
    </row>
    <row r="82" spans="1:6" s="814" customFormat="1" ht="48">
      <c r="A82" s="818">
        <v>22</v>
      </c>
      <c r="B82" s="3427"/>
      <c r="C82" s="754" t="s">
        <v>635</v>
      </c>
      <c r="D82" s="754" t="s">
        <v>636</v>
      </c>
      <c r="E82" s="831">
        <v>0.2</v>
      </c>
      <c r="F82" s="818">
        <v>30</v>
      </c>
    </row>
    <row r="83" spans="1:6" s="814" customFormat="1" ht="48">
      <c r="A83" s="818">
        <v>23</v>
      </c>
      <c r="B83" s="3427"/>
      <c r="C83" s="754" t="s">
        <v>637</v>
      </c>
      <c r="D83" s="754" t="s">
        <v>638</v>
      </c>
      <c r="E83" s="831">
        <v>0.2</v>
      </c>
      <c r="F83" s="818">
        <v>30</v>
      </c>
    </row>
    <row r="84" spans="1:6" s="814" customFormat="1" ht="36">
      <c r="A84" s="818">
        <v>24</v>
      </c>
      <c r="B84" s="3427"/>
      <c r="C84" s="754" t="s">
        <v>639</v>
      </c>
      <c r="D84" s="754" t="s">
        <v>640</v>
      </c>
      <c r="E84" s="831">
        <v>0.2</v>
      </c>
      <c r="F84" s="818">
        <v>30</v>
      </c>
    </row>
    <row r="85" spans="1:6" s="814" customFormat="1" ht="36">
      <c r="A85" s="818">
        <v>25</v>
      </c>
      <c r="B85" s="3427"/>
      <c r="C85" s="754" t="s">
        <v>641</v>
      </c>
      <c r="D85" s="754" t="s">
        <v>642</v>
      </c>
      <c r="E85" s="831">
        <v>0.5</v>
      </c>
      <c r="F85" s="818">
        <v>80</v>
      </c>
    </row>
    <row r="86" spans="1:6" s="814" customFormat="1" ht="36">
      <c r="A86" s="818">
        <v>26</v>
      </c>
      <c r="B86" s="3427"/>
      <c r="C86" s="754" t="s">
        <v>643</v>
      </c>
      <c r="D86" s="754" t="s">
        <v>644</v>
      </c>
      <c r="E86" s="831">
        <v>0.2</v>
      </c>
      <c r="F86" s="818">
        <v>30</v>
      </c>
    </row>
    <row r="87" spans="1:6" s="814" customFormat="1" ht="36">
      <c r="A87" s="818">
        <v>27</v>
      </c>
      <c r="B87" s="3427"/>
      <c r="C87" s="754" t="s">
        <v>645</v>
      </c>
      <c r="D87" s="754" t="s">
        <v>646</v>
      </c>
      <c r="E87" s="831">
        <v>0.2</v>
      </c>
      <c r="F87" s="818">
        <v>30</v>
      </c>
    </row>
    <row r="88" spans="1:6" s="814" customFormat="1" ht="36">
      <c r="A88" s="818">
        <v>28</v>
      </c>
      <c r="B88" s="3427"/>
      <c r="C88" s="754" t="s">
        <v>647</v>
      </c>
      <c r="D88" s="754" t="s">
        <v>648</v>
      </c>
      <c r="E88" s="831">
        <v>0.2</v>
      </c>
      <c r="F88" s="818">
        <v>30</v>
      </c>
    </row>
    <row r="89" spans="1:6" s="814" customFormat="1" ht="24">
      <c r="A89" s="818">
        <v>29</v>
      </c>
      <c r="B89" s="3427"/>
      <c r="C89" s="754" t="s">
        <v>649</v>
      </c>
      <c r="D89" s="754" t="s">
        <v>650</v>
      </c>
      <c r="E89" s="831">
        <v>0.2</v>
      </c>
      <c r="F89" s="818">
        <v>30</v>
      </c>
    </row>
    <row r="90" spans="1:6" s="814" customFormat="1" ht="24">
      <c r="A90" s="818">
        <v>30</v>
      </c>
      <c r="B90" s="3427"/>
      <c r="C90" s="754" t="s">
        <v>651</v>
      </c>
      <c r="D90" s="754" t="s">
        <v>652</v>
      </c>
      <c r="E90" s="831">
        <v>0.2</v>
      </c>
      <c r="F90" s="818">
        <v>30</v>
      </c>
    </row>
    <row r="91" spans="1:6" s="814" customFormat="1" ht="36">
      <c r="A91" s="818">
        <v>31</v>
      </c>
      <c r="B91" s="3427"/>
      <c r="C91" s="754" t="s">
        <v>653</v>
      </c>
      <c r="D91" s="754" t="s">
        <v>654</v>
      </c>
      <c r="E91" s="831">
        <v>0.2</v>
      </c>
      <c r="F91" s="818">
        <v>30</v>
      </c>
    </row>
    <row r="92" spans="1:6" s="814" customFormat="1" ht="24">
      <c r="A92" s="818">
        <v>32</v>
      </c>
      <c r="B92" s="3427" t="s">
        <v>655</v>
      </c>
      <c r="C92" s="818" t="s">
        <v>656</v>
      </c>
      <c r="D92" s="754" t="s">
        <v>657</v>
      </c>
      <c r="E92" s="831">
        <v>0.2</v>
      </c>
      <c r="F92" s="818">
        <v>30</v>
      </c>
    </row>
    <row r="93" spans="1:6" s="814" customFormat="1" ht="36">
      <c r="A93" s="818">
        <v>33</v>
      </c>
      <c r="B93" s="3427"/>
      <c r="C93" s="818" t="s">
        <v>658</v>
      </c>
      <c r="D93" s="754" t="s">
        <v>659</v>
      </c>
      <c r="E93" s="831">
        <v>0.2</v>
      </c>
      <c r="F93" s="818">
        <v>30</v>
      </c>
    </row>
    <row r="94" spans="1:6" s="814" customFormat="1" ht="48">
      <c r="A94" s="818">
        <v>34</v>
      </c>
      <c r="B94" s="3427"/>
      <c r="C94" s="818" t="s">
        <v>660</v>
      </c>
      <c r="D94" s="754" t="s">
        <v>661</v>
      </c>
      <c r="E94" s="831">
        <v>0.2</v>
      </c>
      <c r="F94" s="818">
        <v>30</v>
      </c>
    </row>
    <row r="95" spans="1:6" s="814" customFormat="1" ht="36">
      <c r="A95" s="818">
        <v>35</v>
      </c>
      <c r="B95" s="3427"/>
      <c r="C95" s="818" t="s">
        <v>662</v>
      </c>
      <c r="D95" s="754" t="s">
        <v>663</v>
      </c>
      <c r="E95" s="831">
        <v>0.2</v>
      </c>
      <c r="F95" s="818">
        <v>30</v>
      </c>
    </row>
    <row r="96" spans="1:6" s="814" customFormat="1" ht="48">
      <c r="A96" s="818">
        <v>36</v>
      </c>
      <c r="B96" s="3427"/>
      <c r="C96" s="754" t="s">
        <v>664</v>
      </c>
      <c r="D96" s="754" t="s">
        <v>665</v>
      </c>
      <c r="E96" s="831">
        <v>0.2</v>
      </c>
      <c r="F96" s="818">
        <v>30</v>
      </c>
    </row>
    <row r="97" spans="1:6" s="814" customFormat="1" ht="36">
      <c r="A97" s="818">
        <v>37</v>
      </c>
      <c r="B97" s="3427"/>
      <c r="C97" s="818" t="s">
        <v>666</v>
      </c>
      <c r="D97" s="754" t="s">
        <v>667</v>
      </c>
      <c r="E97" s="831">
        <v>0.2</v>
      </c>
      <c r="F97" s="818">
        <v>30</v>
      </c>
    </row>
    <row r="98" spans="1:6" s="814" customFormat="1" ht="36">
      <c r="A98" s="818">
        <v>38</v>
      </c>
      <c r="B98" s="3427"/>
      <c r="C98" s="818" t="s">
        <v>668</v>
      </c>
      <c r="D98" s="754" t="s">
        <v>669</v>
      </c>
      <c r="E98" s="831">
        <v>0.2</v>
      </c>
      <c r="F98" s="818">
        <v>30</v>
      </c>
    </row>
    <row r="99" spans="1:6" s="814" customFormat="1" ht="36">
      <c r="A99" s="818">
        <v>39</v>
      </c>
      <c r="B99" s="3427" t="s">
        <v>670</v>
      </c>
      <c r="C99" s="818" t="s">
        <v>671</v>
      </c>
      <c r="D99" s="754" t="s">
        <v>672</v>
      </c>
      <c r="E99" s="831">
        <v>0.3</v>
      </c>
      <c r="F99" s="818">
        <v>50</v>
      </c>
    </row>
    <row r="100" spans="1:6" s="814" customFormat="1" ht="24">
      <c r="A100" s="818">
        <v>40</v>
      </c>
      <c r="B100" s="3427"/>
      <c r="C100" s="818" t="s">
        <v>673</v>
      </c>
      <c r="D100" s="754" t="s">
        <v>674</v>
      </c>
      <c r="E100" s="831">
        <v>0.2</v>
      </c>
      <c r="F100" s="818">
        <v>30</v>
      </c>
    </row>
    <row r="101" spans="1:6" s="814" customFormat="1" ht="36">
      <c r="A101" s="818">
        <v>41</v>
      </c>
      <c r="B101" s="3427"/>
      <c r="C101" s="818" t="s">
        <v>675</v>
      </c>
      <c r="D101" s="754" t="s">
        <v>672</v>
      </c>
      <c r="E101" s="831">
        <v>0.2</v>
      </c>
      <c r="F101" s="818">
        <v>30</v>
      </c>
    </row>
    <row r="102" spans="1:6" s="814" customFormat="1" ht="48">
      <c r="A102" s="818">
        <v>42</v>
      </c>
      <c r="B102" s="818" t="s">
        <v>676</v>
      </c>
      <c r="C102" s="754" t="s">
        <v>677</v>
      </c>
      <c r="D102" s="754" t="s">
        <v>678</v>
      </c>
      <c r="E102" s="831">
        <v>0.2</v>
      </c>
      <c r="F102" s="818">
        <v>30</v>
      </c>
    </row>
    <row r="103" spans="1:6" s="814" customFormat="1" ht="24">
      <c r="A103" s="818">
        <v>43</v>
      </c>
      <c r="B103" s="818" t="s">
        <v>679</v>
      </c>
      <c r="C103" s="818" t="s">
        <v>680</v>
      </c>
      <c r="D103" s="754" t="s">
        <v>681</v>
      </c>
      <c r="E103" s="831">
        <v>0.2</v>
      </c>
      <c r="F103" s="818">
        <v>30</v>
      </c>
    </row>
    <row r="104" spans="1:6" s="814" customFormat="1" ht="36">
      <c r="A104" s="818">
        <v>44</v>
      </c>
      <c r="B104" s="818" t="s">
        <v>682</v>
      </c>
      <c r="C104" s="818" t="s">
        <v>683</v>
      </c>
      <c r="D104" s="754" t="s">
        <v>684</v>
      </c>
      <c r="E104" s="831">
        <v>0.2</v>
      </c>
      <c r="F104" s="818">
        <v>30</v>
      </c>
    </row>
    <row r="105" spans="1:6" s="814" customFormat="1" ht="36">
      <c r="A105" s="818">
        <v>45</v>
      </c>
      <c r="B105" s="3427" t="s">
        <v>685</v>
      </c>
      <c r="C105" s="818" t="s">
        <v>686</v>
      </c>
      <c r="D105" s="754" t="s">
        <v>687</v>
      </c>
      <c r="E105" s="831">
        <v>0.2</v>
      </c>
      <c r="F105" s="818">
        <v>30</v>
      </c>
    </row>
    <row r="106" spans="1:6" s="814" customFormat="1" ht="36">
      <c r="A106" s="818">
        <v>46</v>
      </c>
      <c r="B106" s="3427"/>
      <c r="C106" s="818" t="s">
        <v>688</v>
      </c>
      <c r="D106" s="754" t="s">
        <v>689</v>
      </c>
      <c r="E106" s="831">
        <v>0.2</v>
      </c>
      <c r="F106" s="818">
        <v>30</v>
      </c>
    </row>
    <row r="107" spans="1:6" s="814" customFormat="1" ht="36">
      <c r="A107" s="818">
        <v>47</v>
      </c>
      <c r="B107" s="3427" t="s">
        <v>690</v>
      </c>
      <c r="C107" s="818" t="s">
        <v>691</v>
      </c>
      <c r="D107" s="754" t="s">
        <v>692</v>
      </c>
      <c r="E107" s="831">
        <v>0.3</v>
      </c>
      <c r="F107" s="818">
        <v>50</v>
      </c>
    </row>
    <row r="108" spans="1:6" s="814" customFormat="1" ht="36">
      <c r="A108" s="818">
        <v>48</v>
      </c>
      <c r="B108" s="3427"/>
      <c r="C108" s="818" t="s">
        <v>693</v>
      </c>
      <c r="D108" s="754" t="s">
        <v>694</v>
      </c>
      <c r="E108" s="831">
        <v>0.2</v>
      </c>
      <c r="F108" s="818">
        <v>30</v>
      </c>
    </row>
    <row r="109" spans="1:6" s="814" customFormat="1" ht="36">
      <c r="A109" s="818">
        <v>49</v>
      </c>
      <c r="B109" s="818" t="s">
        <v>695</v>
      </c>
      <c r="C109" s="818" t="s">
        <v>696</v>
      </c>
      <c r="D109" s="754" t="s">
        <v>697</v>
      </c>
      <c r="E109" s="831">
        <v>0.2</v>
      </c>
      <c r="F109" s="818">
        <v>30</v>
      </c>
    </row>
    <row r="110" spans="1:6" s="814" customFormat="1" ht="36">
      <c r="A110" s="818">
        <v>50</v>
      </c>
      <c r="B110" s="818" t="s">
        <v>698</v>
      </c>
      <c r="C110" s="818" t="s">
        <v>699</v>
      </c>
      <c r="D110" s="754" t="s">
        <v>700</v>
      </c>
      <c r="E110" s="831">
        <v>0.2</v>
      </c>
      <c r="F110" s="818">
        <v>30</v>
      </c>
    </row>
    <row r="111" spans="1:6" s="814" customFormat="1" ht="36">
      <c r="A111" s="818">
        <v>51</v>
      </c>
      <c r="B111" s="3427" t="s">
        <v>701</v>
      </c>
      <c r="C111" s="818" t="s">
        <v>702</v>
      </c>
      <c r="D111" s="754" t="s">
        <v>703</v>
      </c>
      <c r="E111" s="831">
        <v>0.2</v>
      </c>
      <c r="F111" s="818">
        <v>30</v>
      </c>
    </row>
    <row r="112" spans="1:6" s="814" customFormat="1" ht="24">
      <c r="A112" s="818">
        <v>52</v>
      </c>
      <c r="B112" s="3427"/>
      <c r="C112" s="818" t="s">
        <v>704</v>
      </c>
      <c r="D112" s="754" t="s">
        <v>705</v>
      </c>
      <c r="E112" s="831">
        <v>0.2</v>
      </c>
      <c r="F112" s="818">
        <v>30</v>
      </c>
    </row>
    <row r="113" spans="1:6" s="814" customFormat="1" ht="24">
      <c r="A113" s="818">
        <v>53</v>
      </c>
      <c r="B113" s="3427"/>
      <c r="C113" s="818" t="s">
        <v>706</v>
      </c>
      <c r="D113" s="754" t="s">
        <v>707</v>
      </c>
      <c r="E113" s="831">
        <v>0.2</v>
      </c>
      <c r="F113" s="818">
        <v>30</v>
      </c>
    </row>
    <row r="114" spans="1:6" ht="36">
      <c r="A114" s="818">
        <v>54</v>
      </c>
      <c r="B114" s="818" t="s">
        <v>708</v>
      </c>
      <c r="C114" s="818" t="s">
        <v>709</v>
      </c>
      <c r="D114" s="754" t="s">
        <v>710</v>
      </c>
      <c r="E114" s="831">
        <v>0.2</v>
      </c>
      <c r="F114" s="818">
        <v>30</v>
      </c>
    </row>
    <row r="115" spans="1:6" ht="24">
      <c r="A115" s="818">
        <v>55</v>
      </c>
      <c r="B115" s="818" t="s">
        <v>711</v>
      </c>
      <c r="C115" s="818" t="s">
        <v>712</v>
      </c>
      <c r="D115" s="754" t="s">
        <v>713</v>
      </c>
      <c r="E115" s="831">
        <v>0.2</v>
      </c>
      <c r="F115" s="818">
        <v>30</v>
      </c>
    </row>
    <row r="116" spans="1:6" ht="24">
      <c r="A116" s="818">
        <v>56</v>
      </c>
      <c r="B116" s="3427" t="s">
        <v>714</v>
      </c>
      <c r="C116" s="818" t="s">
        <v>715</v>
      </c>
      <c r="D116" s="754" t="s">
        <v>716</v>
      </c>
      <c r="E116" s="831">
        <v>0.2</v>
      </c>
      <c r="F116" s="818">
        <v>30</v>
      </c>
    </row>
    <row r="117" spans="1:6" ht="36">
      <c r="A117" s="818">
        <v>57</v>
      </c>
      <c r="B117" s="3427"/>
      <c r="C117" s="818" t="s">
        <v>717</v>
      </c>
      <c r="D117" s="754" t="s">
        <v>718</v>
      </c>
      <c r="E117" s="831">
        <v>0.2</v>
      </c>
      <c r="F117" s="818">
        <v>30</v>
      </c>
    </row>
    <row r="118" spans="1:6" ht="36">
      <c r="A118" s="818">
        <v>58</v>
      </c>
      <c r="B118" s="818" t="s">
        <v>719</v>
      </c>
      <c r="C118" s="818" t="s">
        <v>720</v>
      </c>
      <c r="D118" s="754" t="s">
        <v>721</v>
      </c>
      <c r="E118" s="831">
        <v>0.2</v>
      </c>
      <c r="F118" s="818">
        <v>30</v>
      </c>
    </row>
    <row r="119" spans="1:6" ht="13.5">
      <c r="A119" s="818"/>
      <c r="B119" s="818"/>
      <c r="C119" s="818" t="s">
        <v>722</v>
      </c>
      <c r="D119" s="818"/>
      <c r="E119" s="831" t="s">
        <v>532</v>
      </c>
      <c r="F119" s="818" t="s">
        <v>532</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724</v>
      </c>
      <c r="B1" s="833"/>
      <c r="C1" s="833"/>
      <c r="D1" s="833"/>
      <c r="E1" s="833"/>
      <c r="F1" s="833"/>
      <c r="G1" s="833"/>
      <c r="H1" s="833"/>
      <c r="I1" s="833"/>
      <c r="J1" s="833"/>
      <c r="K1" s="833"/>
      <c r="L1" s="833"/>
      <c r="M1" s="833"/>
      <c r="N1" s="833"/>
    </row>
    <row r="2" spans="1:14">
      <c r="A2" s="835" t="s">
        <v>723</v>
      </c>
      <c r="B2" s="836" t="s">
        <v>134</v>
      </c>
      <c r="C2" s="836" t="s">
        <v>135</v>
      </c>
      <c r="D2" s="836" t="s">
        <v>136</v>
      </c>
      <c r="E2" s="836" t="s">
        <v>137</v>
      </c>
      <c r="F2" s="836" t="s">
        <v>138</v>
      </c>
      <c r="G2" s="836" t="s">
        <v>139</v>
      </c>
      <c r="H2" s="837" t="s">
        <v>140</v>
      </c>
      <c r="I2" s="837" t="s">
        <v>141</v>
      </c>
      <c r="J2" s="838" t="s">
        <v>142</v>
      </c>
      <c r="K2" s="838" t="s">
        <v>143</v>
      </c>
      <c r="L2" s="838" t="s">
        <v>144</v>
      </c>
      <c r="M2" s="838" t="s">
        <v>145</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725</v>
      </c>
      <c r="B103" s="833"/>
      <c r="C103" s="833"/>
      <c r="D103" s="833"/>
      <c r="E103" s="833"/>
      <c r="F103" s="833"/>
      <c r="G103" s="833"/>
      <c r="H103" s="833"/>
      <c r="I103" s="833"/>
      <c r="J103" s="833"/>
      <c r="K103" s="833"/>
      <c r="L103" s="833"/>
      <c r="M103" s="833"/>
      <c r="N103" s="833"/>
    </row>
    <row r="104" spans="1:14" ht="14.25">
      <c r="A104" s="835" t="s">
        <v>723</v>
      </c>
      <c r="B104" s="836" t="s">
        <v>134</v>
      </c>
      <c r="C104" s="836" t="s">
        <v>135</v>
      </c>
      <c r="D104" s="836" t="s">
        <v>136</v>
      </c>
      <c r="E104" s="836" t="s">
        <v>137</v>
      </c>
      <c r="F104" s="836" t="s">
        <v>138</v>
      </c>
      <c r="G104" s="836" t="s">
        <v>139</v>
      </c>
      <c r="H104" s="837" t="s">
        <v>140</v>
      </c>
      <c r="I104" s="837" t="s">
        <v>141</v>
      </c>
      <c r="J104" s="838" t="s">
        <v>142</v>
      </c>
      <c r="K104" s="838" t="s">
        <v>143</v>
      </c>
      <c r="L104" s="838" t="s">
        <v>144</v>
      </c>
      <c r="M104" s="838" t="s">
        <v>145</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726</v>
      </c>
      <c r="B205" s="833"/>
      <c r="C205" s="833"/>
      <c r="D205" s="833"/>
      <c r="E205" s="833"/>
      <c r="F205" s="833"/>
      <c r="G205" s="833"/>
      <c r="H205" s="833"/>
      <c r="I205" s="833"/>
      <c r="J205" s="833"/>
      <c r="K205" s="833"/>
      <c r="L205" s="833"/>
      <c r="M205" s="833"/>
    </row>
    <row r="206" spans="1:13">
      <c r="A206" s="835" t="s">
        <v>723</v>
      </c>
      <c r="B206" s="836" t="s">
        <v>134</v>
      </c>
      <c r="C206" s="836" t="s">
        <v>135</v>
      </c>
      <c r="D206" s="836" t="s">
        <v>136</v>
      </c>
      <c r="E206" s="836" t="s">
        <v>137</v>
      </c>
      <c r="F206" s="836" t="s">
        <v>138</v>
      </c>
      <c r="G206" s="836" t="s">
        <v>139</v>
      </c>
      <c r="H206" s="837" t="s">
        <v>140</v>
      </c>
      <c r="I206" s="837" t="s">
        <v>141</v>
      </c>
      <c r="J206" s="838" t="s">
        <v>142</v>
      </c>
      <c r="K206" s="838" t="s">
        <v>143</v>
      </c>
      <c r="L206" s="838" t="s">
        <v>144</v>
      </c>
      <c r="M206" s="838" t="s">
        <v>145</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727</v>
      </c>
      <c r="B307" s="833"/>
      <c r="C307" s="833"/>
      <c r="D307" s="833"/>
      <c r="E307" s="833"/>
      <c r="F307" s="833"/>
      <c r="G307" s="833"/>
      <c r="H307" s="833"/>
      <c r="I307" s="833"/>
      <c r="J307" s="833"/>
      <c r="K307" s="833"/>
      <c r="L307" s="833"/>
      <c r="M307" s="833"/>
    </row>
    <row r="308" spans="1:13">
      <c r="A308" s="835" t="s">
        <v>723</v>
      </c>
      <c r="B308" s="836" t="s">
        <v>134</v>
      </c>
      <c r="C308" s="836" t="s">
        <v>135</v>
      </c>
      <c r="D308" s="836" t="s">
        <v>136</v>
      </c>
      <c r="E308" s="836" t="s">
        <v>137</v>
      </c>
      <c r="F308" s="836" t="s">
        <v>138</v>
      </c>
      <c r="G308" s="836" t="s">
        <v>139</v>
      </c>
      <c r="H308" s="837" t="s">
        <v>140</v>
      </c>
      <c r="I308" s="837" t="s">
        <v>141</v>
      </c>
      <c r="J308" s="838" t="s">
        <v>142</v>
      </c>
      <c r="K308" s="838" t="s">
        <v>143</v>
      </c>
      <c r="L308" s="838" t="s">
        <v>144</v>
      </c>
      <c r="M308" s="838" t="s">
        <v>145</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125" style="1675" customWidth="1"/>
    <col min="3" max="3" width="11.375" style="1675" customWidth="1"/>
    <col min="4" max="4" width="31.875" style="1675" customWidth="1"/>
    <col min="5" max="5" width="0.5" style="1675" customWidth="1"/>
    <col min="6" max="7" width="13" style="1675" customWidth="1"/>
    <col min="8" max="16384" width="9" style="1675"/>
  </cols>
  <sheetData>
    <row r="1" spans="1:5" ht="18.75">
      <c r="A1" s="1673" t="s">
        <v>1563</v>
      </c>
      <c r="B1" s="1674"/>
      <c r="C1" s="1674"/>
      <c r="D1" s="1674"/>
      <c r="E1" s="1674"/>
    </row>
    <row r="2" spans="1:5" ht="78" customHeight="1">
      <c r="A2" s="30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8"/>
      <c r="C2" s="3098"/>
      <c r="D2" s="3098"/>
      <c r="E2" s="3098"/>
    </row>
    <row r="3" spans="1:5" ht="18">
      <c r="A3" s="3099" t="str">
        <f>IF(项目基本情况!B9="房地产市场价值","估价结果一览表（市场价值不需“结果表-1”）","估价结果一览表")</f>
        <v>估价结果一览表</v>
      </c>
      <c r="B3" s="3099"/>
      <c r="C3" s="3099"/>
      <c r="D3" s="3099"/>
      <c r="E3" s="3099"/>
    </row>
    <row r="4" spans="1:5" ht="19.5" thickBot="1">
      <c r="A4" s="1676"/>
      <c r="B4" s="3097" t="s">
        <v>1572</v>
      </c>
      <c r="C4" s="3097"/>
      <c r="D4" s="3097"/>
      <c r="E4" s="1676"/>
    </row>
    <row r="5" spans="1:5" ht="16.5" thickTop="1">
      <c r="A5" s="1674"/>
      <c r="B5" s="3095" t="s">
        <v>1564</v>
      </c>
      <c r="C5" s="1677" t="s">
        <v>1565</v>
      </c>
      <c r="D5" s="956">
        <f ca="1">结果表!H101</f>
        <v>168952</v>
      </c>
      <c r="E5" s="1674"/>
    </row>
    <row r="6" spans="1:5" ht="15.75">
      <c r="A6" s="1674"/>
      <c r="B6" s="3095"/>
      <c r="C6" s="1677" t="s">
        <v>1566</v>
      </c>
      <c r="D6" s="956" t="str">
        <f ca="1">NUMBERSTRING(INT(D5*10000),2)&amp;"元整"</f>
        <v>壹拾陆亿捌仟玖佰伍拾贰万元整</v>
      </c>
      <c r="E6" s="1674"/>
    </row>
    <row r="7" spans="1:5" ht="15.75">
      <c r="A7" s="1674"/>
      <c r="B7" s="3100"/>
      <c r="C7" s="1678" t="s">
        <v>1567</v>
      </c>
      <c r="D7" s="957">
        <f ca="1">结果表!H102</f>
        <v>13494</v>
      </c>
      <c r="E7" s="1674"/>
    </row>
    <row r="8" spans="1:5" ht="15.75">
      <c r="A8" s="1674"/>
      <c r="B8" s="3101" t="str">
        <f>结果表!E103</f>
        <v>2.估价师知悉的法定优先受偿款</v>
      </c>
      <c r="C8" s="1679" t="s">
        <v>1568</v>
      </c>
      <c r="D8" s="957">
        <f>结果表!H103</f>
        <v>0</v>
      </c>
      <c r="E8" s="1674"/>
    </row>
    <row r="9" spans="1:5" ht="15.75">
      <c r="A9" s="1674"/>
      <c r="B9" s="3103"/>
      <c r="C9" s="1677" t="s">
        <v>1566</v>
      </c>
      <c r="D9" s="956" t="str">
        <f>NUMBERSTRING(INT(D8*10000),2)&amp;"元整"</f>
        <v>零元整</v>
      </c>
      <c r="E9" s="1674"/>
    </row>
    <row r="10" spans="1:5" ht="15">
      <c r="A10" s="1674"/>
      <c r="B10" s="1680" t="s">
        <v>1571</v>
      </c>
      <c r="C10" s="1681" t="s">
        <v>1569</v>
      </c>
      <c r="D10" s="958">
        <f>结果表!H104</f>
        <v>0</v>
      </c>
      <c r="E10" s="1674"/>
    </row>
    <row r="11" spans="1:5" ht="15">
      <c r="A11" s="1674"/>
      <c r="B11" s="1680" t="s">
        <v>1573</v>
      </c>
      <c r="C11" s="1681" t="s">
        <v>1574</v>
      </c>
      <c r="D11" s="958">
        <f>结果表!H105</f>
        <v>0</v>
      </c>
      <c r="E11" s="1674"/>
    </row>
    <row r="12" spans="1:5" ht="15">
      <c r="A12" s="1674"/>
      <c r="B12" s="1680" t="s">
        <v>1575</v>
      </c>
      <c r="C12" s="1681" t="s">
        <v>1574</v>
      </c>
      <c r="D12" s="958">
        <f>结果表!H106</f>
        <v>0</v>
      </c>
      <c r="E12" s="1674"/>
    </row>
    <row r="13" spans="1:5" ht="15.75">
      <c r="A13" s="1674"/>
      <c r="B13" s="3094" t="str">
        <f>结果表!E107</f>
        <v>3.房地产抵押价值</v>
      </c>
      <c r="C13" s="1682" t="s">
        <v>1565</v>
      </c>
      <c r="D13" s="959">
        <f ca="1">结果表!H107</f>
        <v>168952</v>
      </c>
      <c r="E13" s="1674"/>
    </row>
    <row r="14" spans="1:5" ht="15.75">
      <c r="A14" s="1674"/>
      <c r="B14" s="3095"/>
      <c r="C14" s="1677" t="s">
        <v>1566</v>
      </c>
      <c r="D14" s="956" t="str">
        <f ca="1">NUMBERSTRING(INT(D13*10000),2)&amp;"元整"</f>
        <v>壹拾陆亿捌仟玖佰伍拾贰万元整</v>
      </c>
      <c r="E14" s="1674"/>
    </row>
    <row r="15" spans="1:5" ht="15">
      <c r="A15" s="1674"/>
      <c r="B15" s="3100"/>
      <c r="C15" s="1678" t="s">
        <v>1576</v>
      </c>
      <c r="D15" s="965">
        <f ca="1">结果表!H108</f>
        <v>13494</v>
      </c>
      <c r="E15" s="1674"/>
    </row>
    <row r="16" spans="1:5" ht="15">
      <c r="A16" s="1674"/>
      <c r="B16" s="3101" t="str">
        <f>结果表!E109</f>
        <v>——</v>
      </c>
      <c r="C16" s="1682" t="s">
        <v>1577</v>
      </c>
      <c r="D16" s="1683" t="str">
        <f>结果表!H109</f>
        <v>——</v>
      </c>
      <c r="E16" s="1674"/>
    </row>
    <row r="17" spans="1:5" ht="15.75">
      <c r="A17" s="1674"/>
      <c r="B17" s="3102"/>
      <c r="C17" s="1677" t="s">
        <v>1578</v>
      </c>
      <c r="D17" s="956" t="e">
        <f>NUMBERSTRING(INT(D16*10000),2)&amp;"元整"</f>
        <v>#VALUE!</v>
      </c>
      <c r="E17" s="1674"/>
    </row>
    <row r="18" spans="1:5" ht="15">
      <c r="A18" s="1674"/>
      <c r="B18" s="3103"/>
      <c r="C18" s="1678" t="s">
        <v>1567</v>
      </c>
      <c r="D18" s="965" t="str">
        <f>结果表!H110</f>
        <v>——</v>
      </c>
      <c r="E18" s="1674"/>
    </row>
    <row r="19" spans="1:5" ht="15.75">
      <c r="A19" s="1674"/>
      <c r="B19" s="3094" t="str">
        <f>结果表!E111</f>
        <v>——</v>
      </c>
      <c r="C19" s="1682" t="s">
        <v>1565</v>
      </c>
      <c r="D19" s="957" t="str">
        <f>结果表!H111</f>
        <v>——</v>
      </c>
      <c r="E19" s="1674"/>
    </row>
    <row r="20" spans="1:5" ht="15.75">
      <c r="A20" s="1674"/>
      <c r="B20" s="3095"/>
      <c r="C20" s="1677" t="s">
        <v>1578</v>
      </c>
      <c r="D20" s="956" t="e">
        <f>NUMBERSTRING(INT(D19*10000),2)&amp;"元整"</f>
        <v>#VALUE!</v>
      </c>
      <c r="E20" s="1674"/>
    </row>
    <row r="21" spans="1:5" ht="15.75" thickBot="1">
      <c r="A21" s="1674"/>
      <c r="B21" s="3096"/>
      <c r="C21" s="1684" t="s">
        <v>1576</v>
      </c>
      <c r="D21" s="966" t="str">
        <f>结果表!H112</f>
        <v>——</v>
      </c>
      <c r="E21" s="1674"/>
    </row>
    <row r="22" spans="1:5" ht="15" thickTop="1">
      <c r="A22" s="1674"/>
      <c r="B22" s="1685" t="s">
        <v>1579</v>
      </c>
      <c r="C22" s="1674"/>
      <c r="D22" s="1674"/>
      <c r="E22" s="1674"/>
    </row>
    <row r="23" spans="1:5">
      <c r="A23" s="1674"/>
      <c r="B23" s="1674"/>
      <c r="C23" s="1674"/>
      <c r="D23" s="1674"/>
      <c r="E23" s="1674"/>
    </row>
    <row r="24" spans="1:5" ht="18.75">
      <c r="A24" s="1686"/>
      <c r="B24" s="1687" t="s">
        <v>1570</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2798</v>
      </c>
      <c r="B1" s="2360"/>
      <c r="C1" s="2360"/>
      <c r="D1" s="2360"/>
      <c r="E1" s="2360"/>
      <c r="F1" s="3021"/>
      <c r="G1" s="3021"/>
      <c r="H1" s="3021"/>
      <c r="I1" s="3021"/>
      <c r="J1" s="3021"/>
      <c r="K1" s="3021"/>
      <c r="L1" s="3021"/>
      <c r="M1" s="3021"/>
      <c r="N1" s="3021"/>
      <c r="O1" s="3021"/>
      <c r="P1" s="3021"/>
    </row>
    <row r="2" spans="1:16" ht="15.75">
      <c r="A2" s="2358" t="s">
        <v>2790</v>
      </c>
      <c r="B2" s="2825" t="e">
        <f ca="1">SUMIF(B6:B13,"&lt;&gt;#ref!",B6:B13)</f>
        <v>#DIV/0!</v>
      </c>
      <c r="C2" s="2358" t="s">
        <v>2791</v>
      </c>
      <c r="D2" s="2358" t="s">
        <v>2792</v>
      </c>
      <c r="E2" s="2835">
        <f ca="1">SUMIF(E6:E13,"&lt;&gt;#ref!",E6:E13)</f>
        <v>0</v>
      </c>
      <c r="F2" s="3021"/>
      <c r="G2" s="3021"/>
      <c r="H2" s="3021"/>
      <c r="I2" s="3021"/>
      <c r="J2" s="3021"/>
      <c r="K2" s="3021"/>
      <c r="L2" s="3021"/>
      <c r="M2" s="3021"/>
      <c r="N2" s="3021"/>
      <c r="O2" s="3021"/>
      <c r="P2" s="3021"/>
    </row>
    <row r="3" spans="1:16" ht="15.75">
      <c r="A3" s="2358" t="s">
        <v>2793</v>
      </c>
      <c r="B3" s="2825" t="e">
        <f ca="1">ROUND(B2*10000/E2,0)</f>
        <v>#DIV/0!</v>
      </c>
      <c r="C3" s="2358" t="s">
        <v>2799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2794</v>
      </c>
      <c r="B5" s="2833" t="s">
        <v>2795</v>
      </c>
      <c r="C5" s="2359"/>
      <c r="D5" s="3021"/>
      <c r="E5" s="2834" t="s">
        <v>2796</v>
      </c>
      <c r="F5" s="3021"/>
      <c r="G5" s="3021"/>
      <c r="H5" s="3021"/>
      <c r="I5" s="3021"/>
      <c r="J5" s="3021"/>
      <c r="K5" s="3021"/>
      <c r="L5" s="3021"/>
      <c r="M5" s="3021"/>
      <c r="N5" s="3021"/>
      <c r="O5" s="3021"/>
      <c r="P5" s="3021"/>
    </row>
    <row r="6" spans="1:16" ht="15.75">
      <c r="A6" s="2832" t="s">
        <v>2797</v>
      </c>
      <c r="B6" s="2825" t="e">
        <f ca="1">SUMIF(INDIRECT("'"&amp;A6&amp;"'"&amp;"!A:A"),"总价",INDIRECT("'"&amp;A6&amp;"'"&amp;"!B:B"))</f>
        <v>#DIV/0!</v>
      </c>
      <c r="C6" s="2358" t="s">
        <v>2791</v>
      </c>
      <c r="D6" s="3021"/>
      <c r="E6" s="2835">
        <f ca="1">SUMIF(INDIRECT("'"&amp;A6&amp;"'"&amp;"!C:C"),"建筑面积",INDIRECT("'"&amp;A6&amp;"'"&amp;"!D:D"))</f>
        <v>0</v>
      </c>
      <c r="F6" s="3021"/>
      <c r="G6" s="3021"/>
      <c r="H6" s="3021"/>
      <c r="I6" s="3021"/>
      <c r="J6" s="3021"/>
      <c r="K6" s="3021"/>
      <c r="L6" s="3021"/>
      <c r="M6" s="3021"/>
      <c r="N6" s="3021"/>
      <c r="O6" s="3021"/>
      <c r="P6" s="3021"/>
    </row>
    <row r="7" spans="1:16" ht="15.75">
      <c r="A7" s="2832"/>
      <c r="B7" s="2825" t="e">
        <f ca="1">SUMIF(INDIRECT("'"&amp;A7&amp;"'"&amp;"!A:A"),"总价",INDIRECT("'"&amp;A7&amp;"'"&amp;"!B:B"))</f>
        <v>#REF!</v>
      </c>
      <c r="C7" s="2358" t="s">
        <v>2791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2791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2791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2791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2791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2791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2791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C7:Q40"/>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1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1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33" t="s">
        <v>1094</v>
      </c>
      <c r="C1" s="3433"/>
      <c r="D1" s="3433"/>
      <c r="E1" s="3433"/>
      <c r="F1" s="3433"/>
      <c r="G1" s="3429" t="s">
        <v>1095</v>
      </c>
      <c r="H1" s="3429"/>
      <c r="I1" s="3429"/>
      <c r="J1" s="3429"/>
      <c r="K1" s="3429"/>
      <c r="L1" s="3429"/>
      <c r="N1" s="3429" t="s">
        <v>1096</v>
      </c>
      <c r="O1" s="3429"/>
      <c r="P1" s="3429"/>
      <c r="Q1" s="3429"/>
      <c r="S1" s="3429" t="s">
        <v>1097</v>
      </c>
      <c r="T1" s="3429"/>
      <c r="U1" s="3429"/>
      <c r="V1" s="3429"/>
      <c r="X1" s="3428" t="s">
        <v>1098</v>
      </c>
      <c r="Y1" s="3429"/>
      <c r="Z1" s="3429"/>
      <c r="AA1" s="3429"/>
      <c r="AB1" s="3429"/>
      <c r="AD1" s="3428" t="s">
        <v>1099</v>
      </c>
      <c r="AE1" s="3429"/>
      <c r="AF1" s="3429"/>
      <c r="AG1" s="3429"/>
      <c r="AH1" s="3429"/>
    </row>
    <row r="2" spans="1:34" s="2387" customFormat="1" ht="14.25" thickBot="1">
      <c r="B2" s="2388" t="s">
        <v>1100</v>
      </c>
      <c r="C2" s="2388" t="s">
        <v>1101</v>
      </c>
      <c r="D2" s="2389" t="s">
        <v>1102</v>
      </c>
      <c r="E2" s="2389" t="s">
        <v>1103</v>
      </c>
      <c r="F2" s="2388" t="s">
        <v>1104</v>
      </c>
      <c r="G2" s="2390"/>
      <c r="I2" s="2388" t="s">
        <v>1100</v>
      </c>
      <c r="J2" s="2389" t="s">
        <v>1327</v>
      </c>
      <c r="K2" s="2389" t="s">
        <v>728</v>
      </c>
      <c r="L2" s="2388" t="s">
        <v>1104</v>
      </c>
      <c r="N2" s="2388" t="s">
        <v>1100</v>
      </c>
      <c r="O2" s="2389" t="s">
        <v>1327</v>
      </c>
      <c r="P2" s="2389" t="s">
        <v>728</v>
      </c>
      <c r="Q2" s="2388" t="s">
        <v>1104</v>
      </c>
      <c r="S2" s="2388" t="s">
        <v>1100</v>
      </c>
      <c r="T2" s="2389" t="s">
        <v>1327</v>
      </c>
      <c r="U2" s="2389" t="s">
        <v>728</v>
      </c>
      <c r="V2" s="2388" t="s">
        <v>1104</v>
      </c>
      <c r="X2" s="2388" t="s">
        <v>1100</v>
      </c>
      <c r="Y2" s="2388" t="s">
        <v>1101</v>
      </c>
      <c r="Z2" s="2389" t="s">
        <v>1102</v>
      </c>
      <c r="AA2" s="2389" t="s">
        <v>1103</v>
      </c>
      <c r="AB2" s="2388" t="s">
        <v>1104</v>
      </c>
      <c r="AD2" s="2388" t="s">
        <v>1100</v>
      </c>
      <c r="AE2" s="2388" t="s">
        <v>1101</v>
      </c>
      <c r="AF2" s="2389" t="s">
        <v>1102</v>
      </c>
      <c r="AG2" s="2389" t="s">
        <v>1103</v>
      </c>
      <c r="AH2" s="2388" t="s">
        <v>1104</v>
      </c>
    </row>
    <row r="3" spans="1:34" s="2397" customFormat="1" ht="14.25">
      <c r="A3" s="2391" t="s">
        <v>2831</v>
      </c>
      <c r="B3" s="2392"/>
      <c r="C3" s="2392"/>
      <c r="D3" s="2393"/>
      <c r="E3" s="2393"/>
      <c r="F3" s="2392"/>
      <c r="G3" s="2394"/>
      <c r="H3" s="2395"/>
      <c r="I3" s="2396">
        <f>ROUND(AVERAGE($I4:$I33),2)</f>
        <v>1.68</v>
      </c>
      <c r="J3" s="2396">
        <f>ROUND(AVERAGE($J4:$J33),2)</f>
        <v>1.1000000000000001</v>
      </c>
      <c r="K3" s="2396">
        <f>ROUND(AVERAGE($K4:$K33),2)</f>
        <v>1.85</v>
      </c>
      <c r="L3" s="2396">
        <f>ROUND(AVERAGE($L4:$L33),2)</f>
        <v>1.19</v>
      </c>
      <c r="N3" s="2394"/>
      <c r="S3" s="2394"/>
      <c r="W3" s="2398"/>
      <c r="X3" s="2399">
        <f>ROUND(SUMPRODUCT(PRODUCT(1+N3:N$32)),4)</f>
        <v>1.571</v>
      </c>
      <c r="Y3" s="2399">
        <f>ROUND(SUMPRODUCT(PRODUCT(1+O3:O$32)),4)</f>
        <v>1.3420000000000001</v>
      </c>
      <c r="Z3" s="2399">
        <f t="shared" ref="Z3:Z30" si="0">Y3</f>
        <v>1.3420000000000001</v>
      </c>
      <c r="AA3" s="2399">
        <f>ROUND(SUMPRODUCT(PRODUCT(1+P3:P$32)),4)</f>
        <v>1.6415999999999999</v>
      </c>
      <c r="AB3" s="2399">
        <f>ROUND(SUMPRODUCT(PRODUCT(1+Q3:Q$32)),4)</f>
        <v>1.389</v>
      </c>
      <c r="AD3" s="2400">
        <f>ROUND(AVERAGE(I3:I$33)/100,4)</f>
        <v>1.6799999999999999E-2</v>
      </c>
      <c r="AE3" s="2400">
        <f>ROUND(AVERAGE(J3:J$33)/100,4)</f>
        <v>1.0999999999999999E-2</v>
      </c>
      <c r="AF3" s="2400">
        <f t="shared" ref="AF3:AF31" si="1">AE3</f>
        <v>1.0999999999999999E-2</v>
      </c>
      <c r="AG3" s="2400">
        <f>ROUND(AVERAGE(K3:K$33)/100,4)</f>
        <v>1.8499999999999999E-2</v>
      </c>
      <c r="AH3" s="2400">
        <f>ROUND(AVERAGE(L3:L$33)/100,4)</f>
        <v>1.1900000000000001E-2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3035</v>
      </c>
      <c r="B5" s="2410">
        <f t="shared" ref="B5" si="2">B6*(1+N5)</f>
        <v>483.1434279321756</v>
      </c>
      <c r="C5" s="2410">
        <f t="shared" ref="C5" si="3">C6*(1+O5)</f>
        <v>345.93622669144776</v>
      </c>
      <c r="D5" s="2410">
        <f t="shared" ref="D5" si="4">C5</f>
        <v>345.93622669144776</v>
      </c>
      <c r="E5" s="2410">
        <f t="shared" ref="E5" si="5">E6*(1+P5)</f>
        <v>694.24498562544113</v>
      </c>
      <c r="F5" s="2410">
        <f t="shared" ref="F5" si="6">F6*(1+Q5)</f>
        <v>319.35475932716082</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2832</v>
      </c>
      <c r="X5" s="2418">
        <f>ROUND(IF(项目基本情况!B5="出让",SUMPRODUCT(PRODUCT(1+N5:N$33)),SUMPRODUCT(PRODUCT(1+N5:N$32))),4)</f>
        <v>1.571</v>
      </c>
      <c r="Y5" s="2418">
        <f>ROUND(IF(项目基本情况!B5="出让",SUMPRODUCT(PRODUCT(1+O5:O$33)),SUMPRODUCT(PRODUCT(1+O5:O$32))),4)</f>
        <v>1.3420000000000001</v>
      </c>
      <c r="Z5" s="2418">
        <f t="shared" ref="Z5" si="11">Y5</f>
        <v>1.3420000000000001</v>
      </c>
      <c r="AA5" s="2418">
        <f>ROUND(IF(项目基本情况!B5="出让",SUMPRODUCT(PRODUCT(1+P5:P$33)),SUMPRODUCT(PRODUCT(1+P5:P$32))),4)</f>
        <v>1.6415999999999999</v>
      </c>
      <c r="AB5" s="2418">
        <f>ROUND(IF(项目基本情况!B5="出让",SUMPRODUCT(PRODUCT(1+Q5:Q$33)),SUMPRODUCT(PRODUCT(1+Q5:Q$32))),4)</f>
        <v>1.389</v>
      </c>
      <c r="AD5" s="2419">
        <f>ROUND(AVERAGE(I5:I$33)/100,4)</f>
        <v>1.6799999999999999E-2</v>
      </c>
      <c r="AE5" s="2419">
        <f>ROUND(AVERAGE(J5:J$33)/100,4)</f>
        <v>1.0999999999999999E-2</v>
      </c>
      <c r="AF5" s="2419">
        <f t="shared" ref="AF5" si="12">AE5</f>
        <v>1.0999999999999999E-2</v>
      </c>
      <c r="AG5" s="2419">
        <f>ROUND(AVERAGE(K5:K$33)/100,4)</f>
        <v>1.8499999999999999E-2</v>
      </c>
      <c r="AH5" s="2419">
        <f>ROUND(AVERAGE(L5:L$33)/100,4)</f>
        <v>1.1900000000000001E-2</v>
      </c>
    </row>
    <row r="6" spans="1:34" s="2427" customFormat="1">
      <c r="A6" s="2420" t="s">
        <v>3036</v>
      </c>
      <c r="B6" s="2421">
        <f t="shared" ref="B6" si="13">B7*(1+N6)</f>
        <v>483.1434279321756</v>
      </c>
      <c r="C6" s="2421">
        <f t="shared" ref="C6" si="14">C7*(1+O6)</f>
        <v>345.93622669144776</v>
      </c>
      <c r="D6" s="2421">
        <f t="shared" ref="D6" si="15">C6</f>
        <v>345.93622669144776</v>
      </c>
      <c r="E6" s="2421">
        <f t="shared" ref="E6" si="16">E7*(1+P6)</f>
        <v>694.24498562544113</v>
      </c>
      <c r="F6" s="2421">
        <f t="shared" ref="F6" si="17">F7*(1+Q6)</f>
        <v>319.35475932716082</v>
      </c>
      <c r="G6" s="3040">
        <v>2020</v>
      </c>
      <c r="H6" s="2422">
        <v>4</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ROUND(IF(项目基本情况!B6="出让",SUMPRODUCT(PRODUCT(1+N6:N$33)),SUMPRODUCT(PRODUCT(1+N6:N$32))),4)</f>
        <v>1.571</v>
      </c>
      <c r="Y6" s="2425">
        <f>ROUND(IF(项目基本情况!B6="出让",SUMPRODUCT(PRODUCT(1+O6:O$33)),SUMPRODUCT(PRODUCT(1+O6:O$32))),4)</f>
        <v>1.3420000000000001</v>
      </c>
      <c r="Z6" s="2425">
        <f t="shared" ref="Z6" si="22">Y6</f>
        <v>1.3420000000000001</v>
      </c>
      <c r="AA6" s="2425">
        <f>ROUND(IF(项目基本情况!B6="出让",SUMPRODUCT(PRODUCT(1+P6:P$33)),SUMPRODUCT(PRODUCT(1+P6:P$32))),4)</f>
        <v>1.6415999999999999</v>
      </c>
      <c r="AB6" s="2425">
        <f>ROUND(IF(项目基本情况!B6="出让",SUMPRODUCT(PRODUCT(1+Q6:Q$33)),SUMPRODUCT(PRODUCT(1+Q6:Q$32))),4)</f>
        <v>1.389</v>
      </c>
      <c r="AC6" s="2425"/>
      <c r="AD6" s="2426">
        <f>ROUND(AVERAGE(I6:I$33)/100,4)</f>
        <v>1.7399999999999999E-2</v>
      </c>
      <c r="AE6" s="2426">
        <f>ROUND(AVERAGE(J6:J$33)/100,4)</f>
        <v>1.14E-2</v>
      </c>
      <c r="AF6" s="2426">
        <f t="shared" ref="AF6" si="23">AE6</f>
        <v>1.14E-2</v>
      </c>
      <c r="AG6" s="2426">
        <f>ROUND(AVERAGE(K6:K$33)/100,4)</f>
        <v>1.9199999999999998E-2</v>
      </c>
      <c r="AH6" s="2426">
        <f>ROUND(AVERAGE(L6:L$33)/100,4)</f>
        <v>1.23E-2</v>
      </c>
    </row>
    <row r="7" spans="1:34" s="2427" customFormat="1">
      <c r="A7" s="2420" t="s">
        <v>3034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2848</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2846</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2845</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2844</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2842</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2840</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2843</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431">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2838</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431"/>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2837</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431"/>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2830</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38"/>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2828</v>
      </c>
      <c r="B18" s="2435">
        <v>439</v>
      </c>
      <c r="C18" s="2435">
        <v>327</v>
      </c>
      <c r="D18" s="2435">
        <f>C18</f>
        <v>327</v>
      </c>
      <c r="E18" s="2435">
        <v>627</v>
      </c>
      <c r="F18" s="2436">
        <v>283</v>
      </c>
      <c r="G18" s="3434">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2829</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431"/>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1328</v>
      </c>
      <c r="B20" s="2421">
        <f t="shared" si="152"/>
        <v>419.31181600000002</v>
      </c>
      <c r="C20" s="2421">
        <f t="shared" si="153"/>
        <v>313.95436800000004</v>
      </c>
      <c r="D20" s="2421">
        <f t="shared" si="154"/>
        <v>313.95436800000004</v>
      </c>
      <c r="E20" s="2421">
        <f t="shared" si="155"/>
        <v>596.63028431999999</v>
      </c>
      <c r="F20" s="2421">
        <f t="shared" si="156"/>
        <v>274.74220703999998</v>
      </c>
      <c r="G20" s="3431"/>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1105</v>
      </c>
      <c r="B21" s="2421">
        <f>B22*(1+N21)</f>
        <v>405.524</v>
      </c>
      <c r="C21" s="2421">
        <f>C22*(1+O21)</f>
        <v>307.79840000000002</v>
      </c>
      <c r="D21" s="2421">
        <f>C21</f>
        <v>307.79840000000002</v>
      </c>
      <c r="E21" s="2421">
        <f>E22*(1+P21)</f>
        <v>574.67759999999998</v>
      </c>
      <c r="F21" s="2421">
        <f>F22*(1+Q21)</f>
        <v>270.20280000000002</v>
      </c>
      <c r="G21" s="3438"/>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131</v>
      </c>
      <c r="B22" s="2435">
        <v>392</v>
      </c>
      <c r="C22" s="2435">
        <v>302</v>
      </c>
      <c r="D22" s="2435">
        <f>C22</f>
        <v>302</v>
      </c>
      <c r="E22" s="2435">
        <v>553</v>
      </c>
      <c r="F22" s="2436">
        <v>266</v>
      </c>
      <c r="G22" s="3434">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130</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431"/>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120</v>
      </c>
      <c r="B24" s="2421">
        <f t="shared" si="165"/>
        <v>360.06949782209392</v>
      </c>
      <c r="C24" s="2421">
        <f t="shared" si="165"/>
        <v>289.84672674747821</v>
      </c>
      <c r="D24" s="2421">
        <f t="shared" si="166"/>
        <v>289.84672674747821</v>
      </c>
      <c r="E24" s="2421">
        <f t="shared" si="167"/>
        <v>501.06543001181495</v>
      </c>
      <c r="F24" s="2421">
        <f t="shared" si="167"/>
        <v>256.82882500744967</v>
      </c>
      <c r="G24" s="3431"/>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129</v>
      </c>
      <c r="B25" s="2421">
        <f t="shared" si="165"/>
        <v>346.720748986128</v>
      </c>
      <c r="C25" s="2421">
        <f t="shared" si="165"/>
        <v>284.30282172386285</v>
      </c>
      <c r="D25" s="2421">
        <f t="shared" si="166"/>
        <v>284.30282172386285</v>
      </c>
      <c r="E25" s="2421">
        <f t="shared" si="167"/>
        <v>479.58023546306947</v>
      </c>
      <c r="F25" s="2421">
        <f t="shared" si="167"/>
        <v>253.25788877571213</v>
      </c>
      <c r="G25" s="3432"/>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128</v>
      </c>
      <c r="B26" s="2435">
        <v>333</v>
      </c>
      <c r="C26" s="2435">
        <v>277</v>
      </c>
      <c r="D26" s="2435">
        <f t="shared" si="166"/>
        <v>277</v>
      </c>
      <c r="E26" s="2435">
        <v>459</v>
      </c>
      <c r="F26" s="2436">
        <v>249</v>
      </c>
      <c r="G26" s="3430">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127</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431"/>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126</v>
      </c>
      <c r="B28" s="2421">
        <f t="shared" si="169"/>
        <v>322.34053690220776</v>
      </c>
      <c r="C28" s="2421">
        <f t="shared" si="169"/>
        <v>271.46160770422546</v>
      </c>
      <c r="D28" s="2421">
        <f t="shared" si="166"/>
        <v>271.46160770422546</v>
      </c>
      <c r="E28" s="2421">
        <f t="shared" si="170"/>
        <v>442.69434542172456</v>
      </c>
      <c r="F28" s="2421">
        <f t="shared" si="170"/>
        <v>241.34030753190925</v>
      </c>
      <c r="G28" s="3431"/>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125</v>
      </c>
      <c r="B29" s="2421">
        <f t="shared" si="169"/>
        <v>319.87748030386797</v>
      </c>
      <c r="C29" s="2421">
        <f t="shared" si="169"/>
        <v>269.60135833173649</v>
      </c>
      <c r="D29" s="2421">
        <f t="shared" si="166"/>
        <v>269.60135833173649</v>
      </c>
      <c r="E29" s="2421">
        <f t="shared" si="170"/>
        <v>439.18089823583784</v>
      </c>
      <c r="F29" s="2421">
        <f t="shared" si="170"/>
        <v>239.23503918706311</v>
      </c>
      <c r="G29" s="3432"/>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124</v>
      </c>
      <c r="B30" s="2449">
        <v>318</v>
      </c>
      <c r="C30" s="2449">
        <v>268</v>
      </c>
      <c r="D30" s="2449">
        <f t="shared" si="166"/>
        <v>268</v>
      </c>
      <c r="E30" s="2449">
        <v>437</v>
      </c>
      <c r="F30" s="2450">
        <v>237</v>
      </c>
      <c r="G30" s="3430">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123</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431"/>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122</v>
      </c>
      <c r="B32" s="2421">
        <f t="shared" si="171"/>
        <v>314.72141172386546</v>
      </c>
      <c r="C32" s="2421">
        <f t="shared" si="171"/>
        <v>263.03901319069001</v>
      </c>
      <c r="D32" s="2421">
        <f t="shared" si="166"/>
        <v>263.03901319069001</v>
      </c>
      <c r="E32" s="2421">
        <f t="shared" si="172"/>
        <v>433.65745506782821</v>
      </c>
      <c r="F32" s="2421">
        <f t="shared" si="172"/>
        <v>233.23005080045735</v>
      </c>
      <c r="G32" s="3431"/>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121</v>
      </c>
      <c r="B33" s="2454">
        <f t="shared" si="171"/>
        <v>307.34512863658733</v>
      </c>
      <c r="C33" s="2454">
        <f t="shared" si="171"/>
        <v>257.80556031626975</v>
      </c>
      <c r="D33" s="2454">
        <f t="shared" si="166"/>
        <v>257.80556031626975</v>
      </c>
      <c r="E33" s="2454">
        <f t="shared" si="172"/>
        <v>422.70928459677179</v>
      </c>
      <c r="F33" s="2454">
        <f t="shared" si="172"/>
        <v>229.73803270336617</v>
      </c>
      <c r="G33" s="3432"/>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1106</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1107</v>
      </c>
      <c r="B34" s="2435">
        <v>299</v>
      </c>
      <c r="C34" s="2435">
        <v>252</v>
      </c>
      <c r="D34" s="2435">
        <f t="shared" si="166"/>
        <v>252</v>
      </c>
      <c r="E34" s="2435">
        <v>409</v>
      </c>
      <c r="F34" s="2436">
        <v>227</v>
      </c>
      <c r="G34" s="3435">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1108</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36"/>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1109</v>
      </c>
      <c r="B36" s="2421">
        <f t="shared" si="175"/>
        <v>288.2649053828776</v>
      </c>
      <c r="C36" s="2421">
        <f t="shared" si="175"/>
        <v>243.64564425013293</v>
      </c>
      <c r="D36" s="2421">
        <f t="shared" si="166"/>
        <v>243.64564425013293</v>
      </c>
      <c r="E36" s="2421">
        <f t="shared" si="176"/>
        <v>393.31080825986544</v>
      </c>
      <c r="F36" s="2421">
        <f t="shared" si="176"/>
        <v>223.07903790551154</v>
      </c>
      <c r="G36" s="3436"/>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1110</v>
      </c>
      <c r="B37" s="2421">
        <f t="shared" si="175"/>
        <v>282.50186729015837</v>
      </c>
      <c r="C37" s="2421">
        <f t="shared" si="175"/>
        <v>238.09796174155468</v>
      </c>
      <c r="D37" s="2421">
        <f t="shared" si="166"/>
        <v>238.09796174155468</v>
      </c>
      <c r="E37" s="2421">
        <f t="shared" si="176"/>
        <v>385.33438646014054</v>
      </c>
      <c r="F37" s="2421">
        <f t="shared" si="176"/>
        <v>221.55034055567739</v>
      </c>
      <c r="G37" s="3437"/>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1111</v>
      </c>
      <c r="B38" s="2470">
        <v>278</v>
      </c>
      <c r="C38" s="2470">
        <v>234</v>
      </c>
      <c r="D38" s="2470">
        <f t="shared" si="166"/>
        <v>234</v>
      </c>
      <c r="E38" s="2470">
        <v>379</v>
      </c>
      <c r="F38" s="2471">
        <v>220</v>
      </c>
      <c r="G38" s="3430">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1112</v>
      </c>
      <c r="B39" s="2421">
        <f>B38/(1+N38)</f>
        <v>275.49301357645425</v>
      </c>
      <c r="C39" s="2421">
        <f>C38/(1+O38)</f>
        <v>232.41954707985698</v>
      </c>
      <c r="D39" s="2421">
        <f t="shared" si="166"/>
        <v>232.41954707985698</v>
      </c>
      <c r="E39" s="2421">
        <f t="shared" ref="E39:F41" si="177">E38/(1+P38)</f>
        <v>375.32184591008121</v>
      </c>
      <c r="F39" s="2421">
        <f t="shared" si="177"/>
        <v>218.03766105054513</v>
      </c>
      <c r="G39" s="3431"/>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1113</v>
      </c>
      <c r="B40" s="2421">
        <f>B39/(1+N39)</f>
        <v>275.24529281292263</v>
      </c>
      <c r="C40" s="2421">
        <f>C39/(1+O39)</f>
        <v>231.74747938962707</v>
      </c>
      <c r="D40" s="2421">
        <f t="shared" si="166"/>
        <v>231.74747938962707</v>
      </c>
      <c r="E40" s="2421">
        <f t="shared" si="177"/>
        <v>375.35938184826603</v>
      </c>
      <c r="F40" s="2421">
        <f t="shared" si="177"/>
        <v>216.78033510692495</v>
      </c>
      <c r="G40" s="3431"/>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1114</v>
      </c>
      <c r="B41" s="2421">
        <f>B40/(1+N40)</f>
        <v>275.19025476197027</v>
      </c>
      <c r="C41" s="2472">
        <v>232</v>
      </c>
      <c r="D41" s="2472">
        <f t="shared" si="166"/>
        <v>232</v>
      </c>
      <c r="E41" s="2421">
        <f t="shared" si="177"/>
        <v>375.65990977608692</v>
      </c>
      <c r="F41" s="2421">
        <f t="shared" si="177"/>
        <v>214.12518283971252</v>
      </c>
      <c r="G41" s="3432"/>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1115</v>
      </c>
      <c r="B42" s="2435">
        <v>275</v>
      </c>
      <c r="C42" s="2435">
        <v>232</v>
      </c>
      <c r="D42" s="2435">
        <f t="shared" si="166"/>
        <v>232</v>
      </c>
      <c r="E42" s="2435">
        <v>376</v>
      </c>
      <c r="F42" s="2436">
        <v>213</v>
      </c>
      <c r="G42" s="3430">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1116</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431">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1117</v>
      </c>
      <c r="B44" s="2421">
        <f t="shared" si="178"/>
        <v>275.19335084830601</v>
      </c>
      <c r="C44" s="2421">
        <f t="shared" si="178"/>
        <v>230.18088050139744</v>
      </c>
      <c r="D44" s="2421">
        <f t="shared" si="166"/>
        <v>230.18088050139744</v>
      </c>
      <c r="E44" s="2421">
        <f t="shared" si="179"/>
        <v>377.58482925212331</v>
      </c>
      <c r="F44" s="2421">
        <f t="shared" si="179"/>
        <v>210.90687997847917</v>
      </c>
      <c r="G44" s="3431">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1118</v>
      </c>
      <c r="B45" s="2421">
        <f t="shared" si="178"/>
        <v>276.29854502841971</v>
      </c>
      <c r="C45" s="2421">
        <f t="shared" si="178"/>
        <v>229.79023709833027</v>
      </c>
      <c r="D45" s="2421">
        <f t="shared" si="166"/>
        <v>229.79023709833027</v>
      </c>
      <c r="E45" s="2421">
        <f t="shared" si="179"/>
        <v>379.78759731655936</v>
      </c>
      <c r="F45" s="2421">
        <f t="shared" si="179"/>
        <v>211.32953905659235</v>
      </c>
      <c r="G45" s="3432">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1119</v>
      </c>
      <c r="B46" s="2435">
        <v>269</v>
      </c>
      <c r="C46" s="2435">
        <v>221</v>
      </c>
      <c r="D46" s="2435">
        <f t="shared" si="166"/>
        <v>221</v>
      </c>
      <c r="E46" s="2435">
        <v>373</v>
      </c>
      <c r="F46" s="2436">
        <v>196</v>
      </c>
      <c r="G46" s="3430">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1120</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431">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1121</v>
      </c>
      <c r="B48" s="2421">
        <f t="shared" si="180"/>
        <v>242.95398227588385</v>
      </c>
      <c r="C48" s="2421">
        <f t="shared" si="180"/>
        <v>199.59137053614126</v>
      </c>
      <c r="D48" s="2421">
        <f t="shared" si="166"/>
        <v>199.59137053614126</v>
      </c>
      <c r="E48" s="2421">
        <f t="shared" si="181"/>
        <v>335.92189522342125</v>
      </c>
      <c r="F48" s="2421">
        <f t="shared" si="181"/>
        <v>183.10139991109489</v>
      </c>
      <c r="G48" s="3431">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1122</v>
      </c>
      <c r="B49" s="2421">
        <f t="shared" si="180"/>
        <v>232.06990378821649</v>
      </c>
      <c r="C49" s="2421">
        <f t="shared" si="180"/>
        <v>192.74878854286936</v>
      </c>
      <c r="D49" s="2421">
        <f t="shared" si="166"/>
        <v>192.74878854286936</v>
      </c>
      <c r="E49" s="2421">
        <f t="shared" si="181"/>
        <v>319.71247284992984</v>
      </c>
      <c r="F49" s="2421">
        <f t="shared" si="181"/>
        <v>175.67053622862409</v>
      </c>
      <c r="G49" s="3432">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1123</v>
      </c>
      <c r="B50" s="2435">
        <v>220</v>
      </c>
      <c r="C50" s="2435">
        <v>187</v>
      </c>
      <c r="D50" s="2435">
        <f t="shared" si="166"/>
        <v>187</v>
      </c>
      <c r="E50" s="2435">
        <v>301</v>
      </c>
      <c r="F50" s="2436">
        <v>168</v>
      </c>
      <c r="G50" s="3430">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1124</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431">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1125</v>
      </c>
      <c r="B52" s="2421">
        <f t="shared" si="182"/>
        <v>210.630522469011</v>
      </c>
      <c r="C52" s="2421">
        <f t="shared" si="182"/>
        <v>181.69567812247232</v>
      </c>
      <c r="D52" s="2421">
        <f t="shared" si="166"/>
        <v>181.69567812247232</v>
      </c>
      <c r="E52" s="2421">
        <f t="shared" si="183"/>
        <v>286.13517466736738</v>
      </c>
      <c r="F52" s="2421">
        <f t="shared" si="183"/>
        <v>165.47535084591149</v>
      </c>
      <c r="G52" s="3431">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1126</v>
      </c>
      <c r="B53" s="2421">
        <f t="shared" si="182"/>
        <v>208.83454537875372</v>
      </c>
      <c r="C53" s="2421">
        <f t="shared" si="182"/>
        <v>183.77230517090351</v>
      </c>
      <c r="D53" s="2421">
        <f t="shared" si="166"/>
        <v>183.77230517090351</v>
      </c>
      <c r="E53" s="2421">
        <f t="shared" si="183"/>
        <v>281.10342338870947</v>
      </c>
      <c r="F53" s="2421">
        <f t="shared" si="183"/>
        <v>168.97309388942256</v>
      </c>
      <c r="G53" s="3432">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1127</v>
      </c>
      <c r="B54" s="2470">
        <v>214</v>
      </c>
      <c r="C54" s="2470">
        <v>188</v>
      </c>
      <c r="D54" s="2470">
        <f t="shared" si="166"/>
        <v>188</v>
      </c>
      <c r="E54" s="2470">
        <v>289</v>
      </c>
      <c r="F54" s="2471">
        <v>166</v>
      </c>
      <c r="G54" s="3430">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1128</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431">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1129</v>
      </c>
      <c r="B56" s="2421">
        <f t="shared" si="184"/>
        <v>206.31694671589116</v>
      </c>
      <c r="C56" s="2421">
        <f t="shared" si="184"/>
        <v>183.61041121036101</v>
      </c>
      <c r="D56" s="2421">
        <f t="shared" si="166"/>
        <v>183.61041121036101</v>
      </c>
      <c r="E56" s="2421">
        <f t="shared" si="185"/>
        <v>276.66850301795557</v>
      </c>
      <c r="F56" s="2421">
        <f t="shared" si="185"/>
        <v>165.1360938278614</v>
      </c>
      <c r="G56" s="3431">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1130</v>
      </c>
      <c r="B57" s="2473">
        <f t="shared" si="184"/>
        <v>196.62341248059772</v>
      </c>
      <c r="C57" s="2473">
        <f t="shared" si="184"/>
        <v>170.99125648199012</v>
      </c>
      <c r="D57" s="2473">
        <f t="shared" si="166"/>
        <v>170.99125648199012</v>
      </c>
      <c r="E57" s="2473">
        <f t="shared" si="185"/>
        <v>266.07857570490052</v>
      </c>
      <c r="F57" s="2473">
        <f t="shared" si="185"/>
        <v>154.53499328828505</v>
      </c>
      <c r="G57" s="3432">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1131</v>
      </c>
      <c r="B58" s="2435">
        <v>188</v>
      </c>
      <c r="C58" s="2435">
        <v>165</v>
      </c>
      <c r="D58" s="2435">
        <f t="shared" si="166"/>
        <v>165</v>
      </c>
      <c r="E58" s="2435">
        <v>254</v>
      </c>
      <c r="F58" s="2436">
        <v>148</v>
      </c>
      <c r="G58" s="3430">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1132</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431">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1133</v>
      </c>
      <c r="B60" s="2421">
        <f t="shared" si="188"/>
        <v>168.82017748715555</v>
      </c>
      <c r="C60" s="2421">
        <f t="shared" si="188"/>
        <v>148.06267029972753</v>
      </c>
      <c r="D60" s="2421">
        <f t="shared" si="166"/>
        <v>148.06267029972753</v>
      </c>
      <c r="E60" s="2421">
        <f t="shared" si="189"/>
        <v>216.46288379323747</v>
      </c>
      <c r="F60" s="2421">
        <f t="shared" si="189"/>
        <v>134.23529411764704</v>
      </c>
      <c r="G60" s="3431">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1134</v>
      </c>
      <c r="B61" s="2421">
        <f t="shared" si="188"/>
        <v>163.84913591779542</v>
      </c>
      <c r="C61" s="2421">
        <f t="shared" si="188"/>
        <v>145.0283378746594</v>
      </c>
      <c r="D61" s="2421">
        <f t="shared" si="166"/>
        <v>145.0283378746594</v>
      </c>
      <c r="E61" s="2421">
        <f t="shared" si="189"/>
        <v>204.95180722891567</v>
      </c>
      <c r="F61" s="2421">
        <f t="shared" si="189"/>
        <v>125.95920303605313</v>
      </c>
      <c r="G61" s="3432">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1135</v>
      </c>
      <c r="B62" s="2449">
        <v>159</v>
      </c>
      <c r="C62" s="2449">
        <v>141</v>
      </c>
      <c r="D62" s="2449">
        <f t="shared" si="166"/>
        <v>141</v>
      </c>
      <c r="E62" s="2449">
        <v>195</v>
      </c>
      <c r="F62" s="2450">
        <v>122</v>
      </c>
      <c r="G62" s="3430">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1136</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431">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1137</v>
      </c>
      <c r="B64" s="2421">
        <f t="shared" si="192"/>
        <v>146.57412060301507</v>
      </c>
      <c r="C64" s="2421">
        <f t="shared" si="192"/>
        <v>136.46831955922866</v>
      </c>
      <c r="D64" s="2421">
        <f t="shared" si="166"/>
        <v>136.46831955922866</v>
      </c>
      <c r="E64" s="2421">
        <f t="shared" si="193"/>
        <v>166.73864894795128</v>
      </c>
      <c r="F64" s="2421">
        <f t="shared" si="193"/>
        <v>115.05882352941177</v>
      </c>
      <c r="G64" s="3431">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1138</v>
      </c>
      <c r="B65" s="2421">
        <f t="shared" si="192"/>
        <v>144.04145728643215</v>
      </c>
      <c r="C65" s="2421">
        <f t="shared" si="192"/>
        <v>136.12396694214877</v>
      </c>
      <c r="D65" s="2421">
        <f t="shared" si="166"/>
        <v>136.12396694214877</v>
      </c>
      <c r="E65" s="2421">
        <f t="shared" si="193"/>
        <v>158.32225913621264</v>
      </c>
      <c r="F65" s="2421">
        <f t="shared" si="193"/>
        <v>114.04278074866311</v>
      </c>
      <c r="G65" s="3432">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1139</v>
      </c>
      <c r="B66" s="2449">
        <v>138</v>
      </c>
      <c r="C66" s="2449">
        <v>131</v>
      </c>
      <c r="D66" s="2449">
        <f t="shared" si="166"/>
        <v>131</v>
      </c>
      <c r="E66" s="2449">
        <v>155</v>
      </c>
      <c r="F66" s="2450">
        <v>114</v>
      </c>
      <c r="G66" s="3430">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1140</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431">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1141</v>
      </c>
      <c r="B68" s="2421">
        <f t="shared" si="196"/>
        <v>124.29032258064517</v>
      </c>
      <c r="C68" s="2421">
        <f t="shared" si="196"/>
        <v>123.8968609865471</v>
      </c>
      <c r="D68" s="2421">
        <f t="shared" si="166"/>
        <v>123.8968609865471</v>
      </c>
      <c r="E68" s="2421">
        <f t="shared" si="197"/>
        <v>138.00507614213197</v>
      </c>
      <c r="F68" s="2421">
        <f t="shared" si="197"/>
        <v>107.96106557377048</v>
      </c>
      <c r="G68" s="3431">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1142</v>
      </c>
      <c r="B69" s="2421">
        <f t="shared" si="196"/>
        <v>122.57204301075269</v>
      </c>
      <c r="C69" s="2421">
        <f t="shared" si="196"/>
        <v>123.4932735426009</v>
      </c>
      <c r="D69" s="2421">
        <f t="shared" si="166"/>
        <v>123.4932735426009</v>
      </c>
      <c r="E69" s="2421">
        <f t="shared" si="197"/>
        <v>129.82233502538071</v>
      </c>
      <c r="F69" s="2421">
        <f t="shared" si="197"/>
        <v>107.39446721311475</v>
      </c>
      <c r="G69" s="3432">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1143</v>
      </c>
      <c r="B70" s="2470">
        <v>121</v>
      </c>
      <c r="C70" s="2470">
        <v>122</v>
      </c>
      <c r="D70" s="2470">
        <f t="shared" si="166"/>
        <v>122</v>
      </c>
      <c r="E70" s="2470">
        <v>124</v>
      </c>
      <c r="F70" s="2471">
        <v>107</v>
      </c>
      <c r="G70" s="3430">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1144</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431">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1145</v>
      </c>
      <c r="B72" s="2421">
        <f t="shared" si="200"/>
        <v>116.99099099099099</v>
      </c>
      <c r="C72" s="2421">
        <f t="shared" si="200"/>
        <v>118.84848484848486</v>
      </c>
      <c r="D72" s="2421">
        <f t="shared" si="166"/>
        <v>118.84848484848486</v>
      </c>
      <c r="E72" s="2421">
        <f t="shared" si="201"/>
        <v>117.60960960960961</v>
      </c>
      <c r="F72" s="2421">
        <f t="shared" si="201"/>
        <v>104</v>
      </c>
      <c r="G72" s="3431">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1146</v>
      </c>
      <c r="B73" s="2473">
        <f t="shared" si="200"/>
        <v>112.48648648648648</v>
      </c>
      <c r="C73" s="2473">
        <f t="shared" si="200"/>
        <v>115.21212121212122</v>
      </c>
      <c r="D73" s="2473">
        <f t="shared" si="166"/>
        <v>115.21212121212122</v>
      </c>
      <c r="E73" s="2473">
        <f t="shared" si="201"/>
        <v>110.4024024024024</v>
      </c>
      <c r="F73" s="2473">
        <f t="shared" si="201"/>
        <v>104</v>
      </c>
      <c r="G73" s="3432">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1147</v>
      </c>
      <c r="B74" s="2490">
        <v>111</v>
      </c>
      <c r="C74" s="2490">
        <v>114</v>
      </c>
      <c r="D74" s="2490">
        <f t="shared" si="166"/>
        <v>114</v>
      </c>
      <c r="E74" s="2490">
        <v>108</v>
      </c>
      <c r="F74" s="2491">
        <v>104</v>
      </c>
      <c r="G74" s="3430">
        <v>2003</v>
      </c>
      <c r="H74" s="2480">
        <v>4</v>
      </c>
      <c r="I74" s="2492"/>
      <c r="J74" s="2492"/>
      <c r="K74" s="2492"/>
      <c r="L74" s="2492"/>
      <c r="N74" s="2493"/>
      <c r="O74" s="2492"/>
      <c r="P74" s="2492"/>
      <c r="Q74" s="2492"/>
      <c r="S74" s="2493"/>
      <c r="T74" s="2492"/>
      <c r="U74" s="2492"/>
      <c r="V74" s="2492"/>
      <c r="X74" s="2484"/>
      <c r="Y74" s="2484"/>
      <c r="Z74" s="2484"/>
    </row>
    <row r="75" spans="1:26">
      <c r="A75" s="2420" t="s">
        <v>1148</v>
      </c>
      <c r="B75" s="2494">
        <f t="shared" ref="B75:C77" si="202">B76+(B$74-B$78)/4</f>
        <v>109.75</v>
      </c>
      <c r="C75" s="2494">
        <f t="shared" si="202"/>
        <v>112.25</v>
      </c>
      <c r="D75" s="2494">
        <f t="shared" si="166"/>
        <v>112.25</v>
      </c>
      <c r="E75" s="2494">
        <f t="shared" ref="E75:F77" si="203">E76+(E$74-E$78)/4</f>
        <v>107.25</v>
      </c>
      <c r="F75" s="2494">
        <f t="shared" si="203"/>
        <v>103.5</v>
      </c>
      <c r="G75" s="3431">
        <v>2003</v>
      </c>
      <c r="H75" s="2446">
        <v>3</v>
      </c>
      <c r="I75" s="2492"/>
      <c r="J75" s="2492"/>
      <c r="K75" s="2492"/>
      <c r="L75" s="2492"/>
      <c r="X75" s="2484"/>
      <c r="Y75" s="2484"/>
      <c r="Z75" s="2484"/>
    </row>
    <row r="76" spans="1:26">
      <c r="A76" s="2420" t="s">
        <v>1149</v>
      </c>
      <c r="B76" s="2494">
        <f t="shared" si="202"/>
        <v>108.5</v>
      </c>
      <c r="C76" s="2494">
        <f t="shared" si="202"/>
        <v>110.5</v>
      </c>
      <c r="D76" s="2494">
        <f t="shared" si="166"/>
        <v>110.5</v>
      </c>
      <c r="E76" s="2494">
        <f t="shared" si="203"/>
        <v>106.5</v>
      </c>
      <c r="F76" s="2494">
        <f t="shared" si="203"/>
        <v>103</v>
      </c>
      <c r="G76" s="3431">
        <v>2003</v>
      </c>
      <c r="H76" s="2433">
        <v>2</v>
      </c>
      <c r="I76" s="2492"/>
      <c r="J76" s="2492"/>
      <c r="K76" s="2492"/>
      <c r="L76" s="2492"/>
      <c r="X76" s="2484"/>
      <c r="Y76" s="2484"/>
      <c r="Z76" s="2484"/>
    </row>
    <row r="77" spans="1:26" ht="13.5" thickBot="1">
      <c r="A77" s="2420" t="s">
        <v>1150</v>
      </c>
      <c r="B77" s="2494">
        <f t="shared" si="202"/>
        <v>107.25</v>
      </c>
      <c r="C77" s="2494">
        <f t="shared" si="202"/>
        <v>108.75</v>
      </c>
      <c r="D77" s="2494">
        <f t="shared" si="166"/>
        <v>108.75</v>
      </c>
      <c r="E77" s="2494">
        <f t="shared" si="203"/>
        <v>105.75</v>
      </c>
      <c r="F77" s="2494">
        <f t="shared" si="203"/>
        <v>102.5</v>
      </c>
      <c r="G77" s="3432">
        <v>2003</v>
      </c>
      <c r="H77" s="2495">
        <v>1</v>
      </c>
      <c r="I77" s="2492"/>
      <c r="J77" s="2492"/>
      <c r="K77" s="2492"/>
      <c r="L77" s="2492"/>
      <c r="S77" s="2423"/>
      <c r="T77" s="2408"/>
      <c r="U77" s="2408"/>
      <c r="X77" s="2484"/>
      <c r="Y77" s="2484"/>
      <c r="Z77" s="2484"/>
    </row>
    <row r="78" spans="1:26" ht="13.5" thickBot="1">
      <c r="A78" s="2420" t="s">
        <v>1151</v>
      </c>
      <c r="B78" s="2496">
        <v>106</v>
      </c>
      <c r="C78" s="2496">
        <v>107</v>
      </c>
      <c r="D78" s="2496">
        <f t="shared" si="166"/>
        <v>107</v>
      </c>
      <c r="E78" s="2496">
        <v>105</v>
      </c>
      <c r="F78" s="2497">
        <v>102</v>
      </c>
      <c r="G78" s="3430">
        <v>2002</v>
      </c>
      <c r="H78" s="2441">
        <v>4</v>
      </c>
      <c r="I78" s="2492"/>
      <c r="J78" s="2492"/>
      <c r="K78" s="2492"/>
      <c r="L78" s="2492"/>
      <c r="N78" s="2493"/>
      <c r="O78" s="2492"/>
      <c r="P78" s="2492"/>
      <c r="Q78" s="2492"/>
      <c r="S78" s="2493"/>
      <c r="T78" s="2492"/>
      <c r="U78" s="2492"/>
      <c r="V78" s="2492"/>
      <c r="X78" s="2484"/>
      <c r="Y78" s="2484"/>
      <c r="Z78" s="2484"/>
    </row>
    <row r="79" spans="1:26">
      <c r="A79" s="2420" t="s">
        <v>1152</v>
      </c>
      <c r="B79" s="2494">
        <f t="shared" ref="B79:C81" si="204">B80+(B$78-B$82)/4</f>
        <v>105</v>
      </c>
      <c r="C79" s="2494">
        <f t="shared" si="204"/>
        <v>106</v>
      </c>
      <c r="D79" s="2494">
        <f t="shared" si="166"/>
        <v>106</v>
      </c>
      <c r="E79" s="2494">
        <f t="shared" ref="E79:F81" si="205">E80+(E$78-E$82)/4</f>
        <v>104.5</v>
      </c>
      <c r="F79" s="2494">
        <f t="shared" si="205"/>
        <v>101.5</v>
      </c>
      <c r="G79" s="3431">
        <v>2002</v>
      </c>
      <c r="H79" s="2446">
        <v>3</v>
      </c>
      <c r="I79" s="2492"/>
      <c r="J79" s="2492"/>
      <c r="K79" s="2492"/>
      <c r="L79" s="2492"/>
      <c r="X79" s="2484"/>
      <c r="Y79" s="2484"/>
      <c r="Z79" s="2484"/>
    </row>
    <row r="80" spans="1:26">
      <c r="A80" s="2420" t="s">
        <v>1153</v>
      </c>
      <c r="B80" s="2494">
        <f t="shared" si="204"/>
        <v>104</v>
      </c>
      <c r="C80" s="2494">
        <f t="shared" si="204"/>
        <v>105</v>
      </c>
      <c r="D80" s="2494">
        <f t="shared" si="166"/>
        <v>105</v>
      </c>
      <c r="E80" s="2494">
        <f t="shared" si="205"/>
        <v>104</v>
      </c>
      <c r="F80" s="2494">
        <f t="shared" si="205"/>
        <v>101</v>
      </c>
      <c r="G80" s="3431">
        <v>2002</v>
      </c>
      <c r="H80" s="2433">
        <v>2</v>
      </c>
      <c r="I80" s="2492"/>
      <c r="J80" s="2492"/>
      <c r="K80" s="2492"/>
      <c r="L80" s="2492"/>
      <c r="X80" s="2484"/>
      <c r="Y80" s="2484"/>
      <c r="Z80" s="2484"/>
    </row>
    <row r="81" spans="1:26" s="2457" customFormat="1" ht="13.5" thickBot="1">
      <c r="A81" s="2453" t="s">
        <v>1154</v>
      </c>
      <c r="B81" s="2460">
        <f t="shared" si="204"/>
        <v>103</v>
      </c>
      <c r="C81" s="2460">
        <f t="shared" si="204"/>
        <v>104</v>
      </c>
      <c r="D81" s="2460">
        <f t="shared" si="166"/>
        <v>104</v>
      </c>
      <c r="E81" s="2460">
        <f t="shared" si="205"/>
        <v>103.5</v>
      </c>
      <c r="F81" s="2460">
        <f t="shared" si="205"/>
        <v>100.5</v>
      </c>
      <c r="G81" s="3432">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1155</v>
      </c>
      <c r="G84" s="2507"/>
      <c r="N84" s="2507"/>
      <c r="S84" s="2507"/>
    </row>
    <row r="85" spans="1:26" s="2506" customFormat="1">
      <c r="A85" s="2506" t="s">
        <v>1156</v>
      </c>
      <c r="G85" s="2507"/>
      <c r="N85" s="2507"/>
      <c r="S85" s="2507"/>
    </row>
    <row r="86" spans="1:26" s="2506" customFormat="1">
      <c r="A86" s="2506" t="s">
        <v>1157</v>
      </c>
      <c r="G86" s="2507"/>
      <c r="I86" s="2508"/>
      <c r="J86" s="2508"/>
      <c r="K86" s="2508"/>
      <c r="L86" s="2508"/>
      <c r="N86" s="2509"/>
      <c r="O86" s="2508"/>
      <c r="P86" s="2508"/>
      <c r="Q86" s="2508"/>
      <c r="S86" s="2509"/>
      <c r="T86" s="2508"/>
      <c r="U86" s="2508"/>
      <c r="V86" s="2508"/>
    </row>
    <row r="87" spans="1:26" s="2506" customFormat="1">
      <c r="A87" s="2506" t="s">
        <v>1158</v>
      </c>
      <c r="G87" s="2507"/>
      <c r="N87" s="2507"/>
      <c r="S87" s="2507"/>
    </row>
    <row r="94" spans="1:26" ht="13.5" thickBot="1"/>
    <row r="95" spans="1:26">
      <c r="G95" s="2407"/>
      <c r="S95" s="2510" t="s">
        <v>1159</v>
      </c>
      <c r="T95" s="2511" t="s">
        <v>1160</v>
      </c>
      <c r="U95" s="2511" t="s">
        <v>1161</v>
      </c>
      <c r="V95" s="2511" t="s">
        <v>1162</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3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5"/>
    <col min="19" max="19" width="9" style="132"/>
    <col min="20" max="45" width="9" style="731"/>
    <col min="46" max="16384" width="9" style="132"/>
  </cols>
  <sheetData>
    <row r="1" spans="1:45" ht="14.25" customHeight="1" thickBot="1">
      <c r="A1" s="148"/>
      <c r="B1" s="1111" t="s">
        <v>2800</v>
      </c>
      <c r="C1" s="3442" t="s">
        <v>2801</v>
      </c>
      <c r="D1" s="3443"/>
      <c r="E1" s="3443"/>
      <c r="F1" s="3443"/>
      <c r="G1" s="3443"/>
      <c r="H1" s="3443"/>
      <c r="I1" s="3443"/>
      <c r="J1" s="3443"/>
      <c r="K1" s="3443"/>
      <c r="L1" s="3443"/>
      <c r="M1" s="3443"/>
      <c r="N1" s="3443"/>
      <c r="O1" s="3443"/>
      <c r="P1" s="3443"/>
      <c r="Q1" s="3443"/>
      <c r="R1" s="3443"/>
      <c r="S1" s="3444"/>
      <c r="T1" s="1111" t="s">
        <v>2802</v>
      </c>
    </row>
    <row r="2" spans="1:45" s="660" customFormat="1">
      <c r="A2" s="1112"/>
      <c r="B2" s="656" t="s">
        <v>2803</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4" t="s">
        <v>2804</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5" t="s">
        <v>2805</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5" t="s">
        <v>2806</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4" t="s">
        <v>2807</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4" t="s">
        <v>2808</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4" t="s">
        <v>2809</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1" t="s">
        <v>2810</v>
      </c>
      <c r="B17" s="2362" t="s">
        <v>2811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3" t="s">
        <v>2812</v>
      </c>
      <c r="E19" s="1522"/>
      <c r="F19" s="1522"/>
      <c r="G19" s="1522"/>
      <c r="H19" s="1187"/>
      <c r="I19" s="161"/>
      <c r="J19" s="161"/>
      <c r="K19" s="161"/>
      <c r="L19" s="161"/>
      <c r="M19" s="161"/>
      <c r="N19" s="161"/>
      <c r="O19" s="161"/>
      <c r="P19" s="161"/>
      <c r="Q19" s="161"/>
      <c r="R19" s="724"/>
      <c r="S19" s="131"/>
    </row>
    <row r="20" spans="1:45" ht="16.5" thickBot="1">
      <c r="A20" s="668" t="s">
        <v>2813</v>
      </c>
      <c r="B20" s="297" t="e">
        <f ca="1">IF(D20="——",S22,S22-F20)</f>
        <v>#REF!</v>
      </c>
      <c r="C20" s="161"/>
      <c r="D20" s="2364"/>
      <c r="E20" s="1523"/>
      <c r="F20" s="1111" t="e">
        <f ca="1">SUMIF(INDIRECT("'"&amp;H20&amp;"'"&amp;"!A:A"),"承租人权益价值",INDIRECT("'"&amp;H20&amp;"'"&amp;"!c:c"))</f>
        <v>#REF!</v>
      </c>
      <c r="G20" s="1111" t="s">
        <v>2814</v>
      </c>
      <c r="H20" s="2365"/>
      <c r="I20" s="161"/>
      <c r="J20" s="161"/>
      <c r="K20" s="161"/>
      <c r="L20" s="161"/>
      <c r="M20" s="161"/>
      <c r="N20" s="161"/>
      <c r="O20" s="161"/>
      <c r="P20" s="161"/>
      <c r="Q20" s="161"/>
      <c r="R20" s="724"/>
      <c r="S20" s="131"/>
    </row>
    <row r="21" spans="1:45" ht="15.75">
      <c r="A21" s="668" t="s">
        <v>2815</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2816</v>
      </c>
      <c r="B22" s="21">
        <f>SUM(B24:B10000)</f>
        <v>100</v>
      </c>
      <c r="C22" s="3439" t="s">
        <v>30</v>
      </c>
      <c r="D22" s="3440"/>
      <c r="E22" s="3440"/>
      <c r="F22" s="3440"/>
      <c r="G22" s="3440"/>
      <c r="H22" s="3440"/>
      <c r="I22" s="3440"/>
      <c r="J22" s="3440"/>
      <c r="K22" s="3440"/>
      <c r="L22" s="3440"/>
      <c r="M22" s="3440"/>
      <c r="N22" s="3440"/>
      <c r="O22" s="3440"/>
      <c r="P22" s="3440"/>
      <c r="Q22" s="3441"/>
      <c r="R22" s="669">
        <f>ROUND(S22*10000/B22,0)</f>
        <v>10000</v>
      </c>
      <c r="S22" s="21">
        <f>SUM(S24:S10000)</f>
        <v>100</v>
      </c>
    </row>
    <row r="23" spans="1:45" s="9" customFormat="1" ht="24">
      <c r="A23" s="8" t="s">
        <v>2817</v>
      </c>
      <c r="B23" s="8" t="s">
        <v>2818</v>
      </c>
      <c r="C23" s="8" t="s">
        <v>2819</v>
      </c>
      <c r="D23" s="8" t="str">
        <f>B5</f>
        <v>修正项2</v>
      </c>
      <c r="E23" s="8" t="s">
        <v>2819</v>
      </c>
      <c r="F23" s="8" t="str">
        <f>B7</f>
        <v>修正项3</v>
      </c>
      <c r="G23" s="8" t="s">
        <v>2819</v>
      </c>
      <c r="H23" s="8" t="str">
        <f>B9</f>
        <v>修正项4</v>
      </c>
      <c r="I23" s="8" t="s">
        <v>2819</v>
      </c>
      <c r="J23" s="8" t="str">
        <f>B11</f>
        <v>修正项5</v>
      </c>
      <c r="K23" s="8" t="s">
        <v>2819</v>
      </c>
      <c r="L23" s="8" t="str">
        <f>B13</f>
        <v>修正项6</v>
      </c>
      <c r="M23" s="8" t="s">
        <v>2819</v>
      </c>
      <c r="N23" s="8" t="str">
        <f>B15</f>
        <v>修正项7</v>
      </c>
      <c r="O23" s="8" t="s">
        <v>2819</v>
      </c>
      <c r="P23" s="8" t="str">
        <f>B17</f>
        <v>楼层</v>
      </c>
      <c r="Q23" s="8" t="s">
        <v>2819</v>
      </c>
      <c r="R23" s="670" t="s">
        <v>2820</v>
      </c>
      <c r="S23" s="8" t="s">
        <v>2821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2822</v>
      </c>
      <c r="B24" s="671">
        <v>100</v>
      </c>
      <c r="C24" s="3038">
        <v>1</v>
      </c>
      <c r="D24" s="3039"/>
      <c r="E24" s="3038">
        <v>1</v>
      </c>
      <c r="F24" s="3039"/>
      <c r="G24" s="3038">
        <v>1</v>
      </c>
      <c r="H24" s="3039"/>
      <c r="I24" s="3038">
        <v>1</v>
      </c>
      <c r="J24" s="3039"/>
      <c r="K24" s="3038">
        <v>1</v>
      </c>
      <c r="L24" s="3039"/>
      <c r="M24" s="3038">
        <v>1</v>
      </c>
      <c r="N24" s="3039"/>
      <c r="O24" s="3038">
        <v>1</v>
      </c>
      <c r="P24" s="3039"/>
      <c r="Q24" s="3038">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4"/>
      <c r="C25" s="21">
        <f>IF(B25="",1,(LOOKUP(B25,$3:$3,$4:$4)-LOOKUP($B$24,$3:$3,$4:$4)+100)/100)</f>
        <v>1</v>
      </c>
      <c r="D25" s="673"/>
      <c r="E25" s="21">
        <f>(SUMIF($5:$5,D25,$6:$6)-SUMIF($5:$5,$D$24,$6:$6)+100)/100</f>
        <v>1</v>
      </c>
      <c r="F25" s="673"/>
      <c r="G25" s="21">
        <f>(SUMIF($7:$7,F25,$8:$8)-SUMIF($7:$7,$F$24,$8:$8)+100)/100</f>
        <v>1</v>
      </c>
      <c r="H25" s="673"/>
      <c r="I25" s="21">
        <f>(SUMIF($9:$9,H25,$10:$10)-SUMIF($9:$9,$H$24,$10:$10)+100)/100</f>
        <v>1</v>
      </c>
      <c r="J25" s="673"/>
      <c r="K25" s="21">
        <f>(SUMIF($11:$11,J25,$12:$12)-SUMIF($11:$11,$J$24,$12:$12)+100)/100</f>
        <v>1</v>
      </c>
      <c r="L25" s="673"/>
      <c r="M25" s="21">
        <f>(SUMIF($13:$13,L25,$14:$14)-SUMIF($13:$13,$L$24,$14:$14)+100)/100</f>
        <v>1</v>
      </c>
      <c r="N25" s="673"/>
      <c r="O25" s="21">
        <f>(SUMIF($15:$15,N25,$16:$16)-SUMIF($15:$15,$N$24,$16:$16)+100)/100</f>
        <v>1</v>
      </c>
      <c r="P25" s="673"/>
      <c r="Q25" s="21">
        <f>(SUMIF($17:$17,P25,$18:$18)-SUMIF($17:$17,$P$24,$18:$18)+100)/100</f>
        <v>1</v>
      </c>
      <c r="R25" s="669">
        <f>IF(B25="",0,ROUND($R$24*C25*E25*G25*I25*K25*M25*O25*Q25,0))</f>
        <v>0</v>
      </c>
      <c r="S25" s="319">
        <f t="shared" si="11"/>
        <v>0</v>
      </c>
    </row>
    <row r="26" spans="1:45">
      <c r="A26" s="152"/>
      <c r="B26" s="54"/>
      <c r="C26" s="21">
        <f t="shared" ref="C26:C89" si="12">IF(B26="",1,(LOOKUP(B26,$3:$3,$4:$4)-LOOKUP($B$24,$3:$3,$4:$4)+100)/100)</f>
        <v>1</v>
      </c>
      <c r="D26" s="673"/>
      <c r="E26" s="21">
        <f t="shared" ref="E26:E89" si="13">(SUMIF($5:$5,D26,$6:$6)-SUMIF($5:$5,$D$24,$6:$6)+100)/100</f>
        <v>1</v>
      </c>
      <c r="F26" s="673"/>
      <c r="G26" s="21">
        <f t="shared" ref="G26:G89" si="14">(SUMIF($7:$7,F26,$8:$8)-SUMIF($7:$7,$F$24,$8:$8)+100)/100</f>
        <v>1</v>
      </c>
      <c r="H26" s="673"/>
      <c r="I26" s="21">
        <f t="shared" ref="I26:I89" si="15">(SUMIF($9:$9,H26,$10:$10)-SUMIF($9:$9,$H$24,$10:$10)+100)/100</f>
        <v>1</v>
      </c>
      <c r="J26" s="673"/>
      <c r="K26" s="21">
        <f t="shared" ref="K26:K89" si="16">(SUMIF($11:$11,J26,$12:$12)-SUMIF($11:$11,$J$24,$12:$12)+100)/100</f>
        <v>1</v>
      </c>
      <c r="L26" s="673"/>
      <c r="M26" s="21">
        <f t="shared" ref="M26:M89" si="17">(SUMIF($13:$13,L26,$14:$14)-SUMIF($13:$13,$L$24,$14:$14)+100)/100</f>
        <v>1</v>
      </c>
      <c r="N26" s="673"/>
      <c r="O26" s="21">
        <f t="shared" ref="O26:O89" si="18">(SUMIF($15:$15,N26,$16:$16)-SUMIF($15:$15,$N$24,$16:$16)+100)/100</f>
        <v>1</v>
      </c>
      <c r="P26" s="673"/>
      <c r="Q26" s="21">
        <f t="shared" ref="Q26:Q89" si="19">(SUMIF($17:$17,P26,$18:$18)-SUMIF($17:$17,$P$24,$18:$18)+100)/100</f>
        <v>1</v>
      </c>
      <c r="R26" s="669">
        <f t="shared" ref="R26:R89" si="20">IF(B26="",0,ROUND($R$24*C26*E26*G26*I26*K26*M26*O26*Q26,0))</f>
        <v>0</v>
      </c>
      <c r="S26" s="319">
        <f t="shared" si="11"/>
        <v>0</v>
      </c>
    </row>
    <row r="27" spans="1:45">
      <c r="A27" s="152"/>
      <c r="B27" s="54"/>
      <c r="C27" s="21">
        <f t="shared" si="12"/>
        <v>1</v>
      </c>
      <c r="D27" s="673"/>
      <c r="E27" s="21">
        <f t="shared" si="13"/>
        <v>1</v>
      </c>
      <c r="F27" s="673"/>
      <c r="G27" s="21">
        <f t="shared" si="14"/>
        <v>1</v>
      </c>
      <c r="H27" s="673"/>
      <c r="I27" s="21">
        <f t="shared" si="15"/>
        <v>1</v>
      </c>
      <c r="J27" s="673"/>
      <c r="K27" s="21">
        <f t="shared" si="16"/>
        <v>1</v>
      </c>
      <c r="L27" s="673"/>
      <c r="M27" s="21">
        <f t="shared" si="17"/>
        <v>1</v>
      </c>
      <c r="N27" s="673"/>
      <c r="O27" s="21">
        <f t="shared" si="18"/>
        <v>1</v>
      </c>
      <c r="P27" s="673"/>
      <c r="Q27" s="21">
        <f t="shared" si="19"/>
        <v>1</v>
      </c>
      <c r="R27" s="669">
        <f t="shared" si="20"/>
        <v>0</v>
      </c>
      <c r="S27" s="319">
        <f t="shared" si="11"/>
        <v>0</v>
      </c>
    </row>
    <row r="28" spans="1:45">
      <c r="A28" s="152"/>
      <c r="B28" s="54"/>
      <c r="C28" s="21">
        <f t="shared" si="12"/>
        <v>1</v>
      </c>
      <c r="D28" s="673"/>
      <c r="E28" s="21">
        <f t="shared" si="13"/>
        <v>1</v>
      </c>
      <c r="F28" s="673"/>
      <c r="G28" s="21">
        <f t="shared" si="14"/>
        <v>1</v>
      </c>
      <c r="H28" s="673"/>
      <c r="I28" s="21">
        <f t="shared" si="15"/>
        <v>1</v>
      </c>
      <c r="J28" s="673"/>
      <c r="K28" s="21">
        <f t="shared" si="16"/>
        <v>1</v>
      </c>
      <c r="L28" s="673"/>
      <c r="M28" s="21">
        <f t="shared" si="17"/>
        <v>1</v>
      </c>
      <c r="N28" s="673"/>
      <c r="O28" s="21">
        <f t="shared" si="18"/>
        <v>1</v>
      </c>
      <c r="P28" s="673"/>
      <c r="Q28" s="21">
        <f t="shared" si="19"/>
        <v>1</v>
      </c>
      <c r="R28" s="669">
        <f t="shared" si="20"/>
        <v>0</v>
      </c>
      <c r="S28" s="319">
        <f t="shared" si="11"/>
        <v>0</v>
      </c>
    </row>
    <row r="29" spans="1:45">
      <c r="A29" s="152"/>
      <c r="B29" s="54"/>
      <c r="C29" s="21">
        <f t="shared" si="12"/>
        <v>1</v>
      </c>
      <c r="D29" s="673"/>
      <c r="E29" s="21">
        <f t="shared" si="13"/>
        <v>1</v>
      </c>
      <c r="F29" s="673"/>
      <c r="G29" s="21">
        <f t="shared" si="14"/>
        <v>1</v>
      </c>
      <c r="H29" s="673"/>
      <c r="I29" s="21">
        <f t="shared" si="15"/>
        <v>1</v>
      </c>
      <c r="J29" s="673"/>
      <c r="K29" s="21">
        <f t="shared" si="16"/>
        <v>1</v>
      </c>
      <c r="L29" s="673"/>
      <c r="M29" s="21">
        <f t="shared" si="17"/>
        <v>1</v>
      </c>
      <c r="N29" s="673"/>
      <c r="O29" s="21">
        <f t="shared" si="18"/>
        <v>1</v>
      </c>
      <c r="P29" s="673"/>
      <c r="Q29" s="21">
        <f t="shared" si="19"/>
        <v>1</v>
      </c>
      <c r="R29" s="669">
        <f t="shared" si="20"/>
        <v>0</v>
      </c>
      <c r="S29" s="319">
        <f t="shared" si="11"/>
        <v>0</v>
      </c>
    </row>
    <row r="30" spans="1:45">
      <c r="A30" s="152"/>
      <c r="B30" s="54"/>
      <c r="C30" s="21">
        <f t="shared" si="12"/>
        <v>1</v>
      </c>
      <c r="D30" s="673"/>
      <c r="E30" s="21">
        <f t="shared" si="13"/>
        <v>1</v>
      </c>
      <c r="F30" s="673"/>
      <c r="G30" s="21">
        <f t="shared" si="14"/>
        <v>1</v>
      </c>
      <c r="H30" s="673"/>
      <c r="I30" s="21">
        <f t="shared" si="15"/>
        <v>1</v>
      </c>
      <c r="J30" s="673"/>
      <c r="K30" s="21">
        <f t="shared" si="16"/>
        <v>1</v>
      </c>
      <c r="L30" s="673"/>
      <c r="M30" s="21">
        <f t="shared" si="17"/>
        <v>1</v>
      </c>
      <c r="N30" s="673"/>
      <c r="O30" s="21">
        <f t="shared" si="18"/>
        <v>1</v>
      </c>
      <c r="P30" s="673"/>
      <c r="Q30" s="21">
        <f t="shared" si="19"/>
        <v>1</v>
      </c>
      <c r="R30" s="669">
        <f t="shared" si="20"/>
        <v>0</v>
      </c>
      <c r="S30" s="319">
        <f t="shared" si="11"/>
        <v>0</v>
      </c>
    </row>
    <row r="31" spans="1:45">
      <c r="A31" s="152"/>
      <c r="B31" s="54"/>
      <c r="C31" s="21">
        <f t="shared" si="12"/>
        <v>1</v>
      </c>
      <c r="D31" s="673"/>
      <c r="E31" s="21">
        <f t="shared" si="13"/>
        <v>1</v>
      </c>
      <c r="F31" s="673"/>
      <c r="G31" s="21">
        <f t="shared" si="14"/>
        <v>1</v>
      </c>
      <c r="H31" s="673"/>
      <c r="I31" s="21">
        <f t="shared" si="15"/>
        <v>1</v>
      </c>
      <c r="J31" s="673"/>
      <c r="K31" s="21">
        <f t="shared" si="16"/>
        <v>1</v>
      </c>
      <c r="L31" s="673"/>
      <c r="M31" s="21">
        <f t="shared" si="17"/>
        <v>1</v>
      </c>
      <c r="N31" s="673"/>
      <c r="O31" s="21">
        <f t="shared" si="18"/>
        <v>1</v>
      </c>
      <c r="P31" s="673"/>
      <c r="Q31" s="21">
        <f t="shared" si="19"/>
        <v>1</v>
      </c>
      <c r="R31" s="669">
        <f t="shared" si="20"/>
        <v>0</v>
      </c>
      <c r="S31" s="319">
        <f t="shared" si="11"/>
        <v>0</v>
      </c>
    </row>
    <row r="32" spans="1:45">
      <c r="A32" s="152"/>
      <c r="B32" s="54"/>
      <c r="C32" s="21">
        <f t="shared" si="12"/>
        <v>1</v>
      </c>
      <c r="D32" s="673"/>
      <c r="E32" s="21">
        <f t="shared" si="13"/>
        <v>1</v>
      </c>
      <c r="F32" s="673"/>
      <c r="G32" s="21">
        <f t="shared" si="14"/>
        <v>1</v>
      </c>
      <c r="H32" s="673"/>
      <c r="I32" s="21">
        <f t="shared" si="15"/>
        <v>1</v>
      </c>
      <c r="J32" s="673"/>
      <c r="K32" s="21">
        <f t="shared" si="16"/>
        <v>1</v>
      </c>
      <c r="L32" s="673"/>
      <c r="M32" s="21">
        <f t="shared" si="17"/>
        <v>1</v>
      </c>
      <c r="N32" s="673"/>
      <c r="O32" s="21">
        <f t="shared" si="18"/>
        <v>1</v>
      </c>
      <c r="P32" s="673"/>
      <c r="Q32" s="21">
        <f t="shared" si="19"/>
        <v>1</v>
      </c>
      <c r="R32" s="669">
        <f t="shared" si="20"/>
        <v>0</v>
      </c>
      <c r="S32" s="319">
        <f t="shared" si="11"/>
        <v>0</v>
      </c>
    </row>
    <row r="33" spans="1:19">
      <c r="A33" s="152"/>
      <c r="B33" s="54"/>
      <c r="C33" s="21">
        <f t="shared" si="12"/>
        <v>1</v>
      </c>
      <c r="D33" s="673"/>
      <c r="E33" s="21">
        <f t="shared" si="13"/>
        <v>1</v>
      </c>
      <c r="F33" s="673"/>
      <c r="G33" s="21">
        <f t="shared" si="14"/>
        <v>1</v>
      </c>
      <c r="H33" s="673"/>
      <c r="I33" s="21">
        <f t="shared" si="15"/>
        <v>1</v>
      </c>
      <c r="J33" s="673"/>
      <c r="K33" s="21">
        <f t="shared" si="16"/>
        <v>1</v>
      </c>
      <c r="L33" s="673"/>
      <c r="M33" s="21">
        <f t="shared" si="17"/>
        <v>1</v>
      </c>
      <c r="N33" s="673"/>
      <c r="O33" s="21">
        <f t="shared" si="18"/>
        <v>1</v>
      </c>
      <c r="P33" s="673"/>
      <c r="Q33" s="21">
        <f t="shared" si="19"/>
        <v>1</v>
      </c>
      <c r="R33" s="669">
        <f t="shared" si="20"/>
        <v>0</v>
      </c>
      <c r="S33" s="319">
        <f t="shared" si="11"/>
        <v>0</v>
      </c>
    </row>
    <row r="34" spans="1:19">
      <c r="A34" s="152"/>
      <c r="B34" s="54"/>
      <c r="C34" s="21">
        <f t="shared" si="12"/>
        <v>1</v>
      </c>
      <c r="D34" s="673"/>
      <c r="E34" s="21">
        <f t="shared" si="13"/>
        <v>1</v>
      </c>
      <c r="F34" s="673"/>
      <c r="G34" s="21">
        <f t="shared" si="14"/>
        <v>1</v>
      </c>
      <c r="H34" s="673"/>
      <c r="I34" s="21">
        <f t="shared" si="15"/>
        <v>1</v>
      </c>
      <c r="J34" s="673"/>
      <c r="K34" s="21">
        <f t="shared" si="16"/>
        <v>1</v>
      </c>
      <c r="L34" s="673"/>
      <c r="M34" s="21">
        <f t="shared" si="17"/>
        <v>1</v>
      </c>
      <c r="N34" s="673"/>
      <c r="O34" s="21">
        <f t="shared" si="18"/>
        <v>1</v>
      </c>
      <c r="P34" s="673"/>
      <c r="Q34" s="21">
        <f t="shared" si="19"/>
        <v>1</v>
      </c>
      <c r="R34" s="669">
        <f t="shared" si="20"/>
        <v>0</v>
      </c>
      <c r="S34" s="319">
        <f t="shared" si="11"/>
        <v>0</v>
      </c>
    </row>
    <row r="35" spans="1:19">
      <c r="A35" s="152"/>
      <c r="B35" s="54"/>
      <c r="C35" s="21">
        <f t="shared" si="12"/>
        <v>1</v>
      </c>
      <c r="D35" s="673"/>
      <c r="E35" s="21">
        <f t="shared" si="13"/>
        <v>1</v>
      </c>
      <c r="F35" s="673"/>
      <c r="G35" s="21">
        <f t="shared" si="14"/>
        <v>1</v>
      </c>
      <c r="H35" s="673"/>
      <c r="I35" s="21">
        <f t="shared" si="15"/>
        <v>1</v>
      </c>
      <c r="J35" s="673"/>
      <c r="K35" s="21">
        <f t="shared" si="16"/>
        <v>1</v>
      </c>
      <c r="L35" s="673"/>
      <c r="M35" s="21">
        <f t="shared" si="17"/>
        <v>1</v>
      </c>
      <c r="N35" s="673"/>
      <c r="O35" s="21">
        <f t="shared" si="18"/>
        <v>1</v>
      </c>
      <c r="P35" s="673"/>
      <c r="Q35" s="21">
        <f t="shared" si="19"/>
        <v>1</v>
      </c>
      <c r="R35" s="669">
        <f t="shared" si="20"/>
        <v>0</v>
      </c>
      <c r="S35" s="319">
        <f t="shared" si="11"/>
        <v>0</v>
      </c>
    </row>
    <row r="36" spans="1:19">
      <c r="A36" s="152"/>
      <c r="B36" s="54"/>
      <c r="C36" s="21">
        <f t="shared" si="12"/>
        <v>1</v>
      </c>
      <c r="D36" s="673"/>
      <c r="E36" s="21">
        <f t="shared" si="13"/>
        <v>1</v>
      </c>
      <c r="F36" s="673"/>
      <c r="G36" s="21">
        <f t="shared" si="14"/>
        <v>1</v>
      </c>
      <c r="H36" s="673"/>
      <c r="I36" s="21">
        <f t="shared" si="15"/>
        <v>1</v>
      </c>
      <c r="J36" s="673"/>
      <c r="K36" s="21">
        <f t="shared" si="16"/>
        <v>1</v>
      </c>
      <c r="L36" s="673"/>
      <c r="M36" s="21">
        <f t="shared" si="17"/>
        <v>1</v>
      </c>
      <c r="N36" s="673"/>
      <c r="O36" s="21">
        <f t="shared" si="18"/>
        <v>1</v>
      </c>
      <c r="P36" s="673"/>
      <c r="Q36" s="21">
        <f t="shared" si="19"/>
        <v>1</v>
      </c>
      <c r="R36" s="669">
        <f t="shared" si="20"/>
        <v>0</v>
      </c>
      <c r="S36" s="319">
        <f t="shared" si="11"/>
        <v>0</v>
      </c>
    </row>
    <row r="37" spans="1:19">
      <c r="A37" s="152"/>
      <c r="B37" s="54"/>
      <c r="C37" s="21">
        <f t="shared" si="12"/>
        <v>1</v>
      </c>
      <c r="D37" s="673"/>
      <c r="E37" s="21">
        <f t="shared" si="13"/>
        <v>1</v>
      </c>
      <c r="F37" s="673"/>
      <c r="G37" s="21">
        <f t="shared" si="14"/>
        <v>1</v>
      </c>
      <c r="H37" s="673"/>
      <c r="I37" s="21">
        <f t="shared" si="15"/>
        <v>1</v>
      </c>
      <c r="J37" s="673"/>
      <c r="K37" s="21">
        <f t="shared" si="16"/>
        <v>1</v>
      </c>
      <c r="L37" s="673"/>
      <c r="M37" s="21">
        <f t="shared" si="17"/>
        <v>1</v>
      </c>
      <c r="N37" s="673"/>
      <c r="O37" s="21">
        <f t="shared" si="18"/>
        <v>1</v>
      </c>
      <c r="P37" s="673"/>
      <c r="Q37" s="21">
        <f t="shared" si="19"/>
        <v>1</v>
      </c>
      <c r="R37" s="669">
        <f t="shared" si="20"/>
        <v>0</v>
      </c>
      <c r="S37" s="319">
        <f t="shared" si="11"/>
        <v>0</v>
      </c>
    </row>
    <row r="38" spans="1:19">
      <c r="A38" s="152"/>
      <c r="B38" s="54"/>
      <c r="C38" s="21">
        <f t="shared" si="12"/>
        <v>1</v>
      </c>
      <c r="D38" s="673"/>
      <c r="E38" s="21">
        <f t="shared" si="13"/>
        <v>1</v>
      </c>
      <c r="F38" s="673"/>
      <c r="G38" s="21">
        <f t="shared" si="14"/>
        <v>1</v>
      </c>
      <c r="H38" s="673"/>
      <c r="I38" s="21">
        <f t="shared" si="15"/>
        <v>1</v>
      </c>
      <c r="J38" s="673"/>
      <c r="K38" s="21">
        <f t="shared" si="16"/>
        <v>1</v>
      </c>
      <c r="L38" s="673"/>
      <c r="M38" s="21">
        <f t="shared" si="17"/>
        <v>1</v>
      </c>
      <c r="N38" s="673"/>
      <c r="O38" s="21">
        <f t="shared" si="18"/>
        <v>1</v>
      </c>
      <c r="P38" s="673"/>
      <c r="Q38" s="21">
        <f t="shared" si="19"/>
        <v>1</v>
      </c>
      <c r="R38" s="669">
        <f t="shared" si="20"/>
        <v>0</v>
      </c>
      <c r="S38" s="319">
        <f t="shared" si="11"/>
        <v>0</v>
      </c>
    </row>
    <row r="39" spans="1:19">
      <c r="A39" s="152"/>
      <c r="B39" s="54"/>
      <c r="C39" s="21">
        <f t="shared" si="12"/>
        <v>1</v>
      </c>
      <c r="D39" s="673"/>
      <c r="E39" s="21">
        <f t="shared" si="13"/>
        <v>1</v>
      </c>
      <c r="F39" s="673"/>
      <c r="G39" s="21">
        <f t="shared" si="14"/>
        <v>1</v>
      </c>
      <c r="H39" s="673"/>
      <c r="I39" s="21">
        <f t="shared" si="15"/>
        <v>1</v>
      </c>
      <c r="J39" s="673"/>
      <c r="K39" s="21">
        <f t="shared" si="16"/>
        <v>1</v>
      </c>
      <c r="L39" s="673"/>
      <c r="M39" s="21">
        <f t="shared" si="17"/>
        <v>1</v>
      </c>
      <c r="N39" s="673"/>
      <c r="O39" s="21">
        <f t="shared" si="18"/>
        <v>1</v>
      </c>
      <c r="P39" s="673"/>
      <c r="Q39" s="21">
        <f t="shared" si="19"/>
        <v>1</v>
      </c>
      <c r="R39" s="669">
        <f t="shared" si="20"/>
        <v>0</v>
      </c>
      <c r="S39" s="319">
        <f t="shared" si="11"/>
        <v>0</v>
      </c>
    </row>
    <row r="40" spans="1:19">
      <c r="A40" s="152"/>
      <c r="B40" s="54"/>
      <c r="C40" s="21">
        <f t="shared" si="12"/>
        <v>1</v>
      </c>
      <c r="D40" s="673"/>
      <c r="E40" s="21">
        <f t="shared" si="13"/>
        <v>1</v>
      </c>
      <c r="F40" s="673"/>
      <c r="G40" s="21">
        <f t="shared" si="14"/>
        <v>1</v>
      </c>
      <c r="H40" s="673"/>
      <c r="I40" s="21">
        <f t="shared" si="15"/>
        <v>1</v>
      </c>
      <c r="J40" s="673"/>
      <c r="K40" s="21">
        <f t="shared" si="16"/>
        <v>1</v>
      </c>
      <c r="L40" s="673"/>
      <c r="M40" s="21">
        <f t="shared" si="17"/>
        <v>1</v>
      </c>
      <c r="N40" s="673"/>
      <c r="O40" s="21">
        <f t="shared" si="18"/>
        <v>1</v>
      </c>
      <c r="P40" s="673"/>
      <c r="Q40" s="21">
        <f t="shared" si="19"/>
        <v>1</v>
      </c>
      <c r="R40" s="669">
        <f t="shared" si="20"/>
        <v>0</v>
      </c>
      <c r="S40" s="319">
        <f t="shared" si="11"/>
        <v>0</v>
      </c>
    </row>
    <row r="41" spans="1:19">
      <c r="A41" s="152"/>
      <c r="B41" s="54"/>
      <c r="C41" s="21">
        <f t="shared" si="12"/>
        <v>1</v>
      </c>
      <c r="D41" s="673"/>
      <c r="E41" s="21">
        <f t="shared" si="13"/>
        <v>1</v>
      </c>
      <c r="F41" s="673"/>
      <c r="G41" s="21">
        <f t="shared" si="14"/>
        <v>1</v>
      </c>
      <c r="H41" s="673"/>
      <c r="I41" s="21">
        <f t="shared" si="15"/>
        <v>1</v>
      </c>
      <c r="J41" s="673"/>
      <c r="K41" s="21">
        <f t="shared" si="16"/>
        <v>1</v>
      </c>
      <c r="L41" s="673"/>
      <c r="M41" s="21">
        <f t="shared" si="17"/>
        <v>1</v>
      </c>
      <c r="N41" s="673"/>
      <c r="O41" s="21">
        <f t="shared" si="18"/>
        <v>1</v>
      </c>
      <c r="P41" s="673"/>
      <c r="Q41" s="21">
        <f t="shared" si="19"/>
        <v>1</v>
      </c>
      <c r="R41" s="669">
        <f t="shared" si="20"/>
        <v>0</v>
      </c>
      <c r="S41" s="319">
        <f t="shared" si="11"/>
        <v>0</v>
      </c>
    </row>
    <row r="42" spans="1:19">
      <c r="A42" s="152"/>
      <c r="B42" s="54"/>
      <c r="C42" s="21">
        <f t="shared" si="12"/>
        <v>1</v>
      </c>
      <c r="D42" s="673"/>
      <c r="E42" s="21">
        <f t="shared" si="13"/>
        <v>1</v>
      </c>
      <c r="F42" s="673"/>
      <c r="G42" s="21">
        <f t="shared" si="14"/>
        <v>1</v>
      </c>
      <c r="H42" s="673"/>
      <c r="I42" s="21">
        <f t="shared" si="15"/>
        <v>1</v>
      </c>
      <c r="J42" s="673"/>
      <c r="K42" s="21">
        <f t="shared" si="16"/>
        <v>1</v>
      </c>
      <c r="L42" s="673"/>
      <c r="M42" s="21">
        <f t="shared" si="17"/>
        <v>1</v>
      </c>
      <c r="N42" s="673"/>
      <c r="O42" s="21">
        <f t="shared" si="18"/>
        <v>1</v>
      </c>
      <c r="P42" s="673"/>
      <c r="Q42" s="21">
        <f t="shared" si="19"/>
        <v>1</v>
      </c>
      <c r="R42" s="669">
        <f t="shared" si="20"/>
        <v>0</v>
      </c>
      <c r="S42" s="319">
        <f t="shared" si="11"/>
        <v>0</v>
      </c>
    </row>
    <row r="43" spans="1:19">
      <c r="A43" s="152"/>
      <c r="B43" s="54"/>
      <c r="C43" s="21">
        <f t="shared" si="12"/>
        <v>1</v>
      </c>
      <c r="D43" s="673"/>
      <c r="E43" s="21">
        <f t="shared" si="13"/>
        <v>1</v>
      </c>
      <c r="F43" s="673"/>
      <c r="G43" s="21">
        <f t="shared" si="14"/>
        <v>1</v>
      </c>
      <c r="H43" s="673"/>
      <c r="I43" s="21">
        <f t="shared" si="15"/>
        <v>1</v>
      </c>
      <c r="J43" s="673"/>
      <c r="K43" s="21">
        <f t="shared" si="16"/>
        <v>1</v>
      </c>
      <c r="L43" s="673"/>
      <c r="M43" s="21">
        <f t="shared" si="17"/>
        <v>1</v>
      </c>
      <c r="N43" s="673"/>
      <c r="O43" s="21">
        <f t="shared" si="18"/>
        <v>1</v>
      </c>
      <c r="P43" s="673"/>
      <c r="Q43" s="21">
        <f t="shared" si="19"/>
        <v>1</v>
      </c>
      <c r="R43" s="669">
        <f t="shared" si="20"/>
        <v>0</v>
      </c>
      <c r="S43" s="319">
        <f t="shared" si="11"/>
        <v>0</v>
      </c>
    </row>
    <row r="44" spans="1:19">
      <c r="A44" s="152"/>
      <c r="B44" s="54"/>
      <c r="C44" s="21">
        <f t="shared" si="12"/>
        <v>1</v>
      </c>
      <c r="D44" s="673"/>
      <c r="E44" s="21">
        <f t="shared" si="13"/>
        <v>1</v>
      </c>
      <c r="F44" s="673"/>
      <c r="G44" s="21">
        <f t="shared" si="14"/>
        <v>1</v>
      </c>
      <c r="H44" s="673"/>
      <c r="I44" s="21">
        <f t="shared" si="15"/>
        <v>1</v>
      </c>
      <c r="J44" s="673"/>
      <c r="K44" s="21">
        <f t="shared" si="16"/>
        <v>1</v>
      </c>
      <c r="L44" s="673"/>
      <c r="M44" s="21">
        <f t="shared" si="17"/>
        <v>1</v>
      </c>
      <c r="N44" s="673"/>
      <c r="O44" s="21">
        <f t="shared" si="18"/>
        <v>1</v>
      </c>
      <c r="P44" s="673"/>
      <c r="Q44" s="21">
        <f t="shared" si="19"/>
        <v>1</v>
      </c>
      <c r="R44" s="669">
        <f t="shared" si="20"/>
        <v>0</v>
      </c>
      <c r="S44" s="319">
        <f t="shared" si="11"/>
        <v>0</v>
      </c>
    </row>
    <row r="45" spans="1:19">
      <c r="A45" s="152"/>
      <c r="B45" s="54"/>
      <c r="C45" s="21">
        <f t="shared" si="12"/>
        <v>1</v>
      </c>
      <c r="D45" s="673"/>
      <c r="E45" s="21">
        <f t="shared" si="13"/>
        <v>1</v>
      </c>
      <c r="F45" s="673"/>
      <c r="G45" s="21">
        <f t="shared" si="14"/>
        <v>1</v>
      </c>
      <c r="H45" s="673"/>
      <c r="I45" s="21">
        <f t="shared" si="15"/>
        <v>1</v>
      </c>
      <c r="J45" s="673"/>
      <c r="K45" s="21">
        <f t="shared" si="16"/>
        <v>1</v>
      </c>
      <c r="L45" s="673"/>
      <c r="M45" s="21">
        <f t="shared" si="17"/>
        <v>1</v>
      </c>
      <c r="N45" s="673"/>
      <c r="O45" s="21">
        <f t="shared" si="18"/>
        <v>1</v>
      </c>
      <c r="P45" s="673"/>
      <c r="Q45" s="21">
        <f t="shared" si="19"/>
        <v>1</v>
      </c>
      <c r="R45" s="669">
        <f t="shared" si="20"/>
        <v>0</v>
      </c>
      <c r="S45" s="319">
        <f t="shared" si="11"/>
        <v>0</v>
      </c>
    </row>
    <row r="46" spans="1:19">
      <c r="A46" s="152"/>
      <c r="B46" s="54"/>
      <c r="C46" s="21">
        <f t="shared" si="12"/>
        <v>1</v>
      </c>
      <c r="D46" s="673"/>
      <c r="E46" s="21">
        <f t="shared" si="13"/>
        <v>1</v>
      </c>
      <c r="F46" s="673"/>
      <c r="G46" s="21">
        <f t="shared" si="14"/>
        <v>1</v>
      </c>
      <c r="H46" s="673"/>
      <c r="I46" s="21">
        <f t="shared" si="15"/>
        <v>1</v>
      </c>
      <c r="J46" s="673"/>
      <c r="K46" s="21">
        <f t="shared" si="16"/>
        <v>1</v>
      </c>
      <c r="L46" s="673"/>
      <c r="M46" s="21">
        <f t="shared" si="17"/>
        <v>1</v>
      </c>
      <c r="N46" s="673"/>
      <c r="O46" s="21">
        <f t="shared" si="18"/>
        <v>1</v>
      </c>
      <c r="P46" s="673"/>
      <c r="Q46" s="21">
        <f t="shared" si="19"/>
        <v>1</v>
      </c>
      <c r="R46" s="669">
        <f t="shared" si="20"/>
        <v>0</v>
      </c>
      <c r="S46" s="319">
        <f t="shared" si="11"/>
        <v>0</v>
      </c>
    </row>
    <row r="47" spans="1:19">
      <c r="A47" s="152"/>
      <c r="B47" s="54"/>
      <c r="C47" s="21">
        <f t="shared" si="12"/>
        <v>1</v>
      </c>
      <c r="D47" s="673"/>
      <c r="E47" s="21">
        <f t="shared" si="13"/>
        <v>1</v>
      </c>
      <c r="F47" s="673"/>
      <c r="G47" s="21">
        <f t="shared" si="14"/>
        <v>1</v>
      </c>
      <c r="H47" s="673"/>
      <c r="I47" s="21">
        <f t="shared" si="15"/>
        <v>1</v>
      </c>
      <c r="J47" s="673"/>
      <c r="K47" s="21">
        <f t="shared" si="16"/>
        <v>1</v>
      </c>
      <c r="L47" s="673"/>
      <c r="M47" s="21">
        <f t="shared" si="17"/>
        <v>1</v>
      </c>
      <c r="N47" s="673"/>
      <c r="O47" s="21">
        <f t="shared" si="18"/>
        <v>1</v>
      </c>
      <c r="P47" s="673"/>
      <c r="Q47" s="21">
        <f t="shared" si="19"/>
        <v>1</v>
      </c>
      <c r="R47" s="669">
        <f t="shared" si="20"/>
        <v>0</v>
      </c>
      <c r="S47" s="319">
        <f t="shared" si="11"/>
        <v>0</v>
      </c>
    </row>
    <row r="48" spans="1:19">
      <c r="A48" s="152"/>
      <c r="B48" s="54"/>
      <c r="C48" s="21">
        <f t="shared" si="12"/>
        <v>1</v>
      </c>
      <c r="D48" s="673"/>
      <c r="E48" s="21">
        <f t="shared" si="13"/>
        <v>1</v>
      </c>
      <c r="F48" s="673"/>
      <c r="G48" s="21">
        <f t="shared" si="14"/>
        <v>1</v>
      </c>
      <c r="H48" s="673"/>
      <c r="I48" s="21">
        <f t="shared" si="15"/>
        <v>1</v>
      </c>
      <c r="J48" s="673"/>
      <c r="K48" s="21">
        <f t="shared" si="16"/>
        <v>1</v>
      </c>
      <c r="L48" s="673"/>
      <c r="M48" s="21">
        <f t="shared" si="17"/>
        <v>1</v>
      </c>
      <c r="N48" s="673"/>
      <c r="O48" s="21">
        <f t="shared" si="18"/>
        <v>1</v>
      </c>
      <c r="P48" s="673"/>
      <c r="Q48" s="21">
        <f t="shared" si="19"/>
        <v>1</v>
      </c>
      <c r="R48" s="669">
        <f t="shared" si="20"/>
        <v>0</v>
      </c>
      <c r="S48" s="319">
        <f t="shared" si="11"/>
        <v>0</v>
      </c>
    </row>
    <row r="49" spans="1:19">
      <c r="A49" s="152"/>
      <c r="B49" s="54"/>
      <c r="C49" s="21">
        <f t="shared" si="12"/>
        <v>1</v>
      </c>
      <c r="D49" s="673"/>
      <c r="E49" s="21">
        <f t="shared" si="13"/>
        <v>1</v>
      </c>
      <c r="F49" s="673"/>
      <c r="G49" s="21">
        <f t="shared" si="14"/>
        <v>1</v>
      </c>
      <c r="H49" s="673"/>
      <c r="I49" s="21">
        <f t="shared" si="15"/>
        <v>1</v>
      </c>
      <c r="J49" s="673"/>
      <c r="K49" s="21">
        <f t="shared" si="16"/>
        <v>1</v>
      </c>
      <c r="L49" s="673"/>
      <c r="M49" s="21">
        <f t="shared" si="17"/>
        <v>1</v>
      </c>
      <c r="N49" s="673"/>
      <c r="O49" s="21">
        <f t="shared" si="18"/>
        <v>1</v>
      </c>
      <c r="P49" s="673"/>
      <c r="Q49" s="21">
        <f t="shared" si="19"/>
        <v>1</v>
      </c>
      <c r="R49" s="669">
        <f t="shared" si="20"/>
        <v>0</v>
      </c>
      <c r="S49" s="319">
        <f t="shared" si="11"/>
        <v>0</v>
      </c>
    </row>
    <row r="50" spans="1:19">
      <c r="A50" s="152"/>
      <c r="B50" s="54"/>
      <c r="C50" s="21">
        <f t="shared" si="12"/>
        <v>1</v>
      </c>
      <c r="D50" s="673"/>
      <c r="E50" s="21">
        <f t="shared" si="13"/>
        <v>1</v>
      </c>
      <c r="F50" s="673"/>
      <c r="G50" s="21">
        <f t="shared" si="14"/>
        <v>1</v>
      </c>
      <c r="H50" s="673"/>
      <c r="I50" s="21">
        <f t="shared" si="15"/>
        <v>1</v>
      </c>
      <c r="J50" s="673"/>
      <c r="K50" s="21">
        <f t="shared" si="16"/>
        <v>1</v>
      </c>
      <c r="L50" s="673"/>
      <c r="M50" s="21">
        <f t="shared" si="17"/>
        <v>1</v>
      </c>
      <c r="N50" s="673"/>
      <c r="O50" s="21">
        <f t="shared" si="18"/>
        <v>1</v>
      </c>
      <c r="P50" s="673"/>
      <c r="Q50" s="21">
        <f t="shared" si="19"/>
        <v>1</v>
      </c>
      <c r="R50" s="669">
        <f t="shared" si="20"/>
        <v>0</v>
      </c>
      <c r="S50" s="319">
        <f t="shared" si="11"/>
        <v>0</v>
      </c>
    </row>
    <row r="51" spans="1:19">
      <c r="A51" s="152"/>
      <c r="B51" s="54"/>
      <c r="C51" s="21">
        <f t="shared" si="12"/>
        <v>1</v>
      </c>
      <c r="D51" s="673"/>
      <c r="E51" s="21">
        <f t="shared" si="13"/>
        <v>1</v>
      </c>
      <c r="F51" s="673"/>
      <c r="G51" s="21">
        <f t="shared" si="14"/>
        <v>1</v>
      </c>
      <c r="H51" s="673"/>
      <c r="I51" s="21">
        <f t="shared" si="15"/>
        <v>1</v>
      </c>
      <c r="J51" s="673"/>
      <c r="K51" s="21">
        <f t="shared" si="16"/>
        <v>1</v>
      </c>
      <c r="L51" s="673"/>
      <c r="M51" s="21">
        <f t="shared" si="17"/>
        <v>1</v>
      </c>
      <c r="N51" s="673"/>
      <c r="O51" s="21">
        <f t="shared" si="18"/>
        <v>1</v>
      </c>
      <c r="P51" s="673"/>
      <c r="Q51" s="21">
        <f t="shared" si="19"/>
        <v>1</v>
      </c>
      <c r="R51" s="669">
        <f t="shared" si="20"/>
        <v>0</v>
      </c>
      <c r="S51" s="319">
        <f t="shared" si="11"/>
        <v>0</v>
      </c>
    </row>
    <row r="52" spans="1:19">
      <c r="A52" s="152"/>
      <c r="B52" s="54"/>
      <c r="C52" s="21">
        <f t="shared" si="12"/>
        <v>1</v>
      </c>
      <c r="D52" s="673"/>
      <c r="E52" s="21">
        <f t="shared" si="13"/>
        <v>1</v>
      </c>
      <c r="F52" s="673"/>
      <c r="G52" s="21">
        <f t="shared" si="14"/>
        <v>1</v>
      </c>
      <c r="H52" s="673"/>
      <c r="I52" s="21">
        <f t="shared" si="15"/>
        <v>1</v>
      </c>
      <c r="J52" s="673"/>
      <c r="K52" s="21">
        <f t="shared" si="16"/>
        <v>1</v>
      </c>
      <c r="L52" s="673"/>
      <c r="M52" s="21">
        <f t="shared" si="17"/>
        <v>1</v>
      </c>
      <c r="N52" s="673"/>
      <c r="O52" s="21">
        <f t="shared" si="18"/>
        <v>1</v>
      </c>
      <c r="P52" s="673"/>
      <c r="Q52" s="21">
        <f t="shared" si="19"/>
        <v>1</v>
      </c>
      <c r="R52" s="669">
        <f t="shared" si="20"/>
        <v>0</v>
      </c>
      <c r="S52" s="319">
        <f t="shared" si="11"/>
        <v>0</v>
      </c>
    </row>
    <row r="53" spans="1:19">
      <c r="A53" s="152"/>
      <c r="B53" s="54"/>
      <c r="C53" s="21">
        <f t="shared" si="12"/>
        <v>1</v>
      </c>
      <c r="D53" s="673"/>
      <c r="E53" s="21">
        <f t="shared" si="13"/>
        <v>1</v>
      </c>
      <c r="F53" s="673"/>
      <c r="G53" s="21">
        <f t="shared" si="14"/>
        <v>1</v>
      </c>
      <c r="H53" s="673"/>
      <c r="I53" s="21">
        <f t="shared" si="15"/>
        <v>1</v>
      </c>
      <c r="J53" s="673"/>
      <c r="K53" s="21">
        <f t="shared" si="16"/>
        <v>1</v>
      </c>
      <c r="L53" s="673"/>
      <c r="M53" s="21">
        <f t="shared" si="17"/>
        <v>1</v>
      </c>
      <c r="N53" s="673"/>
      <c r="O53" s="21">
        <f t="shared" si="18"/>
        <v>1</v>
      </c>
      <c r="P53" s="673"/>
      <c r="Q53" s="21">
        <f t="shared" si="19"/>
        <v>1</v>
      </c>
      <c r="R53" s="669">
        <f t="shared" si="20"/>
        <v>0</v>
      </c>
      <c r="S53" s="319">
        <f t="shared" si="11"/>
        <v>0</v>
      </c>
    </row>
    <row r="54" spans="1:19">
      <c r="A54" s="152"/>
      <c r="B54" s="54"/>
      <c r="C54" s="21">
        <f t="shared" si="12"/>
        <v>1</v>
      </c>
      <c r="D54" s="673"/>
      <c r="E54" s="21">
        <f t="shared" si="13"/>
        <v>1</v>
      </c>
      <c r="F54" s="673"/>
      <c r="G54" s="21">
        <f t="shared" si="14"/>
        <v>1</v>
      </c>
      <c r="H54" s="673"/>
      <c r="I54" s="21">
        <f t="shared" si="15"/>
        <v>1</v>
      </c>
      <c r="J54" s="673"/>
      <c r="K54" s="21">
        <f t="shared" si="16"/>
        <v>1</v>
      </c>
      <c r="L54" s="673"/>
      <c r="M54" s="21">
        <f t="shared" si="17"/>
        <v>1</v>
      </c>
      <c r="N54" s="673"/>
      <c r="O54" s="21">
        <f t="shared" si="18"/>
        <v>1</v>
      </c>
      <c r="P54" s="673"/>
      <c r="Q54" s="21">
        <f t="shared" si="19"/>
        <v>1</v>
      </c>
      <c r="R54" s="669">
        <f t="shared" si="20"/>
        <v>0</v>
      </c>
      <c r="S54" s="319">
        <f t="shared" si="11"/>
        <v>0</v>
      </c>
    </row>
    <row r="55" spans="1:19">
      <c r="A55" s="152"/>
      <c r="B55" s="54"/>
      <c r="C55" s="21">
        <f t="shared" si="12"/>
        <v>1</v>
      </c>
      <c r="D55" s="673"/>
      <c r="E55" s="21">
        <f t="shared" si="13"/>
        <v>1</v>
      </c>
      <c r="F55" s="673"/>
      <c r="G55" s="21">
        <f t="shared" si="14"/>
        <v>1</v>
      </c>
      <c r="H55" s="673"/>
      <c r="I55" s="21">
        <f t="shared" si="15"/>
        <v>1</v>
      </c>
      <c r="J55" s="673"/>
      <c r="K55" s="21">
        <f t="shared" si="16"/>
        <v>1</v>
      </c>
      <c r="L55" s="673"/>
      <c r="M55" s="21">
        <f t="shared" si="17"/>
        <v>1</v>
      </c>
      <c r="N55" s="673"/>
      <c r="O55" s="21">
        <f t="shared" si="18"/>
        <v>1</v>
      </c>
      <c r="P55" s="673"/>
      <c r="Q55" s="21">
        <f t="shared" si="19"/>
        <v>1</v>
      </c>
      <c r="R55" s="669">
        <f t="shared" si="20"/>
        <v>0</v>
      </c>
      <c r="S55" s="319">
        <f t="shared" ref="S55:S77" si="21">ROUND(R55*B55/10000,0)</f>
        <v>0</v>
      </c>
    </row>
    <row r="56" spans="1:19">
      <c r="A56" s="152"/>
      <c r="B56" s="54"/>
      <c r="C56" s="21">
        <f t="shared" si="12"/>
        <v>1</v>
      </c>
      <c r="D56" s="673"/>
      <c r="E56" s="21">
        <f t="shared" si="13"/>
        <v>1</v>
      </c>
      <c r="F56" s="673"/>
      <c r="G56" s="21">
        <f t="shared" si="14"/>
        <v>1</v>
      </c>
      <c r="H56" s="673"/>
      <c r="I56" s="21">
        <f t="shared" si="15"/>
        <v>1</v>
      </c>
      <c r="J56" s="673"/>
      <c r="K56" s="21">
        <f t="shared" si="16"/>
        <v>1</v>
      </c>
      <c r="L56" s="673"/>
      <c r="M56" s="21">
        <f t="shared" si="17"/>
        <v>1</v>
      </c>
      <c r="N56" s="673"/>
      <c r="O56" s="21">
        <f t="shared" si="18"/>
        <v>1</v>
      </c>
      <c r="P56" s="673"/>
      <c r="Q56" s="21">
        <f t="shared" si="19"/>
        <v>1</v>
      </c>
      <c r="R56" s="669">
        <f t="shared" si="20"/>
        <v>0</v>
      </c>
      <c r="S56" s="319">
        <f t="shared" si="21"/>
        <v>0</v>
      </c>
    </row>
    <row r="57" spans="1:19">
      <c r="A57" s="152"/>
      <c r="B57" s="54"/>
      <c r="C57" s="21">
        <f t="shared" si="12"/>
        <v>1</v>
      </c>
      <c r="D57" s="673"/>
      <c r="E57" s="21">
        <f t="shared" si="13"/>
        <v>1</v>
      </c>
      <c r="F57" s="673"/>
      <c r="G57" s="21">
        <f t="shared" si="14"/>
        <v>1</v>
      </c>
      <c r="H57" s="673"/>
      <c r="I57" s="21">
        <f t="shared" si="15"/>
        <v>1</v>
      </c>
      <c r="J57" s="673"/>
      <c r="K57" s="21">
        <f t="shared" si="16"/>
        <v>1</v>
      </c>
      <c r="L57" s="673"/>
      <c r="M57" s="21">
        <f t="shared" si="17"/>
        <v>1</v>
      </c>
      <c r="N57" s="673"/>
      <c r="O57" s="21">
        <f t="shared" si="18"/>
        <v>1</v>
      </c>
      <c r="P57" s="673"/>
      <c r="Q57" s="21">
        <f t="shared" si="19"/>
        <v>1</v>
      </c>
      <c r="R57" s="669">
        <f t="shared" si="20"/>
        <v>0</v>
      </c>
      <c r="S57" s="319">
        <f t="shared" si="21"/>
        <v>0</v>
      </c>
    </row>
    <row r="58" spans="1:19">
      <c r="A58" s="152"/>
      <c r="B58" s="54"/>
      <c r="C58" s="21">
        <f t="shared" si="12"/>
        <v>1</v>
      </c>
      <c r="D58" s="673"/>
      <c r="E58" s="21">
        <f t="shared" si="13"/>
        <v>1</v>
      </c>
      <c r="F58" s="673"/>
      <c r="G58" s="21">
        <f t="shared" si="14"/>
        <v>1</v>
      </c>
      <c r="H58" s="673"/>
      <c r="I58" s="21">
        <f t="shared" si="15"/>
        <v>1</v>
      </c>
      <c r="J58" s="673"/>
      <c r="K58" s="21">
        <f t="shared" si="16"/>
        <v>1</v>
      </c>
      <c r="L58" s="673"/>
      <c r="M58" s="21">
        <f t="shared" si="17"/>
        <v>1</v>
      </c>
      <c r="N58" s="673"/>
      <c r="O58" s="21">
        <f t="shared" si="18"/>
        <v>1</v>
      </c>
      <c r="P58" s="673"/>
      <c r="Q58" s="21">
        <f t="shared" si="19"/>
        <v>1</v>
      </c>
      <c r="R58" s="669">
        <f t="shared" si="20"/>
        <v>0</v>
      </c>
      <c r="S58" s="319">
        <f t="shared" si="21"/>
        <v>0</v>
      </c>
    </row>
    <row r="59" spans="1:19">
      <c r="A59" s="152"/>
      <c r="B59" s="54"/>
      <c r="C59" s="21">
        <f t="shared" si="12"/>
        <v>1</v>
      </c>
      <c r="D59" s="673"/>
      <c r="E59" s="21">
        <f t="shared" si="13"/>
        <v>1</v>
      </c>
      <c r="F59" s="673"/>
      <c r="G59" s="21">
        <f t="shared" si="14"/>
        <v>1</v>
      </c>
      <c r="H59" s="673"/>
      <c r="I59" s="21">
        <f t="shared" si="15"/>
        <v>1</v>
      </c>
      <c r="J59" s="673"/>
      <c r="K59" s="21">
        <f t="shared" si="16"/>
        <v>1</v>
      </c>
      <c r="L59" s="673"/>
      <c r="M59" s="21">
        <f t="shared" si="17"/>
        <v>1</v>
      </c>
      <c r="N59" s="673"/>
      <c r="O59" s="21">
        <f t="shared" si="18"/>
        <v>1</v>
      </c>
      <c r="P59" s="673"/>
      <c r="Q59" s="21">
        <f t="shared" si="19"/>
        <v>1</v>
      </c>
      <c r="R59" s="669">
        <f t="shared" si="20"/>
        <v>0</v>
      </c>
      <c r="S59" s="319">
        <f t="shared" si="21"/>
        <v>0</v>
      </c>
    </row>
    <row r="60" spans="1:19">
      <c r="A60" s="152"/>
      <c r="B60" s="54"/>
      <c r="C60" s="21">
        <f t="shared" si="12"/>
        <v>1</v>
      </c>
      <c r="D60" s="673"/>
      <c r="E60" s="21">
        <f t="shared" si="13"/>
        <v>1</v>
      </c>
      <c r="F60" s="673"/>
      <c r="G60" s="21">
        <f t="shared" si="14"/>
        <v>1</v>
      </c>
      <c r="H60" s="673"/>
      <c r="I60" s="21">
        <f t="shared" si="15"/>
        <v>1</v>
      </c>
      <c r="J60" s="673"/>
      <c r="K60" s="21">
        <f t="shared" si="16"/>
        <v>1</v>
      </c>
      <c r="L60" s="673"/>
      <c r="M60" s="21">
        <f t="shared" si="17"/>
        <v>1</v>
      </c>
      <c r="N60" s="673"/>
      <c r="O60" s="21">
        <f t="shared" si="18"/>
        <v>1</v>
      </c>
      <c r="P60" s="673"/>
      <c r="Q60" s="21">
        <f t="shared" si="19"/>
        <v>1</v>
      </c>
      <c r="R60" s="669">
        <f t="shared" si="20"/>
        <v>0</v>
      </c>
      <c r="S60" s="319">
        <f t="shared" si="21"/>
        <v>0</v>
      </c>
    </row>
    <row r="61" spans="1:19">
      <c r="A61" s="152"/>
      <c r="B61" s="54"/>
      <c r="C61" s="21">
        <f t="shared" si="12"/>
        <v>1</v>
      </c>
      <c r="D61" s="673"/>
      <c r="E61" s="21">
        <f t="shared" si="13"/>
        <v>1</v>
      </c>
      <c r="F61" s="673"/>
      <c r="G61" s="21">
        <f t="shared" si="14"/>
        <v>1</v>
      </c>
      <c r="H61" s="673"/>
      <c r="I61" s="21">
        <f t="shared" si="15"/>
        <v>1</v>
      </c>
      <c r="J61" s="673"/>
      <c r="K61" s="21">
        <f t="shared" si="16"/>
        <v>1</v>
      </c>
      <c r="L61" s="673"/>
      <c r="M61" s="21">
        <f t="shared" si="17"/>
        <v>1</v>
      </c>
      <c r="N61" s="673"/>
      <c r="O61" s="21">
        <f t="shared" si="18"/>
        <v>1</v>
      </c>
      <c r="P61" s="673"/>
      <c r="Q61" s="21">
        <f t="shared" si="19"/>
        <v>1</v>
      </c>
      <c r="R61" s="669">
        <f t="shared" si="20"/>
        <v>0</v>
      </c>
      <c r="S61" s="319">
        <f t="shared" si="21"/>
        <v>0</v>
      </c>
    </row>
    <row r="62" spans="1:19">
      <c r="A62" s="152"/>
      <c r="B62" s="54"/>
      <c r="C62" s="21">
        <f t="shared" si="12"/>
        <v>1</v>
      </c>
      <c r="D62" s="673"/>
      <c r="E62" s="21">
        <f t="shared" si="13"/>
        <v>1</v>
      </c>
      <c r="F62" s="673"/>
      <c r="G62" s="21">
        <f t="shared" si="14"/>
        <v>1</v>
      </c>
      <c r="H62" s="673"/>
      <c r="I62" s="21">
        <f t="shared" si="15"/>
        <v>1</v>
      </c>
      <c r="J62" s="673"/>
      <c r="K62" s="21">
        <f t="shared" si="16"/>
        <v>1</v>
      </c>
      <c r="L62" s="673"/>
      <c r="M62" s="21">
        <f t="shared" si="17"/>
        <v>1</v>
      </c>
      <c r="N62" s="673"/>
      <c r="O62" s="21">
        <f t="shared" si="18"/>
        <v>1</v>
      </c>
      <c r="P62" s="673"/>
      <c r="Q62" s="21">
        <f t="shared" si="19"/>
        <v>1</v>
      </c>
      <c r="R62" s="669">
        <f t="shared" si="20"/>
        <v>0</v>
      </c>
      <c r="S62" s="319">
        <f t="shared" si="21"/>
        <v>0</v>
      </c>
    </row>
    <row r="63" spans="1:19">
      <c r="A63" s="152"/>
      <c r="B63" s="54"/>
      <c r="C63" s="21">
        <f t="shared" si="12"/>
        <v>1</v>
      </c>
      <c r="D63" s="673"/>
      <c r="E63" s="21">
        <f t="shared" si="13"/>
        <v>1</v>
      </c>
      <c r="F63" s="673"/>
      <c r="G63" s="21">
        <f t="shared" si="14"/>
        <v>1</v>
      </c>
      <c r="H63" s="673"/>
      <c r="I63" s="21">
        <f t="shared" si="15"/>
        <v>1</v>
      </c>
      <c r="J63" s="673"/>
      <c r="K63" s="21">
        <f t="shared" si="16"/>
        <v>1</v>
      </c>
      <c r="L63" s="673"/>
      <c r="M63" s="21">
        <f t="shared" si="17"/>
        <v>1</v>
      </c>
      <c r="N63" s="673"/>
      <c r="O63" s="21">
        <f t="shared" si="18"/>
        <v>1</v>
      </c>
      <c r="P63" s="673"/>
      <c r="Q63" s="21">
        <f t="shared" si="19"/>
        <v>1</v>
      </c>
      <c r="R63" s="669">
        <f t="shared" si="20"/>
        <v>0</v>
      </c>
      <c r="S63" s="319">
        <f t="shared" si="21"/>
        <v>0</v>
      </c>
    </row>
    <row r="64" spans="1:19">
      <c r="A64" s="152"/>
      <c r="B64" s="54"/>
      <c r="C64" s="21">
        <f t="shared" si="12"/>
        <v>1</v>
      </c>
      <c r="D64" s="673"/>
      <c r="E64" s="21">
        <f t="shared" si="13"/>
        <v>1</v>
      </c>
      <c r="F64" s="673"/>
      <c r="G64" s="21">
        <f t="shared" si="14"/>
        <v>1</v>
      </c>
      <c r="H64" s="673"/>
      <c r="I64" s="21">
        <f t="shared" si="15"/>
        <v>1</v>
      </c>
      <c r="J64" s="673"/>
      <c r="K64" s="21">
        <f t="shared" si="16"/>
        <v>1</v>
      </c>
      <c r="L64" s="673"/>
      <c r="M64" s="21">
        <f t="shared" si="17"/>
        <v>1</v>
      </c>
      <c r="N64" s="673"/>
      <c r="O64" s="21">
        <f t="shared" si="18"/>
        <v>1</v>
      </c>
      <c r="P64" s="673"/>
      <c r="Q64" s="21">
        <f t="shared" si="19"/>
        <v>1</v>
      </c>
      <c r="R64" s="669">
        <f t="shared" si="20"/>
        <v>0</v>
      </c>
      <c r="S64" s="319">
        <f t="shared" si="21"/>
        <v>0</v>
      </c>
    </row>
    <row r="65" spans="1:19">
      <c r="A65" s="152"/>
      <c r="B65" s="54"/>
      <c r="C65" s="21">
        <f t="shared" si="12"/>
        <v>1</v>
      </c>
      <c r="D65" s="673"/>
      <c r="E65" s="21">
        <f t="shared" si="13"/>
        <v>1</v>
      </c>
      <c r="F65" s="673"/>
      <c r="G65" s="21">
        <f t="shared" si="14"/>
        <v>1</v>
      </c>
      <c r="H65" s="673"/>
      <c r="I65" s="21">
        <f t="shared" si="15"/>
        <v>1</v>
      </c>
      <c r="J65" s="673"/>
      <c r="K65" s="21">
        <f t="shared" si="16"/>
        <v>1</v>
      </c>
      <c r="L65" s="673"/>
      <c r="M65" s="21">
        <f t="shared" si="17"/>
        <v>1</v>
      </c>
      <c r="N65" s="673"/>
      <c r="O65" s="21">
        <f t="shared" si="18"/>
        <v>1</v>
      </c>
      <c r="P65" s="673"/>
      <c r="Q65" s="21">
        <f t="shared" si="19"/>
        <v>1</v>
      </c>
      <c r="R65" s="669">
        <f t="shared" si="20"/>
        <v>0</v>
      </c>
      <c r="S65" s="319">
        <f t="shared" si="21"/>
        <v>0</v>
      </c>
    </row>
    <row r="66" spans="1:19">
      <c r="A66" s="152"/>
      <c r="B66" s="54"/>
      <c r="C66" s="21">
        <f t="shared" si="12"/>
        <v>1</v>
      </c>
      <c r="D66" s="673"/>
      <c r="E66" s="21">
        <f t="shared" si="13"/>
        <v>1</v>
      </c>
      <c r="F66" s="673"/>
      <c r="G66" s="21">
        <f t="shared" si="14"/>
        <v>1</v>
      </c>
      <c r="H66" s="673"/>
      <c r="I66" s="21">
        <f t="shared" si="15"/>
        <v>1</v>
      </c>
      <c r="J66" s="673"/>
      <c r="K66" s="21">
        <f t="shared" si="16"/>
        <v>1</v>
      </c>
      <c r="L66" s="673"/>
      <c r="M66" s="21">
        <f t="shared" si="17"/>
        <v>1</v>
      </c>
      <c r="N66" s="673"/>
      <c r="O66" s="21">
        <f t="shared" si="18"/>
        <v>1</v>
      </c>
      <c r="P66" s="673"/>
      <c r="Q66" s="21">
        <f t="shared" si="19"/>
        <v>1</v>
      </c>
      <c r="R66" s="669">
        <f t="shared" si="20"/>
        <v>0</v>
      </c>
      <c r="S66" s="319">
        <f t="shared" si="21"/>
        <v>0</v>
      </c>
    </row>
    <row r="67" spans="1:19">
      <c r="A67" s="152"/>
      <c r="B67" s="54"/>
      <c r="C67" s="21">
        <f t="shared" si="12"/>
        <v>1</v>
      </c>
      <c r="D67" s="673"/>
      <c r="E67" s="21">
        <f t="shared" si="13"/>
        <v>1</v>
      </c>
      <c r="F67" s="673"/>
      <c r="G67" s="21">
        <f t="shared" si="14"/>
        <v>1</v>
      </c>
      <c r="H67" s="673"/>
      <c r="I67" s="21">
        <f t="shared" si="15"/>
        <v>1</v>
      </c>
      <c r="J67" s="673"/>
      <c r="K67" s="21">
        <f t="shared" si="16"/>
        <v>1</v>
      </c>
      <c r="L67" s="673"/>
      <c r="M67" s="21">
        <f t="shared" si="17"/>
        <v>1</v>
      </c>
      <c r="N67" s="673"/>
      <c r="O67" s="21">
        <f t="shared" si="18"/>
        <v>1</v>
      </c>
      <c r="P67" s="673"/>
      <c r="Q67" s="21">
        <f t="shared" si="19"/>
        <v>1</v>
      </c>
      <c r="R67" s="669">
        <f t="shared" si="20"/>
        <v>0</v>
      </c>
      <c r="S67" s="319">
        <f t="shared" si="21"/>
        <v>0</v>
      </c>
    </row>
    <row r="68" spans="1:19">
      <c r="A68" s="152"/>
      <c r="B68" s="54"/>
      <c r="C68" s="21">
        <f t="shared" si="12"/>
        <v>1</v>
      </c>
      <c r="D68" s="673"/>
      <c r="E68" s="21">
        <f t="shared" si="13"/>
        <v>1</v>
      </c>
      <c r="F68" s="673"/>
      <c r="G68" s="21">
        <f t="shared" si="14"/>
        <v>1</v>
      </c>
      <c r="H68" s="673"/>
      <c r="I68" s="21">
        <f t="shared" si="15"/>
        <v>1</v>
      </c>
      <c r="J68" s="673"/>
      <c r="K68" s="21">
        <f t="shared" si="16"/>
        <v>1</v>
      </c>
      <c r="L68" s="673"/>
      <c r="M68" s="21">
        <f t="shared" si="17"/>
        <v>1</v>
      </c>
      <c r="N68" s="673"/>
      <c r="O68" s="21">
        <f t="shared" si="18"/>
        <v>1</v>
      </c>
      <c r="P68" s="673"/>
      <c r="Q68" s="21">
        <f t="shared" si="19"/>
        <v>1</v>
      </c>
      <c r="R68" s="669">
        <f t="shared" si="20"/>
        <v>0</v>
      </c>
      <c r="S68" s="319">
        <f t="shared" si="21"/>
        <v>0</v>
      </c>
    </row>
    <row r="69" spans="1:19">
      <c r="A69" s="152"/>
      <c r="B69" s="54"/>
      <c r="C69" s="21">
        <f t="shared" si="12"/>
        <v>1</v>
      </c>
      <c r="D69" s="673"/>
      <c r="E69" s="21">
        <f t="shared" si="13"/>
        <v>1</v>
      </c>
      <c r="F69" s="673"/>
      <c r="G69" s="21">
        <f t="shared" si="14"/>
        <v>1</v>
      </c>
      <c r="H69" s="673"/>
      <c r="I69" s="21">
        <f t="shared" si="15"/>
        <v>1</v>
      </c>
      <c r="J69" s="673"/>
      <c r="K69" s="21">
        <f t="shared" si="16"/>
        <v>1</v>
      </c>
      <c r="L69" s="673"/>
      <c r="M69" s="21">
        <f t="shared" si="17"/>
        <v>1</v>
      </c>
      <c r="N69" s="673"/>
      <c r="O69" s="21">
        <f t="shared" si="18"/>
        <v>1</v>
      </c>
      <c r="P69" s="673"/>
      <c r="Q69" s="21">
        <f t="shared" si="19"/>
        <v>1</v>
      </c>
      <c r="R69" s="669">
        <f t="shared" si="20"/>
        <v>0</v>
      </c>
      <c r="S69" s="319">
        <f t="shared" si="21"/>
        <v>0</v>
      </c>
    </row>
    <row r="70" spans="1:19">
      <c r="A70" s="152"/>
      <c r="B70" s="54"/>
      <c r="C70" s="21">
        <f t="shared" si="12"/>
        <v>1</v>
      </c>
      <c r="D70" s="673"/>
      <c r="E70" s="21">
        <f t="shared" si="13"/>
        <v>1</v>
      </c>
      <c r="F70" s="673"/>
      <c r="G70" s="21">
        <f t="shared" si="14"/>
        <v>1</v>
      </c>
      <c r="H70" s="673"/>
      <c r="I70" s="21">
        <f t="shared" si="15"/>
        <v>1</v>
      </c>
      <c r="J70" s="673"/>
      <c r="K70" s="21">
        <f t="shared" si="16"/>
        <v>1</v>
      </c>
      <c r="L70" s="673"/>
      <c r="M70" s="21">
        <f t="shared" si="17"/>
        <v>1</v>
      </c>
      <c r="N70" s="673"/>
      <c r="O70" s="21">
        <f t="shared" si="18"/>
        <v>1</v>
      </c>
      <c r="P70" s="673"/>
      <c r="Q70" s="21">
        <f t="shared" si="19"/>
        <v>1</v>
      </c>
      <c r="R70" s="669">
        <f t="shared" si="20"/>
        <v>0</v>
      </c>
      <c r="S70" s="319">
        <f t="shared" si="21"/>
        <v>0</v>
      </c>
    </row>
    <row r="71" spans="1:19">
      <c r="A71" s="152"/>
      <c r="B71" s="54"/>
      <c r="C71" s="21">
        <f t="shared" si="12"/>
        <v>1</v>
      </c>
      <c r="D71" s="673"/>
      <c r="E71" s="21">
        <f t="shared" si="13"/>
        <v>1</v>
      </c>
      <c r="F71" s="673"/>
      <c r="G71" s="21">
        <f t="shared" si="14"/>
        <v>1</v>
      </c>
      <c r="H71" s="673"/>
      <c r="I71" s="21">
        <f t="shared" si="15"/>
        <v>1</v>
      </c>
      <c r="J71" s="673"/>
      <c r="K71" s="21">
        <f t="shared" si="16"/>
        <v>1</v>
      </c>
      <c r="L71" s="673"/>
      <c r="M71" s="21">
        <f t="shared" si="17"/>
        <v>1</v>
      </c>
      <c r="N71" s="673"/>
      <c r="O71" s="21">
        <f t="shared" si="18"/>
        <v>1</v>
      </c>
      <c r="P71" s="673"/>
      <c r="Q71" s="21">
        <f t="shared" si="19"/>
        <v>1</v>
      </c>
      <c r="R71" s="669">
        <f t="shared" si="20"/>
        <v>0</v>
      </c>
      <c r="S71" s="319">
        <f t="shared" si="21"/>
        <v>0</v>
      </c>
    </row>
    <row r="72" spans="1:19">
      <c r="A72" s="152"/>
      <c r="B72" s="54"/>
      <c r="C72" s="21">
        <f t="shared" si="12"/>
        <v>1</v>
      </c>
      <c r="D72" s="673"/>
      <c r="E72" s="21">
        <f t="shared" si="13"/>
        <v>1</v>
      </c>
      <c r="F72" s="673"/>
      <c r="G72" s="21">
        <f t="shared" si="14"/>
        <v>1</v>
      </c>
      <c r="H72" s="673"/>
      <c r="I72" s="21">
        <f t="shared" si="15"/>
        <v>1</v>
      </c>
      <c r="J72" s="673"/>
      <c r="K72" s="21">
        <f t="shared" si="16"/>
        <v>1</v>
      </c>
      <c r="L72" s="673"/>
      <c r="M72" s="21">
        <f t="shared" si="17"/>
        <v>1</v>
      </c>
      <c r="N72" s="673"/>
      <c r="O72" s="21">
        <f t="shared" si="18"/>
        <v>1</v>
      </c>
      <c r="P72" s="673"/>
      <c r="Q72" s="21">
        <f t="shared" si="19"/>
        <v>1</v>
      </c>
      <c r="R72" s="669">
        <f t="shared" si="20"/>
        <v>0</v>
      </c>
      <c r="S72" s="319">
        <f t="shared" si="21"/>
        <v>0</v>
      </c>
    </row>
    <row r="73" spans="1:19">
      <c r="A73" s="152"/>
      <c r="B73" s="54"/>
      <c r="C73" s="21">
        <f t="shared" si="12"/>
        <v>1</v>
      </c>
      <c r="D73" s="673"/>
      <c r="E73" s="21">
        <f t="shared" si="13"/>
        <v>1</v>
      </c>
      <c r="F73" s="673"/>
      <c r="G73" s="21">
        <f t="shared" si="14"/>
        <v>1</v>
      </c>
      <c r="H73" s="673"/>
      <c r="I73" s="21">
        <f t="shared" si="15"/>
        <v>1</v>
      </c>
      <c r="J73" s="673"/>
      <c r="K73" s="21">
        <f t="shared" si="16"/>
        <v>1</v>
      </c>
      <c r="L73" s="673"/>
      <c r="M73" s="21">
        <f t="shared" si="17"/>
        <v>1</v>
      </c>
      <c r="N73" s="673"/>
      <c r="O73" s="21">
        <f t="shared" si="18"/>
        <v>1</v>
      </c>
      <c r="P73" s="673"/>
      <c r="Q73" s="21">
        <f t="shared" si="19"/>
        <v>1</v>
      </c>
      <c r="R73" s="669">
        <f t="shared" si="20"/>
        <v>0</v>
      </c>
      <c r="S73" s="319">
        <f t="shared" si="21"/>
        <v>0</v>
      </c>
    </row>
    <row r="74" spans="1:19">
      <c r="A74" s="152"/>
      <c r="B74" s="54"/>
      <c r="C74" s="21">
        <f t="shared" si="12"/>
        <v>1</v>
      </c>
      <c r="D74" s="673"/>
      <c r="E74" s="21">
        <f t="shared" si="13"/>
        <v>1</v>
      </c>
      <c r="F74" s="673"/>
      <c r="G74" s="21">
        <f t="shared" si="14"/>
        <v>1</v>
      </c>
      <c r="H74" s="673"/>
      <c r="I74" s="21">
        <f t="shared" si="15"/>
        <v>1</v>
      </c>
      <c r="J74" s="673"/>
      <c r="K74" s="21">
        <f t="shared" si="16"/>
        <v>1</v>
      </c>
      <c r="L74" s="673"/>
      <c r="M74" s="21">
        <f t="shared" si="17"/>
        <v>1</v>
      </c>
      <c r="N74" s="673"/>
      <c r="O74" s="21">
        <f t="shared" si="18"/>
        <v>1</v>
      </c>
      <c r="P74" s="673"/>
      <c r="Q74" s="21">
        <f t="shared" si="19"/>
        <v>1</v>
      </c>
      <c r="R74" s="669">
        <f t="shared" si="20"/>
        <v>0</v>
      </c>
      <c r="S74" s="319">
        <f t="shared" si="21"/>
        <v>0</v>
      </c>
    </row>
    <row r="75" spans="1:19">
      <c r="A75" s="152"/>
      <c r="B75" s="54"/>
      <c r="C75" s="21">
        <f t="shared" si="12"/>
        <v>1</v>
      </c>
      <c r="D75" s="673"/>
      <c r="E75" s="21">
        <f t="shared" si="13"/>
        <v>1</v>
      </c>
      <c r="F75" s="673"/>
      <c r="G75" s="21">
        <f t="shared" si="14"/>
        <v>1</v>
      </c>
      <c r="H75" s="673"/>
      <c r="I75" s="21">
        <f t="shared" si="15"/>
        <v>1</v>
      </c>
      <c r="J75" s="673"/>
      <c r="K75" s="21">
        <f t="shared" si="16"/>
        <v>1</v>
      </c>
      <c r="L75" s="673"/>
      <c r="M75" s="21">
        <f t="shared" si="17"/>
        <v>1</v>
      </c>
      <c r="N75" s="673"/>
      <c r="O75" s="21">
        <f t="shared" si="18"/>
        <v>1</v>
      </c>
      <c r="P75" s="673"/>
      <c r="Q75" s="21">
        <f t="shared" si="19"/>
        <v>1</v>
      </c>
      <c r="R75" s="669">
        <f t="shared" si="20"/>
        <v>0</v>
      </c>
      <c r="S75" s="319">
        <f t="shared" si="21"/>
        <v>0</v>
      </c>
    </row>
    <row r="76" spans="1:19">
      <c r="A76" s="152"/>
      <c r="B76" s="54"/>
      <c r="C76" s="21">
        <f t="shared" si="12"/>
        <v>1</v>
      </c>
      <c r="D76" s="673"/>
      <c r="E76" s="21">
        <f t="shared" si="13"/>
        <v>1</v>
      </c>
      <c r="F76" s="673"/>
      <c r="G76" s="21">
        <f t="shared" si="14"/>
        <v>1</v>
      </c>
      <c r="H76" s="673"/>
      <c r="I76" s="21">
        <f t="shared" si="15"/>
        <v>1</v>
      </c>
      <c r="J76" s="673"/>
      <c r="K76" s="21">
        <f t="shared" si="16"/>
        <v>1</v>
      </c>
      <c r="L76" s="673"/>
      <c r="M76" s="21">
        <f t="shared" si="17"/>
        <v>1</v>
      </c>
      <c r="N76" s="673"/>
      <c r="O76" s="21">
        <f t="shared" si="18"/>
        <v>1</v>
      </c>
      <c r="P76" s="673"/>
      <c r="Q76" s="21">
        <f t="shared" si="19"/>
        <v>1</v>
      </c>
      <c r="R76" s="669">
        <f t="shared" si="20"/>
        <v>0</v>
      </c>
      <c r="S76" s="319">
        <f t="shared" si="21"/>
        <v>0</v>
      </c>
    </row>
    <row r="77" spans="1:19">
      <c r="A77" s="152"/>
      <c r="B77" s="54"/>
      <c r="C77" s="21">
        <f t="shared" si="12"/>
        <v>1</v>
      </c>
      <c r="D77" s="673"/>
      <c r="E77" s="21">
        <f t="shared" si="13"/>
        <v>1</v>
      </c>
      <c r="F77" s="673"/>
      <c r="G77" s="21">
        <f t="shared" si="14"/>
        <v>1</v>
      </c>
      <c r="H77" s="673"/>
      <c r="I77" s="21">
        <f t="shared" si="15"/>
        <v>1</v>
      </c>
      <c r="J77" s="673"/>
      <c r="K77" s="21">
        <f t="shared" si="16"/>
        <v>1</v>
      </c>
      <c r="L77" s="673"/>
      <c r="M77" s="21">
        <f t="shared" si="17"/>
        <v>1</v>
      </c>
      <c r="N77" s="673"/>
      <c r="O77" s="21">
        <f t="shared" si="18"/>
        <v>1</v>
      </c>
      <c r="P77" s="673"/>
      <c r="Q77" s="21">
        <f t="shared" si="19"/>
        <v>1</v>
      </c>
      <c r="R77" s="669">
        <f t="shared" si="20"/>
        <v>0</v>
      </c>
      <c r="S77" s="319">
        <f t="shared" si="21"/>
        <v>0</v>
      </c>
    </row>
    <row r="78" spans="1:19">
      <c r="A78" s="152"/>
      <c r="B78" s="54"/>
      <c r="C78" s="21">
        <f t="shared" si="12"/>
        <v>1</v>
      </c>
      <c r="D78" s="673"/>
      <c r="E78" s="21">
        <f t="shared" si="13"/>
        <v>1</v>
      </c>
      <c r="F78" s="673"/>
      <c r="G78" s="21">
        <f t="shared" si="14"/>
        <v>1</v>
      </c>
      <c r="H78" s="673"/>
      <c r="I78" s="21">
        <f t="shared" si="15"/>
        <v>1</v>
      </c>
      <c r="J78" s="673"/>
      <c r="K78" s="21">
        <f t="shared" si="16"/>
        <v>1</v>
      </c>
      <c r="L78" s="673"/>
      <c r="M78" s="21">
        <f t="shared" si="17"/>
        <v>1</v>
      </c>
      <c r="N78" s="673"/>
      <c r="O78" s="21">
        <f t="shared" si="18"/>
        <v>1</v>
      </c>
      <c r="P78" s="673"/>
      <c r="Q78" s="21">
        <f t="shared" si="19"/>
        <v>1</v>
      </c>
      <c r="R78" s="669">
        <f t="shared" si="20"/>
        <v>0</v>
      </c>
      <c r="S78" s="319">
        <f t="shared" ref="S78:S122" si="22">ROUND(R78*B78/10000,0)</f>
        <v>0</v>
      </c>
    </row>
    <row r="79" spans="1:19">
      <c r="A79" s="152"/>
      <c r="B79" s="54"/>
      <c r="C79" s="21">
        <f t="shared" si="12"/>
        <v>1</v>
      </c>
      <c r="D79" s="673"/>
      <c r="E79" s="21">
        <f t="shared" si="13"/>
        <v>1</v>
      </c>
      <c r="F79" s="673"/>
      <c r="G79" s="21">
        <f t="shared" si="14"/>
        <v>1</v>
      </c>
      <c r="H79" s="673"/>
      <c r="I79" s="21">
        <f t="shared" si="15"/>
        <v>1</v>
      </c>
      <c r="J79" s="673"/>
      <c r="K79" s="21">
        <f t="shared" si="16"/>
        <v>1</v>
      </c>
      <c r="L79" s="673"/>
      <c r="M79" s="21">
        <f t="shared" si="17"/>
        <v>1</v>
      </c>
      <c r="N79" s="673"/>
      <c r="O79" s="21">
        <f t="shared" si="18"/>
        <v>1</v>
      </c>
      <c r="P79" s="673"/>
      <c r="Q79" s="21">
        <f t="shared" si="19"/>
        <v>1</v>
      </c>
      <c r="R79" s="669">
        <f t="shared" si="20"/>
        <v>0</v>
      </c>
      <c r="S79" s="319">
        <f t="shared" si="22"/>
        <v>0</v>
      </c>
    </row>
    <row r="80" spans="1:19">
      <c r="A80" s="152"/>
      <c r="B80" s="54"/>
      <c r="C80" s="21">
        <f t="shared" si="12"/>
        <v>1</v>
      </c>
      <c r="D80" s="673"/>
      <c r="E80" s="21">
        <f t="shared" si="13"/>
        <v>1</v>
      </c>
      <c r="F80" s="673"/>
      <c r="G80" s="21">
        <f t="shared" si="14"/>
        <v>1</v>
      </c>
      <c r="H80" s="673"/>
      <c r="I80" s="21">
        <f t="shared" si="15"/>
        <v>1</v>
      </c>
      <c r="J80" s="673"/>
      <c r="K80" s="21">
        <f t="shared" si="16"/>
        <v>1</v>
      </c>
      <c r="L80" s="673"/>
      <c r="M80" s="21">
        <f t="shared" si="17"/>
        <v>1</v>
      </c>
      <c r="N80" s="673"/>
      <c r="O80" s="21">
        <f t="shared" si="18"/>
        <v>1</v>
      </c>
      <c r="P80" s="673"/>
      <c r="Q80" s="21">
        <f t="shared" si="19"/>
        <v>1</v>
      </c>
      <c r="R80" s="669">
        <f t="shared" si="20"/>
        <v>0</v>
      </c>
      <c r="S80" s="319">
        <f t="shared" si="22"/>
        <v>0</v>
      </c>
    </row>
    <row r="81" spans="1:19">
      <c r="A81" s="152"/>
      <c r="B81" s="54"/>
      <c r="C81" s="21">
        <f t="shared" si="12"/>
        <v>1</v>
      </c>
      <c r="D81" s="673"/>
      <c r="E81" s="21">
        <f t="shared" si="13"/>
        <v>1</v>
      </c>
      <c r="F81" s="673"/>
      <c r="G81" s="21">
        <f t="shared" si="14"/>
        <v>1</v>
      </c>
      <c r="H81" s="673"/>
      <c r="I81" s="21">
        <f t="shared" si="15"/>
        <v>1</v>
      </c>
      <c r="J81" s="673"/>
      <c r="K81" s="21">
        <f t="shared" si="16"/>
        <v>1</v>
      </c>
      <c r="L81" s="673"/>
      <c r="M81" s="21">
        <f t="shared" si="17"/>
        <v>1</v>
      </c>
      <c r="N81" s="673"/>
      <c r="O81" s="21">
        <f t="shared" si="18"/>
        <v>1</v>
      </c>
      <c r="P81" s="673"/>
      <c r="Q81" s="21">
        <f t="shared" si="19"/>
        <v>1</v>
      </c>
      <c r="R81" s="669">
        <f t="shared" si="20"/>
        <v>0</v>
      </c>
      <c r="S81" s="319">
        <f t="shared" si="22"/>
        <v>0</v>
      </c>
    </row>
    <row r="82" spans="1:19">
      <c r="A82" s="152"/>
      <c r="B82" s="54"/>
      <c r="C82" s="21">
        <f t="shared" si="12"/>
        <v>1</v>
      </c>
      <c r="D82" s="673"/>
      <c r="E82" s="21">
        <f t="shared" si="13"/>
        <v>1</v>
      </c>
      <c r="F82" s="673"/>
      <c r="G82" s="21">
        <f t="shared" si="14"/>
        <v>1</v>
      </c>
      <c r="H82" s="673"/>
      <c r="I82" s="21">
        <f t="shared" si="15"/>
        <v>1</v>
      </c>
      <c r="J82" s="673"/>
      <c r="K82" s="21">
        <f t="shared" si="16"/>
        <v>1</v>
      </c>
      <c r="L82" s="673"/>
      <c r="M82" s="21">
        <f t="shared" si="17"/>
        <v>1</v>
      </c>
      <c r="N82" s="673"/>
      <c r="O82" s="21">
        <f t="shared" si="18"/>
        <v>1</v>
      </c>
      <c r="P82" s="673"/>
      <c r="Q82" s="21">
        <f t="shared" si="19"/>
        <v>1</v>
      </c>
      <c r="R82" s="669">
        <f t="shared" si="20"/>
        <v>0</v>
      </c>
      <c r="S82" s="319">
        <f t="shared" si="22"/>
        <v>0</v>
      </c>
    </row>
    <row r="83" spans="1:19">
      <c r="A83" s="152"/>
      <c r="B83" s="54"/>
      <c r="C83" s="21">
        <f t="shared" si="12"/>
        <v>1</v>
      </c>
      <c r="D83" s="673"/>
      <c r="E83" s="21">
        <f t="shared" si="13"/>
        <v>1</v>
      </c>
      <c r="F83" s="673"/>
      <c r="G83" s="21">
        <f t="shared" si="14"/>
        <v>1</v>
      </c>
      <c r="H83" s="673"/>
      <c r="I83" s="21">
        <f t="shared" si="15"/>
        <v>1</v>
      </c>
      <c r="J83" s="673"/>
      <c r="K83" s="21">
        <f t="shared" si="16"/>
        <v>1</v>
      </c>
      <c r="L83" s="673"/>
      <c r="M83" s="21">
        <f t="shared" si="17"/>
        <v>1</v>
      </c>
      <c r="N83" s="673"/>
      <c r="O83" s="21">
        <f t="shared" si="18"/>
        <v>1</v>
      </c>
      <c r="P83" s="673"/>
      <c r="Q83" s="21">
        <f t="shared" si="19"/>
        <v>1</v>
      </c>
      <c r="R83" s="669">
        <f t="shared" si="20"/>
        <v>0</v>
      </c>
      <c r="S83" s="319">
        <f t="shared" si="22"/>
        <v>0</v>
      </c>
    </row>
    <row r="84" spans="1:19">
      <c r="A84" s="152"/>
      <c r="B84" s="54"/>
      <c r="C84" s="21">
        <f t="shared" si="12"/>
        <v>1</v>
      </c>
      <c r="D84" s="673"/>
      <c r="E84" s="21">
        <f t="shared" si="13"/>
        <v>1</v>
      </c>
      <c r="F84" s="673"/>
      <c r="G84" s="21">
        <f t="shared" si="14"/>
        <v>1</v>
      </c>
      <c r="H84" s="673"/>
      <c r="I84" s="21">
        <f t="shared" si="15"/>
        <v>1</v>
      </c>
      <c r="J84" s="673"/>
      <c r="K84" s="21">
        <f t="shared" si="16"/>
        <v>1</v>
      </c>
      <c r="L84" s="673"/>
      <c r="M84" s="21">
        <f t="shared" si="17"/>
        <v>1</v>
      </c>
      <c r="N84" s="673"/>
      <c r="O84" s="21">
        <f t="shared" si="18"/>
        <v>1</v>
      </c>
      <c r="P84" s="673"/>
      <c r="Q84" s="21">
        <f t="shared" si="19"/>
        <v>1</v>
      </c>
      <c r="R84" s="669">
        <f t="shared" si="20"/>
        <v>0</v>
      </c>
      <c r="S84" s="319">
        <f t="shared" si="22"/>
        <v>0</v>
      </c>
    </row>
    <row r="85" spans="1:19">
      <c r="A85" s="152"/>
      <c r="B85" s="54"/>
      <c r="C85" s="21">
        <f t="shared" si="12"/>
        <v>1</v>
      </c>
      <c r="D85" s="673"/>
      <c r="E85" s="21">
        <f t="shared" si="13"/>
        <v>1</v>
      </c>
      <c r="F85" s="673"/>
      <c r="G85" s="21">
        <f t="shared" si="14"/>
        <v>1</v>
      </c>
      <c r="H85" s="673"/>
      <c r="I85" s="21">
        <f t="shared" si="15"/>
        <v>1</v>
      </c>
      <c r="J85" s="673"/>
      <c r="K85" s="21">
        <f t="shared" si="16"/>
        <v>1</v>
      </c>
      <c r="L85" s="673"/>
      <c r="M85" s="21">
        <f t="shared" si="17"/>
        <v>1</v>
      </c>
      <c r="N85" s="673"/>
      <c r="O85" s="21">
        <f t="shared" si="18"/>
        <v>1</v>
      </c>
      <c r="P85" s="673"/>
      <c r="Q85" s="21">
        <f t="shared" si="19"/>
        <v>1</v>
      </c>
      <c r="R85" s="669">
        <f t="shared" si="20"/>
        <v>0</v>
      </c>
      <c r="S85" s="319">
        <f t="shared" si="22"/>
        <v>0</v>
      </c>
    </row>
    <row r="86" spans="1:19">
      <c r="A86" s="152"/>
      <c r="B86" s="54"/>
      <c r="C86" s="21">
        <f t="shared" si="12"/>
        <v>1</v>
      </c>
      <c r="D86" s="673"/>
      <c r="E86" s="21">
        <f t="shared" si="13"/>
        <v>1</v>
      </c>
      <c r="F86" s="673"/>
      <c r="G86" s="21">
        <f t="shared" si="14"/>
        <v>1</v>
      </c>
      <c r="H86" s="673"/>
      <c r="I86" s="21">
        <f t="shared" si="15"/>
        <v>1</v>
      </c>
      <c r="J86" s="673"/>
      <c r="K86" s="21">
        <f t="shared" si="16"/>
        <v>1</v>
      </c>
      <c r="L86" s="673"/>
      <c r="M86" s="21">
        <f t="shared" si="17"/>
        <v>1</v>
      </c>
      <c r="N86" s="673"/>
      <c r="O86" s="21">
        <f t="shared" si="18"/>
        <v>1</v>
      </c>
      <c r="P86" s="673"/>
      <c r="Q86" s="21">
        <f t="shared" si="19"/>
        <v>1</v>
      </c>
      <c r="R86" s="669">
        <f t="shared" si="20"/>
        <v>0</v>
      </c>
      <c r="S86" s="319">
        <f t="shared" si="22"/>
        <v>0</v>
      </c>
    </row>
    <row r="87" spans="1:19">
      <c r="A87" s="152"/>
      <c r="B87" s="54"/>
      <c r="C87" s="21">
        <f t="shared" si="12"/>
        <v>1</v>
      </c>
      <c r="D87" s="673"/>
      <c r="E87" s="21">
        <f t="shared" si="13"/>
        <v>1</v>
      </c>
      <c r="F87" s="673"/>
      <c r="G87" s="21">
        <f t="shared" si="14"/>
        <v>1</v>
      </c>
      <c r="H87" s="673"/>
      <c r="I87" s="21">
        <f t="shared" si="15"/>
        <v>1</v>
      </c>
      <c r="J87" s="673"/>
      <c r="K87" s="21">
        <f t="shared" si="16"/>
        <v>1</v>
      </c>
      <c r="L87" s="673"/>
      <c r="M87" s="21">
        <f t="shared" si="17"/>
        <v>1</v>
      </c>
      <c r="N87" s="673"/>
      <c r="O87" s="21">
        <f t="shared" si="18"/>
        <v>1</v>
      </c>
      <c r="P87" s="673"/>
      <c r="Q87" s="21">
        <f t="shared" si="19"/>
        <v>1</v>
      </c>
      <c r="R87" s="669">
        <f t="shared" si="20"/>
        <v>0</v>
      </c>
      <c r="S87" s="319">
        <f t="shared" si="22"/>
        <v>0</v>
      </c>
    </row>
    <row r="88" spans="1:19">
      <c r="A88" s="152"/>
      <c r="B88" s="54"/>
      <c r="C88" s="21">
        <f t="shared" si="12"/>
        <v>1</v>
      </c>
      <c r="D88" s="673"/>
      <c r="E88" s="21">
        <f t="shared" si="13"/>
        <v>1</v>
      </c>
      <c r="F88" s="673"/>
      <c r="G88" s="21">
        <f t="shared" si="14"/>
        <v>1</v>
      </c>
      <c r="H88" s="673"/>
      <c r="I88" s="21">
        <f t="shared" si="15"/>
        <v>1</v>
      </c>
      <c r="J88" s="673"/>
      <c r="K88" s="21">
        <f t="shared" si="16"/>
        <v>1</v>
      </c>
      <c r="L88" s="673"/>
      <c r="M88" s="21">
        <f t="shared" si="17"/>
        <v>1</v>
      </c>
      <c r="N88" s="673"/>
      <c r="O88" s="21">
        <f t="shared" si="18"/>
        <v>1</v>
      </c>
      <c r="P88" s="673"/>
      <c r="Q88" s="21">
        <f t="shared" si="19"/>
        <v>1</v>
      </c>
      <c r="R88" s="669">
        <f t="shared" si="20"/>
        <v>0</v>
      </c>
      <c r="S88" s="319">
        <f t="shared" si="22"/>
        <v>0</v>
      </c>
    </row>
    <row r="89" spans="1:19">
      <c r="A89" s="152"/>
      <c r="B89" s="54"/>
      <c r="C89" s="21">
        <f t="shared" si="12"/>
        <v>1</v>
      </c>
      <c r="D89" s="673"/>
      <c r="E89" s="21">
        <f t="shared" si="13"/>
        <v>1</v>
      </c>
      <c r="F89" s="673"/>
      <c r="G89" s="21">
        <f t="shared" si="14"/>
        <v>1</v>
      </c>
      <c r="H89" s="673"/>
      <c r="I89" s="21">
        <f t="shared" si="15"/>
        <v>1</v>
      </c>
      <c r="J89" s="673"/>
      <c r="K89" s="21">
        <f t="shared" si="16"/>
        <v>1</v>
      </c>
      <c r="L89" s="673"/>
      <c r="M89" s="21">
        <f t="shared" si="17"/>
        <v>1</v>
      </c>
      <c r="N89" s="673"/>
      <c r="O89" s="21">
        <f t="shared" si="18"/>
        <v>1</v>
      </c>
      <c r="P89" s="673"/>
      <c r="Q89" s="21">
        <f t="shared" si="19"/>
        <v>1</v>
      </c>
      <c r="R89" s="669">
        <f t="shared" si="20"/>
        <v>0</v>
      </c>
      <c r="S89" s="319">
        <f t="shared" si="22"/>
        <v>0</v>
      </c>
    </row>
    <row r="90" spans="1:19">
      <c r="A90" s="152"/>
      <c r="B90" s="54"/>
      <c r="C90" s="21">
        <f t="shared" ref="C90:C153" si="23">IF(B90="",1,(LOOKUP(B90,$3:$3,$4:$4)-LOOKUP($B$24,$3:$3,$4:$4)+100)/100)</f>
        <v>1</v>
      </c>
      <c r="D90" s="673"/>
      <c r="E90" s="21">
        <f t="shared" ref="E90:E153" si="24">(SUMIF($5:$5,D90,$6:$6)-SUMIF($5:$5,$D$24,$6:$6)+100)/100</f>
        <v>1</v>
      </c>
      <c r="F90" s="673"/>
      <c r="G90" s="21">
        <f t="shared" ref="G90:G153" si="25">(SUMIF($7:$7,F90,$8:$8)-SUMIF($7:$7,$F$24,$8:$8)+100)/100</f>
        <v>1</v>
      </c>
      <c r="H90" s="673"/>
      <c r="I90" s="21">
        <f t="shared" ref="I90:I153" si="26">(SUMIF($9:$9,H90,$10:$10)-SUMIF($9:$9,$H$24,$10:$10)+100)/100</f>
        <v>1</v>
      </c>
      <c r="J90" s="673"/>
      <c r="K90" s="21">
        <f t="shared" ref="K90:K153" si="27">(SUMIF($11:$11,J90,$12:$12)-SUMIF($11:$11,$J$24,$12:$12)+100)/100</f>
        <v>1</v>
      </c>
      <c r="L90" s="673"/>
      <c r="M90" s="21">
        <f t="shared" ref="M90:M153" si="28">(SUMIF($13:$13,L90,$14:$14)-SUMIF($13:$13,$L$24,$14:$14)+100)/100</f>
        <v>1</v>
      </c>
      <c r="N90" s="673"/>
      <c r="O90" s="21">
        <f t="shared" ref="O90:O153" si="29">(SUMIF($15:$15,N90,$16:$16)-SUMIF($15:$15,$N$24,$16:$16)+100)/100</f>
        <v>1</v>
      </c>
      <c r="P90" s="673"/>
      <c r="Q90" s="21">
        <f t="shared" ref="Q90:Q153" si="30">(SUMIF($17:$17,P90,$18:$18)-SUMIF($17:$17,$P$24,$18:$18)+100)/100</f>
        <v>1</v>
      </c>
      <c r="R90" s="669">
        <f t="shared" ref="R90:R153" si="31">IF(B90="",0,ROUND($R$24*C90*E90*G90*I90*K90*M90*O90*Q90,0))</f>
        <v>0</v>
      </c>
      <c r="S90" s="319">
        <f t="shared" si="22"/>
        <v>0</v>
      </c>
    </row>
    <row r="91" spans="1:19">
      <c r="A91" s="152"/>
      <c r="B91" s="54"/>
      <c r="C91" s="21">
        <f t="shared" si="23"/>
        <v>1</v>
      </c>
      <c r="D91" s="673"/>
      <c r="E91" s="21">
        <f t="shared" si="24"/>
        <v>1</v>
      </c>
      <c r="F91" s="673"/>
      <c r="G91" s="21">
        <f t="shared" si="25"/>
        <v>1</v>
      </c>
      <c r="H91" s="673"/>
      <c r="I91" s="21">
        <f t="shared" si="26"/>
        <v>1</v>
      </c>
      <c r="J91" s="673"/>
      <c r="K91" s="21">
        <f t="shared" si="27"/>
        <v>1</v>
      </c>
      <c r="L91" s="673"/>
      <c r="M91" s="21">
        <f t="shared" si="28"/>
        <v>1</v>
      </c>
      <c r="N91" s="673"/>
      <c r="O91" s="21">
        <f t="shared" si="29"/>
        <v>1</v>
      </c>
      <c r="P91" s="673"/>
      <c r="Q91" s="21">
        <f t="shared" si="30"/>
        <v>1</v>
      </c>
      <c r="R91" s="669">
        <f t="shared" si="31"/>
        <v>0</v>
      </c>
      <c r="S91" s="319">
        <f t="shared" si="22"/>
        <v>0</v>
      </c>
    </row>
    <row r="92" spans="1:19">
      <c r="A92" s="152"/>
      <c r="B92" s="54"/>
      <c r="C92" s="21">
        <f t="shared" si="23"/>
        <v>1</v>
      </c>
      <c r="D92" s="673"/>
      <c r="E92" s="21">
        <f t="shared" si="24"/>
        <v>1</v>
      </c>
      <c r="F92" s="673"/>
      <c r="G92" s="21">
        <f t="shared" si="25"/>
        <v>1</v>
      </c>
      <c r="H92" s="673"/>
      <c r="I92" s="21">
        <f t="shared" si="26"/>
        <v>1</v>
      </c>
      <c r="J92" s="673"/>
      <c r="K92" s="21">
        <f t="shared" si="27"/>
        <v>1</v>
      </c>
      <c r="L92" s="673"/>
      <c r="M92" s="21">
        <f t="shared" si="28"/>
        <v>1</v>
      </c>
      <c r="N92" s="673"/>
      <c r="O92" s="21">
        <f t="shared" si="29"/>
        <v>1</v>
      </c>
      <c r="P92" s="673"/>
      <c r="Q92" s="21">
        <f t="shared" si="30"/>
        <v>1</v>
      </c>
      <c r="R92" s="669">
        <f t="shared" si="31"/>
        <v>0</v>
      </c>
      <c r="S92" s="319">
        <f t="shared" si="22"/>
        <v>0</v>
      </c>
    </row>
    <row r="93" spans="1:19">
      <c r="A93" s="152"/>
      <c r="B93" s="54"/>
      <c r="C93" s="21">
        <f t="shared" si="23"/>
        <v>1</v>
      </c>
      <c r="D93" s="673"/>
      <c r="E93" s="21">
        <f t="shared" si="24"/>
        <v>1</v>
      </c>
      <c r="F93" s="673"/>
      <c r="G93" s="21">
        <f t="shared" si="25"/>
        <v>1</v>
      </c>
      <c r="H93" s="673"/>
      <c r="I93" s="21">
        <f t="shared" si="26"/>
        <v>1</v>
      </c>
      <c r="J93" s="673"/>
      <c r="K93" s="21">
        <f t="shared" si="27"/>
        <v>1</v>
      </c>
      <c r="L93" s="673"/>
      <c r="M93" s="21">
        <f t="shared" si="28"/>
        <v>1</v>
      </c>
      <c r="N93" s="673"/>
      <c r="O93" s="21">
        <f t="shared" si="29"/>
        <v>1</v>
      </c>
      <c r="P93" s="673"/>
      <c r="Q93" s="21">
        <f t="shared" si="30"/>
        <v>1</v>
      </c>
      <c r="R93" s="669">
        <f t="shared" si="31"/>
        <v>0</v>
      </c>
      <c r="S93" s="319">
        <f t="shared" si="22"/>
        <v>0</v>
      </c>
    </row>
    <row r="94" spans="1:19">
      <c r="A94" s="152"/>
      <c r="B94" s="54"/>
      <c r="C94" s="21">
        <f t="shared" si="23"/>
        <v>1</v>
      </c>
      <c r="D94" s="673"/>
      <c r="E94" s="21">
        <f t="shared" si="24"/>
        <v>1</v>
      </c>
      <c r="F94" s="673"/>
      <c r="G94" s="21">
        <f t="shared" si="25"/>
        <v>1</v>
      </c>
      <c r="H94" s="673"/>
      <c r="I94" s="21">
        <f t="shared" si="26"/>
        <v>1</v>
      </c>
      <c r="J94" s="673"/>
      <c r="K94" s="21">
        <f t="shared" si="27"/>
        <v>1</v>
      </c>
      <c r="L94" s="673"/>
      <c r="M94" s="21">
        <f t="shared" si="28"/>
        <v>1</v>
      </c>
      <c r="N94" s="673"/>
      <c r="O94" s="21">
        <f t="shared" si="29"/>
        <v>1</v>
      </c>
      <c r="P94" s="673"/>
      <c r="Q94" s="21">
        <f t="shared" si="30"/>
        <v>1</v>
      </c>
      <c r="R94" s="669">
        <f t="shared" si="31"/>
        <v>0</v>
      </c>
      <c r="S94" s="319">
        <f t="shared" si="22"/>
        <v>0</v>
      </c>
    </row>
    <row r="95" spans="1:19">
      <c r="A95" s="152"/>
      <c r="B95" s="54"/>
      <c r="C95" s="21">
        <f t="shared" si="23"/>
        <v>1</v>
      </c>
      <c r="D95" s="673"/>
      <c r="E95" s="21">
        <f t="shared" si="24"/>
        <v>1</v>
      </c>
      <c r="F95" s="673"/>
      <c r="G95" s="21">
        <f t="shared" si="25"/>
        <v>1</v>
      </c>
      <c r="H95" s="673"/>
      <c r="I95" s="21">
        <f t="shared" si="26"/>
        <v>1</v>
      </c>
      <c r="J95" s="673"/>
      <c r="K95" s="21">
        <f t="shared" si="27"/>
        <v>1</v>
      </c>
      <c r="L95" s="673"/>
      <c r="M95" s="21">
        <f t="shared" si="28"/>
        <v>1</v>
      </c>
      <c r="N95" s="673"/>
      <c r="O95" s="21">
        <f t="shared" si="29"/>
        <v>1</v>
      </c>
      <c r="P95" s="673"/>
      <c r="Q95" s="21">
        <f t="shared" si="30"/>
        <v>1</v>
      </c>
      <c r="R95" s="669">
        <f t="shared" si="31"/>
        <v>0</v>
      </c>
      <c r="S95" s="319">
        <f t="shared" si="22"/>
        <v>0</v>
      </c>
    </row>
    <row r="96" spans="1:19">
      <c r="A96" s="152"/>
      <c r="B96" s="54"/>
      <c r="C96" s="21">
        <f t="shared" si="23"/>
        <v>1</v>
      </c>
      <c r="D96" s="673"/>
      <c r="E96" s="21">
        <f t="shared" si="24"/>
        <v>1</v>
      </c>
      <c r="F96" s="673"/>
      <c r="G96" s="21">
        <f t="shared" si="25"/>
        <v>1</v>
      </c>
      <c r="H96" s="673"/>
      <c r="I96" s="21">
        <f t="shared" si="26"/>
        <v>1</v>
      </c>
      <c r="J96" s="673"/>
      <c r="K96" s="21">
        <f t="shared" si="27"/>
        <v>1</v>
      </c>
      <c r="L96" s="673"/>
      <c r="M96" s="21">
        <f t="shared" si="28"/>
        <v>1</v>
      </c>
      <c r="N96" s="673"/>
      <c r="O96" s="21">
        <f t="shared" si="29"/>
        <v>1</v>
      </c>
      <c r="P96" s="673"/>
      <c r="Q96" s="21">
        <f t="shared" si="30"/>
        <v>1</v>
      </c>
      <c r="R96" s="669">
        <f t="shared" si="31"/>
        <v>0</v>
      </c>
      <c r="S96" s="319">
        <f t="shared" si="22"/>
        <v>0</v>
      </c>
    </row>
    <row r="97" spans="1:19">
      <c r="A97" s="152"/>
      <c r="B97" s="54"/>
      <c r="C97" s="21">
        <f t="shared" si="23"/>
        <v>1</v>
      </c>
      <c r="D97" s="673"/>
      <c r="E97" s="21">
        <f t="shared" si="24"/>
        <v>1</v>
      </c>
      <c r="F97" s="673"/>
      <c r="G97" s="21">
        <f t="shared" si="25"/>
        <v>1</v>
      </c>
      <c r="H97" s="673"/>
      <c r="I97" s="21">
        <f t="shared" si="26"/>
        <v>1</v>
      </c>
      <c r="J97" s="673"/>
      <c r="K97" s="21">
        <f t="shared" si="27"/>
        <v>1</v>
      </c>
      <c r="L97" s="673"/>
      <c r="M97" s="21">
        <f t="shared" si="28"/>
        <v>1</v>
      </c>
      <c r="N97" s="673"/>
      <c r="O97" s="21">
        <f t="shared" si="29"/>
        <v>1</v>
      </c>
      <c r="P97" s="673"/>
      <c r="Q97" s="21">
        <f t="shared" si="30"/>
        <v>1</v>
      </c>
      <c r="R97" s="669">
        <f t="shared" si="31"/>
        <v>0</v>
      </c>
      <c r="S97" s="319">
        <f t="shared" si="22"/>
        <v>0</v>
      </c>
    </row>
    <row r="98" spans="1:19">
      <c r="A98" s="152"/>
      <c r="B98" s="54"/>
      <c r="C98" s="21">
        <f t="shared" si="23"/>
        <v>1</v>
      </c>
      <c r="D98" s="673"/>
      <c r="E98" s="21">
        <f t="shared" si="24"/>
        <v>1</v>
      </c>
      <c r="F98" s="673"/>
      <c r="G98" s="21">
        <f t="shared" si="25"/>
        <v>1</v>
      </c>
      <c r="H98" s="673"/>
      <c r="I98" s="21">
        <f t="shared" si="26"/>
        <v>1</v>
      </c>
      <c r="J98" s="673"/>
      <c r="K98" s="21">
        <f t="shared" si="27"/>
        <v>1</v>
      </c>
      <c r="L98" s="673"/>
      <c r="M98" s="21">
        <f t="shared" si="28"/>
        <v>1</v>
      </c>
      <c r="N98" s="673"/>
      <c r="O98" s="21">
        <f t="shared" si="29"/>
        <v>1</v>
      </c>
      <c r="P98" s="673"/>
      <c r="Q98" s="21">
        <f t="shared" si="30"/>
        <v>1</v>
      </c>
      <c r="R98" s="669">
        <f t="shared" si="31"/>
        <v>0</v>
      </c>
      <c r="S98" s="319">
        <f t="shared" si="22"/>
        <v>0</v>
      </c>
    </row>
    <row r="99" spans="1:19">
      <c r="A99" s="152"/>
      <c r="B99" s="54"/>
      <c r="C99" s="21">
        <f t="shared" si="23"/>
        <v>1</v>
      </c>
      <c r="D99" s="673"/>
      <c r="E99" s="21">
        <f t="shared" si="24"/>
        <v>1</v>
      </c>
      <c r="F99" s="673"/>
      <c r="G99" s="21">
        <f t="shared" si="25"/>
        <v>1</v>
      </c>
      <c r="H99" s="673"/>
      <c r="I99" s="21">
        <f t="shared" si="26"/>
        <v>1</v>
      </c>
      <c r="J99" s="673"/>
      <c r="K99" s="21">
        <f t="shared" si="27"/>
        <v>1</v>
      </c>
      <c r="L99" s="673"/>
      <c r="M99" s="21">
        <f t="shared" si="28"/>
        <v>1</v>
      </c>
      <c r="N99" s="673"/>
      <c r="O99" s="21">
        <f t="shared" si="29"/>
        <v>1</v>
      </c>
      <c r="P99" s="673"/>
      <c r="Q99" s="21">
        <f t="shared" si="30"/>
        <v>1</v>
      </c>
      <c r="R99" s="669">
        <f t="shared" si="31"/>
        <v>0</v>
      </c>
      <c r="S99" s="319">
        <f t="shared" si="22"/>
        <v>0</v>
      </c>
    </row>
    <row r="100" spans="1:19">
      <c r="A100" s="152"/>
      <c r="B100" s="54"/>
      <c r="C100" s="21">
        <f t="shared" si="23"/>
        <v>1</v>
      </c>
      <c r="D100" s="673"/>
      <c r="E100" s="21">
        <f t="shared" si="24"/>
        <v>1</v>
      </c>
      <c r="F100" s="673"/>
      <c r="G100" s="21">
        <f t="shared" si="25"/>
        <v>1</v>
      </c>
      <c r="H100" s="673"/>
      <c r="I100" s="21">
        <f t="shared" si="26"/>
        <v>1</v>
      </c>
      <c r="J100" s="673"/>
      <c r="K100" s="21">
        <f t="shared" si="27"/>
        <v>1</v>
      </c>
      <c r="L100" s="673"/>
      <c r="M100" s="21">
        <f t="shared" si="28"/>
        <v>1</v>
      </c>
      <c r="N100" s="673"/>
      <c r="O100" s="21">
        <f t="shared" si="29"/>
        <v>1</v>
      </c>
      <c r="P100" s="673"/>
      <c r="Q100" s="21">
        <f t="shared" si="30"/>
        <v>1</v>
      </c>
      <c r="R100" s="669">
        <f t="shared" si="31"/>
        <v>0</v>
      </c>
      <c r="S100" s="319">
        <f t="shared" si="22"/>
        <v>0</v>
      </c>
    </row>
    <row r="101" spans="1:19">
      <c r="A101" s="152"/>
      <c r="B101" s="54"/>
      <c r="C101" s="21">
        <f t="shared" si="23"/>
        <v>1</v>
      </c>
      <c r="D101" s="673"/>
      <c r="E101" s="21">
        <f t="shared" si="24"/>
        <v>1</v>
      </c>
      <c r="F101" s="673"/>
      <c r="G101" s="21">
        <f t="shared" si="25"/>
        <v>1</v>
      </c>
      <c r="H101" s="673"/>
      <c r="I101" s="21">
        <f t="shared" si="26"/>
        <v>1</v>
      </c>
      <c r="J101" s="673"/>
      <c r="K101" s="21">
        <f t="shared" si="27"/>
        <v>1</v>
      </c>
      <c r="L101" s="673"/>
      <c r="M101" s="21">
        <f t="shared" si="28"/>
        <v>1</v>
      </c>
      <c r="N101" s="673"/>
      <c r="O101" s="21">
        <f t="shared" si="29"/>
        <v>1</v>
      </c>
      <c r="P101" s="673"/>
      <c r="Q101" s="21">
        <f t="shared" si="30"/>
        <v>1</v>
      </c>
      <c r="R101" s="669">
        <f t="shared" si="31"/>
        <v>0</v>
      </c>
      <c r="S101" s="319">
        <f t="shared" si="22"/>
        <v>0</v>
      </c>
    </row>
    <row r="102" spans="1:19">
      <c r="A102" s="152"/>
      <c r="B102" s="54"/>
      <c r="C102" s="21">
        <f t="shared" si="23"/>
        <v>1</v>
      </c>
      <c r="D102" s="673"/>
      <c r="E102" s="21">
        <f t="shared" si="24"/>
        <v>1</v>
      </c>
      <c r="F102" s="673"/>
      <c r="G102" s="21">
        <f t="shared" si="25"/>
        <v>1</v>
      </c>
      <c r="H102" s="673"/>
      <c r="I102" s="21">
        <f t="shared" si="26"/>
        <v>1</v>
      </c>
      <c r="J102" s="673"/>
      <c r="K102" s="21">
        <f t="shared" si="27"/>
        <v>1</v>
      </c>
      <c r="L102" s="673"/>
      <c r="M102" s="21">
        <f t="shared" si="28"/>
        <v>1</v>
      </c>
      <c r="N102" s="673"/>
      <c r="O102" s="21">
        <f t="shared" si="29"/>
        <v>1</v>
      </c>
      <c r="P102" s="673"/>
      <c r="Q102" s="21">
        <f t="shared" si="30"/>
        <v>1</v>
      </c>
      <c r="R102" s="669">
        <f t="shared" si="31"/>
        <v>0</v>
      </c>
      <c r="S102" s="319">
        <f t="shared" si="22"/>
        <v>0</v>
      </c>
    </row>
    <row r="103" spans="1:19">
      <c r="A103" s="152"/>
      <c r="B103" s="54"/>
      <c r="C103" s="21">
        <f t="shared" si="23"/>
        <v>1</v>
      </c>
      <c r="D103" s="673"/>
      <c r="E103" s="21">
        <f t="shared" si="24"/>
        <v>1</v>
      </c>
      <c r="F103" s="673"/>
      <c r="G103" s="21">
        <f t="shared" si="25"/>
        <v>1</v>
      </c>
      <c r="H103" s="673"/>
      <c r="I103" s="21">
        <f t="shared" si="26"/>
        <v>1</v>
      </c>
      <c r="J103" s="673"/>
      <c r="K103" s="21">
        <f t="shared" si="27"/>
        <v>1</v>
      </c>
      <c r="L103" s="673"/>
      <c r="M103" s="21">
        <f t="shared" si="28"/>
        <v>1</v>
      </c>
      <c r="N103" s="673"/>
      <c r="O103" s="21">
        <f t="shared" si="29"/>
        <v>1</v>
      </c>
      <c r="P103" s="673"/>
      <c r="Q103" s="21">
        <f t="shared" si="30"/>
        <v>1</v>
      </c>
      <c r="R103" s="669">
        <f t="shared" si="31"/>
        <v>0</v>
      </c>
      <c r="S103" s="319">
        <f t="shared" si="22"/>
        <v>0</v>
      </c>
    </row>
    <row r="104" spans="1:19">
      <c r="A104" s="152"/>
      <c r="B104" s="54"/>
      <c r="C104" s="21">
        <f t="shared" si="23"/>
        <v>1</v>
      </c>
      <c r="D104" s="673"/>
      <c r="E104" s="21">
        <f t="shared" si="24"/>
        <v>1</v>
      </c>
      <c r="F104" s="673"/>
      <c r="G104" s="21">
        <f t="shared" si="25"/>
        <v>1</v>
      </c>
      <c r="H104" s="673"/>
      <c r="I104" s="21">
        <f t="shared" si="26"/>
        <v>1</v>
      </c>
      <c r="J104" s="673"/>
      <c r="K104" s="21">
        <f t="shared" si="27"/>
        <v>1</v>
      </c>
      <c r="L104" s="673"/>
      <c r="M104" s="21">
        <f t="shared" si="28"/>
        <v>1</v>
      </c>
      <c r="N104" s="673"/>
      <c r="O104" s="21">
        <f t="shared" si="29"/>
        <v>1</v>
      </c>
      <c r="P104" s="673"/>
      <c r="Q104" s="21">
        <f t="shared" si="30"/>
        <v>1</v>
      </c>
      <c r="R104" s="669">
        <f t="shared" si="31"/>
        <v>0</v>
      </c>
      <c r="S104" s="319">
        <f t="shared" si="22"/>
        <v>0</v>
      </c>
    </row>
    <row r="105" spans="1:19">
      <c r="A105" s="152"/>
      <c r="B105" s="54"/>
      <c r="C105" s="21">
        <f t="shared" si="23"/>
        <v>1</v>
      </c>
      <c r="D105" s="673"/>
      <c r="E105" s="21">
        <f t="shared" si="24"/>
        <v>1</v>
      </c>
      <c r="F105" s="673"/>
      <c r="G105" s="21">
        <f t="shared" si="25"/>
        <v>1</v>
      </c>
      <c r="H105" s="673"/>
      <c r="I105" s="21">
        <f t="shared" si="26"/>
        <v>1</v>
      </c>
      <c r="J105" s="673"/>
      <c r="K105" s="21">
        <f t="shared" si="27"/>
        <v>1</v>
      </c>
      <c r="L105" s="673"/>
      <c r="M105" s="21">
        <f t="shared" si="28"/>
        <v>1</v>
      </c>
      <c r="N105" s="673"/>
      <c r="O105" s="21">
        <f t="shared" si="29"/>
        <v>1</v>
      </c>
      <c r="P105" s="673"/>
      <c r="Q105" s="21">
        <f t="shared" si="30"/>
        <v>1</v>
      </c>
      <c r="R105" s="669">
        <f t="shared" si="31"/>
        <v>0</v>
      </c>
      <c r="S105" s="319">
        <f t="shared" si="22"/>
        <v>0</v>
      </c>
    </row>
    <row r="106" spans="1:19">
      <c r="A106" s="152"/>
      <c r="B106" s="54"/>
      <c r="C106" s="21">
        <f t="shared" si="23"/>
        <v>1</v>
      </c>
      <c r="D106" s="673"/>
      <c r="E106" s="21">
        <f t="shared" si="24"/>
        <v>1</v>
      </c>
      <c r="F106" s="673"/>
      <c r="G106" s="21">
        <f t="shared" si="25"/>
        <v>1</v>
      </c>
      <c r="H106" s="673"/>
      <c r="I106" s="21">
        <f t="shared" si="26"/>
        <v>1</v>
      </c>
      <c r="J106" s="673"/>
      <c r="K106" s="21">
        <f t="shared" si="27"/>
        <v>1</v>
      </c>
      <c r="L106" s="673"/>
      <c r="M106" s="21">
        <f t="shared" si="28"/>
        <v>1</v>
      </c>
      <c r="N106" s="673"/>
      <c r="O106" s="21">
        <f t="shared" si="29"/>
        <v>1</v>
      </c>
      <c r="P106" s="673"/>
      <c r="Q106" s="21">
        <f t="shared" si="30"/>
        <v>1</v>
      </c>
      <c r="R106" s="669">
        <f t="shared" si="31"/>
        <v>0</v>
      </c>
      <c r="S106" s="319">
        <f t="shared" si="22"/>
        <v>0</v>
      </c>
    </row>
    <row r="107" spans="1:19">
      <c r="A107" s="152"/>
      <c r="B107" s="54"/>
      <c r="C107" s="21">
        <f t="shared" si="23"/>
        <v>1</v>
      </c>
      <c r="D107" s="673"/>
      <c r="E107" s="21">
        <f t="shared" si="24"/>
        <v>1</v>
      </c>
      <c r="F107" s="673"/>
      <c r="G107" s="21">
        <f t="shared" si="25"/>
        <v>1</v>
      </c>
      <c r="H107" s="673"/>
      <c r="I107" s="21">
        <f t="shared" si="26"/>
        <v>1</v>
      </c>
      <c r="J107" s="673"/>
      <c r="K107" s="21">
        <f t="shared" si="27"/>
        <v>1</v>
      </c>
      <c r="L107" s="673"/>
      <c r="M107" s="21">
        <f t="shared" si="28"/>
        <v>1</v>
      </c>
      <c r="N107" s="673"/>
      <c r="O107" s="21">
        <f t="shared" si="29"/>
        <v>1</v>
      </c>
      <c r="P107" s="673"/>
      <c r="Q107" s="21">
        <f t="shared" si="30"/>
        <v>1</v>
      </c>
      <c r="R107" s="669">
        <f t="shared" si="31"/>
        <v>0</v>
      </c>
      <c r="S107" s="319">
        <f t="shared" si="22"/>
        <v>0</v>
      </c>
    </row>
    <row r="108" spans="1:19">
      <c r="A108" s="152"/>
      <c r="B108" s="54"/>
      <c r="C108" s="21">
        <f t="shared" si="23"/>
        <v>1</v>
      </c>
      <c r="D108" s="673"/>
      <c r="E108" s="21">
        <f t="shared" si="24"/>
        <v>1</v>
      </c>
      <c r="F108" s="673"/>
      <c r="G108" s="21">
        <f t="shared" si="25"/>
        <v>1</v>
      </c>
      <c r="H108" s="673"/>
      <c r="I108" s="21">
        <f t="shared" si="26"/>
        <v>1</v>
      </c>
      <c r="J108" s="673"/>
      <c r="K108" s="21">
        <f t="shared" si="27"/>
        <v>1</v>
      </c>
      <c r="L108" s="673"/>
      <c r="M108" s="21">
        <f t="shared" si="28"/>
        <v>1</v>
      </c>
      <c r="N108" s="673"/>
      <c r="O108" s="21">
        <f t="shared" si="29"/>
        <v>1</v>
      </c>
      <c r="P108" s="673"/>
      <c r="Q108" s="21">
        <f t="shared" si="30"/>
        <v>1</v>
      </c>
      <c r="R108" s="669">
        <f t="shared" si="31"/>
        <v>0</v>
      </c>
      <c r="S108" s="319">
        <f t="shared" si="22"/>
        <v>0</v>
      </c>
    </row>
    <row r="109" spans="1:19">
      <c r="A109" s="152"/>
      <c r="B109" s="54"/>
      <c r="C109" s="21">
        <f t="shared" si="23"/>
        <v>1</v>
      </c>
      <c r="D109" s="673"/>
      <c r="E109" s="21">
        <f t="shared" si="24"/>
        <v>1</v>
      </c>
      <c r="F109" s="673"/>
      <c r="G109" s="21">
        <f t="shared" si="25"/>
        <v>1</v>
      </c>
      <c r="H109" s="673"/>
      <c r="I109" s="21">
        <f t="shared" si="26"/>
        <v>1</v>
      </c>
      <c r="J109" s="673"/>
      <c r="K109" s="21">
        <f t="shared" si="27"/>
        <v>1</v>
      </c>
      <c r="L109" s="673"/>
      <c r="M109" s="21">
        <f t="shared" si="28"/>
        <v>1</v>
      </c>
      <c r="N109" s="673"/>
      <c r="O109" s="21">
        <f t="shared" si="29"/>
        <v>1</v>
      </c>
      <c r="P109" s="673"/>
      <c r="Q109" s="21">
        <f t="shared" si="30"/>
        <v>1</v>
      </c>
      <c r="R109" s="669">
        <f t="shared" si="31"/>
        <v>0</v>
      </c>
      <c r="S109" s="319">
        <f t="shared" si="22"/>
        <v>0</v>
      </c>
    </row>
    <row r="110" spans="1:19">
      <c r="A110" s="152"/>
      <c r="B110" s="54"/>
      <c r="C110" s="21">
        <f t="shared" si="23"/>
        <v>1</v>
      </c>
      <c r="D110" s="673"/>
      <c r="E110" s="21">
        <f t="shared" si="24"/>
        <v>1</v>
      </c>
      <c r="F110" s="673"/>
      <c r="G110" s="21">
        <f t="shared" si="25"/>
        <v>1</v>
      </c>
      <c r="H110" s="673"/>
      <c r="I110" s="21">
        <f t="shared" si="26"/>
        <v>1</v>
      </c>
      <c r="J110" s="673"/>
      <c r="K110" s="21">
        <f t="shared" si="27"/>
        <v>1</v>
      </c>
      <c r="L110" s="673"/>
      <c r="M110" s="21">
        <f t="shared" si="28"/>
        <v>1</v>
      </c>
      <c r="N110" s="673"/>
      <c r="O110" s="21">
        <f t="shared" si="29"/>
        <v>1</v>
      </c>
      <c r="P110" s="673"/>
      <c r="Q110" s="21">
        <f t="shared" si="30"/>
        <v>1</v>
      </c>
      <c r="R110" s="669">
        <f t="shared" si="31"/>
        <v>0</v>
      </c>
      <c r="S110" s="319">
        <f t="shared" si="22"/>
        <v>0</v>
      </c>
    </row>
    <row r="111" spans="1:19">
      <c r="A111" s="152"/>
      <c r="B111" s="54"/>
      <c r="C111" s="21">
        <f t="shared" si="23"/>
        <v>1</v>
      </c>
      <c r="D111" s="673"/>
      <c r="E111" s="21">
        <f t="shared" si="24"/>
        <v>1</v>
      </c>
      <c r="F111" s="673"/>
      <c r="G111" s="21">
        <f t="shared" si="25"/>
        <v>1</v>
      </c>
      <c r="H111" s="673"/>
      <c r="I111" s="21">
        <f t="shared" si="26"/>
        <v>1</v>
      </c>
      <c r="J111" s="673"/>
      <c r="K111" s="21">
        <f t="shared" si="27"/>
        <v>1</v>
      </c>
      <c r="L111" s="673"/>
      <c r="M111" s="21">
        <f t="shared" si="28"/>
        <v>1</v>
      </c>
      <c r="N111" s="673"/>
      <c r="O111" s="21">
        <f t="shared" si="29"/>
        <v>1</v>
      </c>
      <c r="P111" s="673"/>
      <c r="Q111" s="21">
        <f t="shared" si="30"/>
        <v>1</v>
      </c>
      <c r="R111" s="669">
        <f t="shared" si="31"/>
        <v>0</v>
      </c>
      <c r="S111" s="319">
        <f t="shared" si="22"/>
        <v>0</v>
      </c>
    </row>
    <row r="112" spans="1:19">
      <c r="A112" s="152"/>
      <c r="B112" s="54"/>
      <c r="C112" s="21">
        <f t="shared" si="23"/>
        <v>1</v>
      </c>
      <c r="D112" s="673"/>
      <c r="E112" s="21">
        <f t="shared" si="24"/>
        <v>1</v>
      </c>
      <c r="F112" s="673"/>
      <c r="G112" s="21">
        <f t="shared" si="25"/>
        <v>1</v>
      </c>
      <c r="H112" s="673"/>
      <c r="I112" s="21">
        <f t="shared" si="26"/>
        <v>1</v>
      </c>
      <c r="J112" s="673"/>
      <c r="K112" s="21">
        <f t="shared" si="27"/>
        <v>1</v>
      </c>
      <c r="L112" s="673"/>
      <c r="M112" s="21">
        <f t="shared" si="28"/>
        <v>1</v>
      </c>
      <c r="N112" s="673"/>
      <c r="O112" s="21">
        <f t="shared" si="29"/>
        <v>1</v>
      </c>
      <c r="P112" s="673"/>
      <c r="Q112" s="21">
        <f t="shared" si="30"/>
        <v>1</v>
      </c>
      <c r="R112" s="669">
        <f t="shared" si="31"/>
        <v>0</v>
      </c>
      <c r="S112" s="319">
        <f t="shared" si="22"/>
        <v>0</v>
      </c>
    </row>
    <row r="113" spans="1:19">
      <c r="A113" s="152"/>
      <c r="B113" s="54"/>
      <c r="C113" s="21">
        <f t="shared" si="23"/>
        <v>1</v>
      </c>
      <c r="D113" s="673"/>
      <c r="E113" s="21">
        <f t="shared" si="24"/>
        <v>1</v>
      </c>
      <c r="F113" s="673"/>
      <c r="G113" s="21">
        <f t="shared" si="25"/>
        <v>1</v>
      </c>
      <c r="H113" s="673"/>
      <c r="I113" s="21">
        <f t="shared" si="26"/>
        <v>1</v>
      </c>
      <c r="J113" s="673"/>
      <c r="K113" s="21">
        <f t="shared" si="27"/>
        <v>1</v>
      </c>
      <c r="L113" s="673"/>
      <c r="M113" s="21">
        <f t="shared" si="28"/>
        <v>1</v>
      </c>
      <c r="N113" s="673"/>
      <c r="O113" s="21">
        <f t="shared" si="29"/>
        <v>1</v>
      </c>
      <c r="P113" s="673"/>
      <c r="Q113" s="21">
        <f t="shared" si="30"/>
        <v>1</v>
      </c>
      <c r="R113" s="669">
        <f t="shared" si="31"/>
        <v>0</v>
      </c>
      <c r="S113" s="319">
        <f t="shared" si="22"/>
        <v>0</v>
      </c>
    </row>
    <row r="114" spans="1:19">
      <c r="A114" s="152"/>
      <c r="B114" s="54"/>
      <c r="C114" s="21">
        <f t="shared" si="23"/>
        <v>1</v>
      </c>
      <c r="D114" s="673"/>
      <c r="E114" s="21">
        <f t="shared" si="24"/>
        <v>1</v>
      </c>
      <c r="F114" s="673"/>
      <c r="G114" s="21">
        <f t="shared" si="25"/>
        <v>1</v>
      </c>
      <c r="H114" s="673"/>
      <c r="I114" s="21">
        <f t="shared" si="26"/>
        <v>1</v>
      </c>
      <c r="J114" s="673"/>
      <c r="K114" s="21">
        <f t="shared" si="27"/>
        <v>1</v>
      </c>
      <c r="L114" s="673"/>
      <c r="M114" s="21">
        <f t="shared" si="28"/>
        <v>1</v>
      </c>
      <c r="N114" s="673"/>
      <c r="O114" s="21">
        <f t="shared" si="29"/>
        <v>1</v>
      </c>
      <c r="P114" s="673"/>
      <c r="Q114" s="21">
        <f t="shared" si="30"/>
        <v>1</v>
      </c>
      <c r="R114" s="669">
        <f t="shared" si="31"/>
        <v>0</v>
      </c>
      <c r="S114" s="319">
        <f t="shared" si="22"/>
        <v>0</v>
      </c>
    </row>
    <row r="115" spans="1:19">
      <c r="A115" s="152"/>
      <c r="B115" s="54"/>
      <c r="C115" s="21">
        <f t="shared" si="23"/>
        <v>1</v>
      </c>
      <c r="D115" s="673"/>
      <c r="E115" s="21">
        <f t="shared" si="24"/>
        <v>1</v>
      </c>
      <c r="F115" s="673"/>
      <c r="G115" s="21">
        <f t="shared" si="25"/>
        <v>1</v>
      </c>
      <c r="H115" s="673"/>
      <c r="I115" s="21">
        <f t="shared" si="26"/>
        <v>1</v>
      </c>
      <c r="J115" s="673"/>
      <c r="K115" s="21">
        <f t="shared" si="27"/>
        <v>1</v>
      </c>
      <c r="L115" s="673"/>
      <c r="M115" s="21">
        <f t="shared" si="28"/>
        <v>1</v>
      </c>
      <c r="N115" s="673"/>
      <c r="O115" s="21">
        <f t="shared" si="29"/>
        <v>1</v>
      </c>
      <c r="P115" s="673"/>
      <c r="Q115" s="21">
        <f t="shared" si="30"/>
        <v>1</v>
      </c>
      <c r="R115" s="669">
        <f t="shared" si="31"/>
        <v>0</v>
      </c>
      <c r="S115" s="319">
        <f t="shared" si="22"/>
        <v>0</v>
      </c>
    </row>
    <row r="116" spans="1:19">
      <c r="A116" s="152"/>
      <c r="B116" s="54"/>
      <c r="C116" s="21">
        <f t="shared" si="23"/>
        <v>1</v>
      </c>
      <c r="D116" s="673"/>
      <c r="E116" s="21">
        <f t="shared" si="24"/>
        <v>1</v>
      </c>
      <c r="F116" s="673"/>
      <c r="G116" s="21">
        <f t="shared" si="25"/>
        <v>1</v>
      </c>
      <c r="H116" s="673"/>
      <c r="I116" s="21">
        <f t="shared" si="26"/>
        <v>1</v>
      </c>
      <c r="J116" s="673"/>
      <c r="K116" s="21">
        <f t="shared" si="27"/>
        <v>1</v>
      </c>
      <c r="L116" s="673"/>
      <c r="M116" s="21">
        <f t="shared" si="28"/>
        <v>1</v>
      </c>
      <c r="N116" s="673"/>
      <c r="O116" s="21">
        <f t="shared" si="29"/>
        <v>1</v>
      </c>
      <c r="P116" s="673"/>
      <c r="Q116" s="21">
        <f t="shared" si="30"/>
        <v>1</v>
      </c>
      <c r="R116" s="669">
        <f t="shared" si="31"/>
        <v>0</v>
      </c>
      <c r="S116" s="319">
        <f t="shared" si="22"/>
        <v>0</v>
      </c>
    </row>
    <row r="117" spans="1:19">
      <c r="A117" s="152"/>
      <c r="B117" s="54"/>
      <c r="C117" s="21">
        <f t="shared" si="23"/>
        <v>1</v>
      </c>
      <c r="D117" s="673"/>
      <c r="E117" s="21">
        <f t="shared" si="24"/>
        <v>1</v>
      </c>
      <c r="F117" s="673"/>
      <c r="G117" s="21">
        <f t="shared" si="25"/>
        <v>1</v>
      </c>
      <c r="H117" s="673"/>
      <c r="I117" s="21">
        <f t="shared" si="26"/>
        <v>1</v>
      </c>
      <c r="J117" s="673"/>
      <c r="K117" s="21">
        <f t="shared" si="27"/>
        <v>1</v>
      </c>
      <c r="L117" s="673"/>
      <c r="M117" s="21">
        <f t="shared" si="28"/>
        <v>1</v>
      </c>
      <c r="N117" s="673"/>
      <c r="O117" s="21">
        <f t="shared" si="29"/>
        <v>1</v>
      </c>
      <c r="P117" s="673"/>
      <c r="Q117" s="21">
        <f t="shared" si="30"/>
        <v>1</v>
      </c>
      <c r="R117" s="669">
        <f t="shared" si="31"/>
        <v>0</v>
      </c>
      <c r="S117" s="319">
        <f t="shared" si="22"/>
        <v>0</v>
      </c>
    </row>
    <row r="118" spans="1:19">
      <c r="A118" s="152"/>
      <c r="B118" s="54"/>
      <c r="C118" s="21">
        <f t="shared" si="23"/>
        <v>1</v>
      </c>
      <c r="D118" s="673"/>
      <c r="E118" s="21">
        <f t="shared" si="24"/>
        <v>1</v>
      </c>
      <c r="F118" s="673"/>
      <c r="G118" s="21">
        <f t="shared" si="25"/>
        <v>1</v>
      </c>
      <c r="H118" s="673"/>
      <c r="I118" s="21">
        <f t="shared" si="26"/>
        <v>1</v>
      </c>
      <c r="J118" s="673"/>
      <c r="K118" s="21">
        <f t="shared" si="27"/>
        <v>1</v>
      </c>
      <c r="L118" s="673"/>
      <c r="M118" s="21">
        <f t="shared" si="28"/>
        <v>1</v>
      </c>
      <c r="N118" s="673"/>
      <c r="O118" s="21">
        <f t="shared" si="29"/>
        <v>1</v>
      </c>
      <c r="P118" s="673"/>
      <c r="Q118" s="21">
        <f t="shared" si="30"/>
        <v>1</v>
      </c>
      <c r="R118" s="669">
        <f t="shared" si="31"/>
        <v>0</v>
      </c>
      <c r="S118" s="319">
        <f t="shared" si="22"/>
        <v>0</v>
      </c>
    </row>
    <row r="119" spans="1:19">
      <c r="A119" s="152"/>
      <c r="B119" s="54"/>
      <c r="C119" s="21">
        <f t="shared" si="23"/>
        <v>1</v>
      </c>
      <c r="D119" s="673"/>
      <c r="E119" s="21">
        <f t="shared" si="24"/>
        <v>1</v>
      </c>
      <c r="F119" s="673"/>
      <c r="G119" s="21">
        <f t="shared" si="25"/>
        <v>1</v>
      </c>
      <c r="H119" s="673"/>
      <c r="I119" s="21">
        <f t="shared" si="26"/>
        <v>1</v>
      </c>
      <c r="J119" s="673"/>
      <c r="K119" s="21">
        <f t="shared" si="27"/>
        <v>1</v>
      </c>
      <c r="L119" s="673"/>
      <c r="M119" s="21">
        <f t="shared" si="28"/>
        <v>1</v>
      </c>
      <c r="N119" s="673"/>
      <c r="O119" s="21">
        <f t="shared" si="29"/>
        <v>1</v>
      </c>
      <c r="P119" s="673"/>
      <c r="Q119" s="21">
        <f t="shared" si="30"/>
        <v>1</v>
      </c>
      <c r="R119" s="669">
        <f t="shared" si="31"/>
        <v>0</v>
      </c>
      <c r="S119" s="319">
        <f t="shared" si="22"/>
        <v>0</v>
      </c>
    </row>
    <row r="120" spans="1:19">
      <c r="A120" s="152"/>
      <c r="B120" s="54"/>
      <c r="C120" s="21">
        <f t="shared" si="23"/>
        <v>1</v>
      </c>
      <c r="D120" s="673"/>
      <c r="E120" s="21">
        <f t="shared" si="24"/>
        <v>1</v>
      </c>
      <c r="F120" s="673"/>
      <c r="G120" s="21">
        <f t="shared" si="25"/>
        <v>1</v>
      </c>
      <c r="H120" s="673"/>
      <c r="I120" s="21">
        <f t="shared" si="26"/>
        <v>1</v>
      </c>
      <c r="J120" s="673"/>
      <c r="K120" s="21">
        <f t="shared" si="27"/>
        <v>1</v>
      </c>
      <c r="L120" s="673"/>
      <c r="M120" s="21">
        <f t="shared" si="28"/>
        <v>1</v>
      </c>
      <c r="N120" s="673"/>
      <c r="O120" s="21">
        <f t="shared" si="29"/>
        <v>1</v>
      </c>
      <c r="P120" s="673"/>
      <c r="Q120" s="21">
        <f t="shared" si="30"/>
        <v>1</v>
      </c>
      <c r="R120" s="669">
        <f t="shared" si="31"/>
        <v>0</v>
      </c>
      <c r="S120" s="319">
        <f t="shared" si="22"/>
        <v>0</v>
      </c>
    </row>
    <row r="121" spans="1:19">
      <c r="A121" s="152"/>
      <c r="B121" s="54"/>
      <c r="C121" s="21">
        <f t="shared" si="23"/>
        <v>1</v>
      </c>
      <c r="D121" s="673"/>
      <c r="E121" s="21">
        <f t="shared" si="24"/>
        <v>1</v>
      </c>
      <c r="F121" s="673"/>
      <c r="G121" s="21">
        <f t="shared" si="25"/>
        <v>1</v>
      </c>
      <c r="H121" s="673"/>
      <c r="I121" s="21">
        <f t="shared" si="26"/>
        <v>1</v>
      </c>
      <c r="J121" s="673"/>
      <c r="K121" s="21">
        <f t="shared" si="27"/>
        <v>1</v>
      </c>
      <c r="L121" s="673"/>
      <c r="M121" s="21">
        <f t="shared" si="28"/>
        <v>1</v>
      </c>
      <c r="N121" s="673"/>
      <c r="O121" s="21">
        <f t="shared" si="29"/>
        <v>1</v>
      </c>
      <c r="P121" s="673"/>
      <c r="Q121" s="21">
        <f t="shared" si="30"/>
        <v>1</v>
      </c>
      <c r="R121" s="669">
        <f t="shared" si="31"/>
        <v>0</v>
      </c>
      <c r="S121" s="319">
        <f t="shared" si="22"/>
        <v>0</v>
      </c>
    </row>
    <row r="122" spans="1:19">
      <c r="A122" s="152"/>
      <c r="B122" s="54"/>
      <c r="C122" s="21">
        <f t="shared" si="23"/>
        <v>1</v>
      </c>
      <c r="D122" s="673"/>
      <c r="E122" s="21">
        <f t="shared" si="24"/>
        <v>1</v>
      </c>
      <c r="F122" s="673"/>
      <c r="G122" s="21">
        <f t="shared" si="25"/>
        <v>1</v>
      </c>
      <c r="H122" s="673"/>
      <c r="I122" s="21">
        <f t="shared" si="26"/>
        <v>1</v>
      </c>
      <c r="J122" s="673"/>
      <c r="K122" s="21">
        <f t="shared" si="27"/>
        <v>1</v>
      </c>
      <c r="L122" s="673"/>
      <c r="M122" s="21">
        <f t="shared" si="28"/>
        <v>1</v>
      </c>
      <c r="N122" s="673"/>
      <c r="O122" s="21">
        <f t="shared" si="29"/>
        <v>1</v>
      </c>
      <c r="P122" s="673"/>
      <c r="Q122" s="21">
        <f t="shared" si="30"/>
        <v>1</v>
      </c>
      <c r="R122" s="669">
        <f t="shared" si="31"/>
        <v>0</v>
      </c>
      <c r="S122" s="319">
        <f t="shared" si="22"/>
        <v>0</v>
      </c>
    </row>
    <row r="123" spans="1:19">
      <c r="A123" s="152"/>
      <c r="B123" s="54"/>
      <c r="C123" s="21">
        <f t="shared" si="23"/>
        <v>1</v>
      </c>
      <c r="D123" s="673"/>
      <c r="E123" s="21">
        <f t="shared" si="24"/>
        <v>1</v>
      </c>
      <c r="F123" s="673"/>
      <c r="G123" s="21">
        <f t="shared" si="25"/>
        <v>1</v>
      </c>
      <c r="H123" s="673"/>
      <c r="I123" s="21">
        <f t="shared" si="26"/>
        <v>1</v>
      </c>
      <c r="J123" s="673"/>
      <c r="K123" s="21">
        <f t="shared" si="27"/>
        <v>1</v>
      </c>
      <c r="L123" s="673"/>
      <c r="M123" s="21">
        <f t="shared" si="28"/>
        <v>1</v>
      </c>
      <c r="N123" s="673"/>
      <c r="O123" s="21">
        <f t="shared" si="29"/>
        <v>1</v>
      </c>
      <c r="P123" s="673"/>
      <c r="Q123" s="21">
        <f t="shared" si="30"/>
        <v>1</v>
      </c>
      <c r="R123" s="669">
        <f t="shared" si="31"/>
        <v>0</v>
      </c>
      <c r="S123" s="319">
        <f t="shared" ref="S123:S186" si="32">ROUND(R123*B123/10000,0)</f>
        <v>0</v>
      </c>
    </row>
    <row r="124" spans="1:19">
      <c r="A124" s="152"/>
      <c r="B124" s="54"/>
      <c r="C124" s="21">
        <f t="shared" si="23"/>
        <v>1</v>
      </c>
      <c r="D124" s="673"/>
      <c r="E124" s="21">
        <f t="shared" si="24"/>
        <v>1</v>
      </c>
      <c r="F124" s="673"/>
      <c r="G124" s="21">
        <f t="shared" si="25"/>
        <v>1</v>
      </c>
      <c r="H124" s="673"/>
      <c r="I124" s="21">
        <f t="shared" si="26"/>
        <v>1</v>
      </c>
      <c r="J124" s="673"/>
      <c r="K124" s="21">
        <f t="shared" si="27"/>
        <v>1</v>
      </c>
      <c r="L124" s="673"/>
      <c r="M124" s="21">
        <f t="shared" si="28"/>
        <v>1</v>
      </c>
      <c r="N124" s="673"/>
      <c r="O124" s="21">
        <f t="shared" si="29"/>
        <v>1</v>
      </c>
      <c r="P124" s="673"/>
      <c r="Q124" s="21">
        <f t="shared" si="30"/>
        <v>1</v>
      </c>
      <c r="R124" s="669">
        <f t="shared" si="31"/>
        <v>0</v>
      </c>
      <c r="S124" s="319">
        <f t="shared" si="32"/>
        <v>0</v>
      </c>
    </row>
    <row r="125" spans="1:19">
      <c r="A125" s="152"/>
      <c r="B125" s="54"/>
      <c r="C125" s="21">
        <f t="shared" si="23"/>
        <v>1</v>
      </c>
      <c r="D125" s="673"/>
      <c r="E125" s="21">
        <f t="shared" si="24"/>
        <v>1</v>
      </c>
      <c r="F125" s="673"/>
      <c r="G125" s="21">
        <f t="shared" si="25"/>
        <v>1</v>
      </c>
      <c r="H125" s="673"/>
      <c r="I125" s="21">
        <f t="shared" si="26"/>
        <v>1</v>
      </c>
      <c r="J125" s="673"/>
      <c r="K125" s="21">
        <f t="shared" si="27"/>
        <v>1</v>
      </c>
      <c r="L125" s="673"/>
      <c r="M125" s="21">
        <f t="shared" si="28"/>
        <v>1</v>
      </c>
      <c r="N125" s="673"/>
      <c r="O125" s="21">
        <f t="shared" si="29"/>
        <v>1</v>
      </c>
      <c r="P125" s="673"/>
      <c r="Q125" s="21">
        <f t="shared" si="30"/>
        <v>1</v>
      </c>
      <c r="R125" s="669">
        <f t="shared" si="31"/>
        <v>0</v>
      </c>
      <c r="S125" s="319">
        <f t="shared" si="32"/>
        <v>0</v>
      </c>
    </row>
    <row r="126" spans="1:19">
      <c r="A126" s="152"/>
      <c r="B126" s="54"/>
      <c r="C126" s="21">
        <f t="shared" si="23"/>
        <v>1</v>
      </c>
      <c r="D126" s="673"/>
      <c r="E126" s="21">
        <f t="shared" si="24"/>
        <v>1</v>
      </c>
      <c r="F126" s="673"/>
      <c r="G126" s="21">
        <f t="shared" si="25"/>
        <v>1</v>
      </c>
      <c r="H126" s="673"/>
      <c r="I126" s="21">
        <f t="shared" si="26"/>
        <v>1</v>
      </c>
      <c r="J126" s="673"/>
      <c r="K126" s="21">
        <f t="shared" si="27"/>
        <v>1</v>
      </c>
      <c r="L126" s="673"/>
      <c r="M126" s="21">
        <f t="shared" si="28"/>
        <v>1</v>
      </c>
      <c r="N126" s="673"/>
      <c r="O126" s="21">
        <f t="shared" si="29"/>
        <v>1</v>
      </c>
      <c r="P126" s="673"/>
      <c r="Q126" s="21">
        <f t="shared" si="30"/>
        <v>1</v>
      </c>
      <c r="R126" s="669">
        <f t="shared" si="31"/>
        <v>0</v>
      </c>
      <c r="S126" s="319">
        <f t="shared" si="32"/>
        <v>0</v>
      </c>
    </row>
    <row r="127" spans="1:19">
      <c r="A127" s="152"/>
      <c r="B127" s="54"/>
      <c r="C127" s="21">
        <f t="shared" si="23"/>
        <v>1</v>
      </c>
      <c r="D127" s="673"/>
      <c r="E127" s="21">
        <f t="shared" si="24"/>
        <v>1</v>
      </c>
      <c r="F127" s="673"/>
      <c r="G127" s="21">
        <f t="shared" si="25"/>
        <v>1</v>
      </c>
      <c r="H127" s="673"/>
      <c r="I127" s="21">
        <f t="shared" si="26"/>
        <v>1</v>
      </c>
      <c r="J127" s="673"/>
      <c r="K127" s="21">
        <f t="shared" si="27"/>
        <v>1</v>
      </c>
      <c r="L127" s="673"/>
      <c r="M127" s="21">
        <f t="shared" si="28"/>
        <v>1</v>
      </c>
      <c r="N127" s="673"/>
      <c r="O127" s="21">
        <f t="shared" si="29"/>
        <v>1</v>
      </c>
      <c r="P127" s="673"/>
      <c r="Q127" s="21">
        <f t="shared" si="30"/>
        <v>1</v>
      </c>
      <c r="R127" s="669">
        <f t="shared" si="31"/>
        <v>0</v>
      </c>
      <c r="S127" s="319">
        <f t="shared" si="32"/>
        <v>0</v>
      </c>
    </row>
    <row r="128" spans="1:19">
      <c r="A128" s="152"/>
      <c r="B128" s="54"/>
      <c r="C128" s="21">
        <f t="shared" si="23"/>
        <v>1</v>
      </c>
      <c r="D128" s="673"/>
      <c r="E128" s="21">
        <f t="shared" si="24"/>
        <v>1</v>
      </c>
      <c r="F128" s="673"/>
      <c r="G128" s="21">
        <f t="shared" si="25"/>
        <v>1</v>
      </c>
      <c r="H128" s="673"/>
      <c r="I128" s="21">
        <f t="shared" si="26"/>
        <v>1</v>
      </c>
      <c r="J128" s="673"/>
      <c r="K128" s="21">
        <f t="shared" si="27"/>
        <v>1</v>
      </c>
      <c r="L128" s="673"/>
      <c r="M128" s="21">
        <f t="shared" si="28"/>
        <v>1</v>
      </c>
      <c r="N128" s="673"/>
      <c r="O128" s="21">
        <f t="shared" si="29"/>
        <v>1</v>
      </c>
      <c r="P128" s="673"/>
      <c r="Q128" s="21">
        <f t="shared" si="30"/>
        <v>1</v>
      </c>
      <c r="R128" s="669">
        <f t="shared" si="31"/>
        <v>0</v>
      </c>
      <c r="S128" s="319">
        <f t="shared" si="32"/>
        <v>0</v>
      </c>
    </row>
    <row r="129" spans="1:19">
      <c r="A129" s="152"/>
      <c r="B129" s="54"/>
      <c r="C129" s="21">
        <f t="shared" si="23"/>
        <v>1</v>
      </c>
      <c r="D129" s="673"/>
      <c r="E129" s="21">
        <f t="shared" si="24"/>
        <v>1</v>
      </c>
      <c r="F129" s="673"/>
      <c r="G129" s="21">
        <f t="shared" si="25"/>
        <v>1</v>
      </c>
      <c r="H129" s="673"/>
      <c r="I129" s="21">
        <f t="shared" si="26"/>
        <v>1</v>
      </c>
      <c r="J129" s="673"/>
      <c r="K129" s="21">
        <f t="shared" si="27"/>
        <v>1</v>
      </c>
      <c r="L129" s="673"/>
      <c r="M129" s="21">
        <f t="shared" si="28"/>
        <v>1</v>
      </c>
      <c r="N129" s="673"/>
      <c r="O129" s="21">
        <f t="shared" si="29"/>
        <v>1</v>
      </c>
      <c r="P129" s="673"/>
      <c r="Q129" s="21">
        <f t="shared" si="30"/>
        <v>1</v>
      </c>
      <c r="R129" s="669">
        <f t="shared" si="31"/>
        <v>0</v>
      </c>
      <c r="S129" s="319">
        <f t="shared" si="32"/>
        <v>0</v>
      </c>
    </row>
    <row r="130" spans="1:19">
      <c r="A130" s="152"/>
      <c r="B130" s="54"/>
      <c r="C130" s="21">
        <f t="shared" si="23"/>
        <v>1</v>
      </c>
      <c r="D130" s="673"/>
      <c r="E130" s="21">
        <f t="shared" si="24"/>
        <v>1</v>
      </c>
      <c r="F130" s="673"/>
      <c r="G130" s="21">
        <f t="shared" si="25"/>
        <v>1</v>
      </c>
      <c r="H130" s="673"/>
      <c r="I130" s="21">
        <f t="shared" si="26"/>
        <v>1</v>
      </c>
      <c r="J130" s="673"/>
      <c r="K130" s="21">
        <f t="shared" si="27"/>
        <v>1</v>
      </c>
      <c r="L130" s="673"/>
      <c r="M130" s="21">
        <f t="shared" si="28"/>
        <v>1</v>
      </c>
      <c r="N130" s="673"/>
      <c r="O130" s="21">
        <f t="shared" si="29"/>
        <v>1</v>
      </c>
      <c r="P130" s="673"/>
      <c r="Q130" s="21">
        <f t="shared" si="30"/>
        <v>1</v>
      </c>
      <c r="R130" s="669">
        <f t="shared" si="31"/>
        <v>0</v>
      </c>
      <c r="S130" s="319">
        <f t="shared" si="32"/>
        <v>0</v>
      </c>
    </row>
    <row r="131" spans="1:19">
      <c r="A131" s="152"/>
      <c r="B131" s="54"/>
      <c r="C131" s="21">
        <f t="shared" si="23"/>
        <v>1</v>
      </c>
      <c r="D131" s="673"/>
      <c r="E131" s="21">
        <f t="shared" si="24"/>
        <v>1</v>
      </c>
      <c r="F131" s="673"/>
      <c r="G131" s="21">
        <f t="shared" si="25"/>
        <v>1</v>
      </c>
      <c r="H131" s="673"/>
      <c r="I131" s="21">
        <f t="shared" si="26"/>
        <v>1</v>
      </c>
      <c r="J131" s="673"/>
      <c r="K131" s="21">
        <f t="shared" si="27"/>
        <v>1</v>
      </c>
      <c r="L131" s="673"/>
      <c r="M131" s="21">
        <f t="shared" si="28"/>
        <v>1</v>
      </c>
      <c r="N131" s="673"/>
      <c r="O131" s="21">
        <f t="shared" si="29"/>
        <v>1</v>
      </c>
      <c r="P131" s="673"/>
      <c r="Q131" s="21">
        <f t="shared" si="30"/>
        <v>1</v>
      </c>
      <c r="R131" s="669">
        <f t="shared" si="31"/>
        <v>0</v>
      </c>
      <c r="S131" s="319">
        <f t="shared" si="32"/>
        <v>0</v>
      </c>
    </row>
    <row r="132" spans="1:19">
      <c r="A132" s="152"/>
      <c r="B132" s="54"/>
      <c r="C132" s="21">
        <f t="shared" si="23"/>
        <v>1</v>
      </c>
      <c r="D132" s="673"/>
      <c r="E132" s="21">
        <f t="shared" si="24"/>
        <v>1</v>
      </c>
      <c r="F132" s="673"/>
      <c r="G132" s="21">
        <f t="shared" si="25"/>
        <v>1</v>
      </c>
      <c r="H132" s="673"/>
      <c r="I132" s="21">
        <f t="shared" si="26"/>
        <v>1</v>
      </c>
      <c r="J132" s="673"/>
      <c r="K132" s="21">
        <f t="shared" si="27"/>
        <v>1</v>
      </c>
      <c r="L132" s="673"/>
      <c r="M132" s="21">
        <f t="shared" si="28"/>
        <v>1</v>
      </c>
      <c r="N132" s="673"/>
      <c r="O132" s="21">
        <f t="shared" si="29"/>
        <v>1</v>
      </c>
      <c r="P132" s="673"/>
      <c r="Q132" s="21">
        <f t="shared" si="30"/>
        <v>1</v>
      </c>
      <c r="R132" s="669">
        <f t="shared" si="31"/>
        <v>0</v>
      </c>
      <c r="S132" s="319">
        <f t="shared" si="32"/>
        <v>0</v>
      </c>
    </row>
    <row r="133" spans="1:19">
      <c r="A133" s="152"/>
      <c r="B133" s="54"/>
      <c r="C133" s="21">
        <f t="shared" si="23"/>
        <v>1</v>
      </c>
      <c r="D133" s="673"/>
      <c r="E133" s="21">
        <f t="shared" si="24"/>
        <v>1</v>
      </c>
      <c r="F133" s="673"/>
      <c r="G133" s="21">
        <f t="shared" si="25"/>
        <v>1</v>
      </c>
      <c r="H133" s="673"/>
      <c r="I133" s="21">
        <f t="shared" si="26"/>
        <v>1</v>
      </c>
      <c r="J133" s="673"/>
      <c r="K133" s="21">
        <f t="shared" si="27"/>
        <v>1</v>
      </c>
      <c r="L133" s="673"/>
      <c r="M133" s="21">
        <f t="shared" si="28"/>
        <v>1</v>
      </c>
      <c r="N133" s="673"/>
      <c r="O133" s="21">
        <f t="shared" si="29"/>
        <v>1</v>
      </c>
      <c r="P133" s="673"/>
      <c r="Q133" s="21">
        <f t="shared" si="30"/>
        <v>1</v>
      </c>
      <c r="R133" s="669">
        <f t="shared" si="31"/>
        <v>0</v>
      </c>
      <c r="S133" s="319">
        <f t="shared" si="32"/>
        <v>0</v>
      </c>
    </row>
    <row r="134" spans="1:19">
      <c r="A134" s="152"/>
      <c r="B134" s="54"/>
      <c r="C134" s="21">
        <f t="shared" si="23"/>
        <v>1</v>
      </c>
      <c r="D134" s="673"/>
      <c r="E134" s="21">
        <f t="shared" si="24"/>
        <v>1</v>
      </c>
      <c r="F134" s="673"/>
      <c r="G134" s="21">
        <f t="shared" si="25"/>
        <v>1</v>
      </c>
      <c r="H134" s="673"/>
      <c r="I134" s="21">
        <f t="shared" si="26"/>
        <v>1</v>
      </c>
      <c r="J134" s="673"/>
      <c r="K134" s="21">
        <f t="shared" si="27"/>
        <v>1</v>
      </c>
      <c r="L134" s="673"/>
      <c r="M134" s="21">
        <f t="shared" si="28"/>
        <v>1</v>
      </c>
      <c r="N134" s="673"/>
      <c r="O134" s="21">
        <f t="shared" si="29"/>
        <v>1</v>
      </c>
      <c r="P134" s="673"/>
      <c r="Q134" s="21">
        <f t="shared" si="30"/>
        <v>1</v>
      </c>
      <c r="R134" s="669">
        <f t="shared" si="31"/>
        <v>0</v>
      </c>
      <c r="S134" s="319">
        <f t="shared" si="32"/>
        <v>0</v>
      </c>
    </row>
    <row r="135" spans="1:19">
      <c r="A135" s="152"/>
      <c r="B135" s="54"/>
      <c r="C135" s="21">
        <f t="shared" si="23"/>
        <v>1</v>
      </c>
      <c r="D135" s="673"/>
      <c r="E135" s="21">
        <f t="shared" si="24"/>
        <v>1</v>
      </c>
      <c r="F135" s="673"/>
      <c r="G135" s="21">
        <f t="shared" si="25"/>
        <v>1</v>
      </c>
      <c r="H135" s="673"/>
      <c r="I135" s="21">
        <f t="shared" si="26"/>
        <v>1</v>
      </c>
      <c r="J135" s="673"/>
      <c r="K135" s="21">
        <f t="shared" si="27"/>
        <v>1</v>
      </c>
      <c r="L135" s="673"/>
      <c r="M135" s="21">
        <f t="shared" si="28"/>
        <v>1</v>
      </c>
      <c r="N135" s="673"/>
      <c r="O135" s="21">
        <f t="shared" si="29"/>
        <v>1</v>
      </c>
      <c r="P135" s="673"/>
      <c r="Q135" s="21">
        <f t="shared" si="30"/>
        <v>1</v>
      </c>
      <c r="R135" s="669">
        <f t="shared" si="31"/>
        <v>0</v>
      </c>
      <c r="S135" s="319">
        <f t="shared" si="32"/>
        <v>0</v>
      </c>
    </row>
    <row r="136" spans="1:19">
      <c r="A136" s="152"/>
      <c r="B136" s="54"/>
      <c r="C136" s="21">
        <f t="shared" si="23"/>
        <v>1</v>
      </c>
      <c r="D136" s="673"/>
      <c r="E136" s="21">
        <f t="shared" si="24"/>
        <v>1</v>
      </c>
      <c r="F136" s="673"/>
      <c r="G136" s="21">
        <f t="shared" si="25"/>
        <v>1</v>
      </c>
      <c r="H136" s="673"/>
      <c r="I136" s="21">
        <f t="shared" si="26"/>
        <v>1</v>
      </c>
      <c r="J136" s="673"/>
      <c r="K136" s="21">
        <f t="shared" si="27"/>
        <v>1</v>
      </c>
      <c r="L136" s="673"/>
      <c r="M136" s="21">
        <f t="shared" si="28"/>
        <v>1</v>
      </c>
      <c r="N136" s="673"/>
      <c r="O136" s="21">
        <f t="shared" si="29"/>
        <v>1</v>
      </c>
      <c r="P136" s="673"/>
      <c r="Q136" s="21">
        <f t="shared" si="30"/>
        <v>1</v>
      </c>
      <c r="R136" s="669">
        <f t="shared" si="31"/>
        <v>0</v>
      </c>
      <c r="S136" s="319">
        <f t="shared" si="32"/>
        <v>0</v>
      </c>
    </row>
    <row r="137" spans="1:19">
      <c r="A137" s="152"/>
      <c r="B137" s="54"/>
      <c r="C137" s="21">
        <f t="shared" si="23"/>
        <v>1</v>
      </c>
      <c r="D137" s="673"/>
      <c r="E137" s="21">
        <f t="shared" si="24"/>
        <v>1</v>
      </c>
      <c r="F137" s="673"/>
      <c r="G137" s="21">
        <f t="shared" si="25"/>
        <v>1</v>
      </c>
      <c r="H137" s="673"/>
      <c r="I137" s="21">
        <f t="shared" si="26"/>
        <v>1</v>
      </c>
      <c r="J137" s="673"/>
      <c r="K137" s="21">
        <f t="shared" si="27"/>
        <v>1</v>
      </c>
      <c r="L137" s="673"/>
      <c r="M137" s="21">
        <f t="shared" si="28"/>
        <v>1</v>
      </c>
      <c r="N137" s="673"/>
      <c r="O137" s="21">
        <f t="shared" si="29"/>
        <v>1</v>
      </c>
      <c r="P137" s="673"/>
      <c r="Q137" s="21">
        <f t="shared" si="30"/>
        <v>1</v>
      </c>
      <c r="R137" s="669">
        <f t="shared" si="31"/>
        <v>0</v>
      </c>
      <c r="S137" s="319">
        <f t="shared" si="32"/>
        <v>0</v>
      </c>
    </row>
    <row r="138" spans="1:19">
      <c r="A138" s="152"/>
      <c r="B138" s="54"/>
      <c r="C138" s="21">
        <f t="shared" si="23"/>
        <v>1</v>
      </c>
      <c r="D138" s="673"/>
      <c r="E138" s="21">
        <f t="shared" si="24"/>
        <v>1</v>
      </c>
      <c r="F138" s="673"/>
      <c r="G138" s="21">
        <f t="shared" si="25"/>
        <v>1</v>
      </c>
      <c r="H138" s="673"/>
      <c r="I138" s="21">
        <f t="shared" si="26"/>
        <v>1</v>
      </c>
      <c r="J138" s="673"/>
      <c r="K138" s="21">
        <f t="shared" si="27"/>
        <v>1</v>
      </c>
      <c r="L138" s="673"/>
      <c r="M138" s="21">
        <f t="shared" si="28"/>
        <v>1</v>
      </c>
      <c r="N138" s="673"/>
      <c r="O138" s="21">
        <f t="shared" si="29"/>
        <v>1</v>
      </c>
      <c r="P138" s="673"/>
      <c r="Q138" s="21">
        <f t="shared" si="30"/>
        <v>1</v>
      </c>
      <c r="R138" s="669">
        <f t="shared" si="31"/>
        <v>0</v>
      </c>
      <c r="S138" s="319">
        <f t="shared" si="32"/>
        <v>0</v>
      </c>
    </row>
    <row r="139" spans="1:19">
      <c r="A139" s="152"/>
      <c r="B139" s="54"/>
      <c r="C139" s="21">
        <f t="shared" si="23"/>
        <v>1</v>
      </c>
      <c r="D139" s="673"/>
      <c r="E139" s="21">
        <f t="shared" si="24"/>
        <v>1</v>
      </c>
      <c r="F139" s="673"/>
      <c r="G139" s="21">
        <f t="shared" si="25"/>
        <v>1</v>
      </c>
      <c r="H139" s="673"/>
      <c r="I139" s="21">
        <f t="shared" si="26"/>
        <v>1</v>
      </c>
      <c r="J139" s="673"/>
      <c r="K139" s="21">
        <f t="shared" si="27"/>
        <v>1</v>
      </c>
      <c r="L139" s="673"/>
      <c r="M139" s="21">
        <f t="shared" si="28"/>
        <v>1</v>
      </c>
      <c r="N139" s="673"/>
      <c r="O139" s="21">
        <f t="shared" si="29"/>
        <v>1</v>
      </c>
      <c r="P139" s="673"/>
      <c r="Q139" s="21">
        <f t="shared" si="30"/>
        <v>1</v>
      </c>
      <c r="R139" s="669">
        <f t="shared" si="31"/>
        <v>0</v>
      </c>
      <c r="S139" s="319">
        <f t="shared" si="32"/>
        <v>0</v>
      </c>
    </row>
    <row r="140" spans="1:19">
      <c r="A140" s="152"/>
      <c r="B140" s="54"/>
      <c r="C140" s="21">
        <f t="shared" si="23"/>
        <v>1</v>
      </c>
      <c r="D140" s="673"/>
      <c r="E140" s="21">
        <f t="shared" si="24"/>
        <v>1</v>
      </c>
      <c r="F140" s="673"/>
      <c r="G140" s="21">
        <f t="shared" si="25"/>
        <v>1</v>
      </c>
      <c r="H140" s="673"/>
      <c r="I140" s="21">
        <f t="shared" si="26"/>
        <v>1</v>
      </c>
      <c r="J140" s="673"/>
      <c r="K140" s="21">
        <f t="shared" si="27"/>
        <v>1</v>
      </c>
      <c r="L140" s="673"/>
      <c r="M140" s="21">
        <f t="shared" si="28"/>
        <v>1</v>
      </c>
      <c r="N140" s="673"/>
      <c r="O140" s="21">
        <f t="shared" si="29"/>
        <v>1</v>
      </c>
      <c r="P140" s="673"/>
      <c r="Q140" s="21">
        <f t="shared" si="30"/>
        <v>1</v>
      </c>
      <c r="R140" s="669">
        <f t="shared" si="31"/>
        <v>0</v>
      </c>
      <c r="S140" s="319">
        <f t="shared" si="32"/>
        <v>0</v>
      </c>
    </row>
    <row r="141" spans="1:19">
      <c r="A141" s="152"/>
      <c r="B141" s="54"/>
      <c r="C141" s="21">
        <f t="shared" si="23"/>
        <v>1</v>
      </c>
      <c r="D141" s="673"/>
      <c r="E141" s="21">
        <f t="shared" si="24"/>
        <v>1</v>
      </c>
      <c r="F141" s="673"/>
      <c r="G141" s="21">
        <f t="shared" si="25"/>
        <v>1</v>
      </c>
      <c r="H141" s="673"/>
      <c r="I141" s="21">
        <f t="shared" si="26"/>
        <v>1</v>
      </c>
      <c r="J141" s="673"/>
      <c r="K141" s="21">
        <f t="shared" si="27"/>
        <v>1</v>
      </c>
      <c r="L141" s="673"/>
      <c r="M141" s="21">
        <f t="shared" si="28"/>
        <v>1</v>
      </c>
      <c r="N141" s="673"/>
      <c r="O141" s="21">
        <f t="shared" si="29"/>
        <v>1</v>
      </c>
      <c r="P141" s="673"/>
      <c r="Q141" s="21">
        <f t="shared" si="30"/>
        <v>1</v>
      </c>
      <c r="R141" s="669">
        <f t="shared" si="31"/>
        <v>0</v>
      </c>
      <c r="S141" s="319">
        <f t="shared" si="32"/>
        <v>0</v>
      </c>
    </row>
    <row r="142" spans="1:19">
      <c r="A142" s="152"/>
      <c r="B142" s="54"/>
      <c r="C142" s="21">
        <f t="shared" si="23"/>
        <v>1</v>
      </c>
      <c r="D142" s="673"/>
      <c r="E142" s="21">
        <f t="shared" si="24"/>
        <v>1</v>
      </c>
      <c r="F142" s="673"/>
      <c r="G142" s="21">
        <f t="shared" si="25"/>
        <v>1</v>
      </c>
      <c r="H142" s="673"/>
      <c r="I142" s="21">
        <f t="shared" si="26"/>
        <v>1</v>
      </c>
      <c r="J142" s="673"/>
      <c r="K142" s="21">
        <f t="shared" si="27"/>
        <v>1</v>
      </c>
      <c r="L142" s="673"/>
      <c r="M142" s="21">
        <f t="shared" si="28"/>
        <v>1</v>
      </c>
      <c r="N142" s="673"/>
      <c r="O142" s="21">
        <f t="shared" si="29"/>
        <v>1</v>
      </c>
      <c r="P142" s="673"/>
      <c r="Q142" s="21">
        <f t="shared" si="30"/>
        <v>1</v>
      </c>
      <c r="R142" s="669">
        <f t="shared" si="31"/>
        <v>0</v>
      </c>
      <c r="S142" s="319">
        <f t="shared" si="32"/>
        <v>0</v>
      </c>
    </row>
    <row r="143" spans="1:19">
      <c r="A143" s="152"/>
      <c r="B143" s="54"/>
      <c r="C143" s="21">
        <f t="shared" si="23"/>
        <v>1</v>
      </c>
      <c r="D143" s="673"/>
      <c r="E143" s="21">
        <f t="shared" si="24"/>
        <v>1</v>
      </c>
      <c r="F143" s="673"/>
      <c r="G143" s="21">
        <f t="shared" si="25"/>
        <v>1</v>
      </c>
      <c r="H143" s="673"/>
      <c r="I143" s="21">
        <f t="shared" si="26"/>
        <v>1</v>
      </c>
      <c r="J143" s="673"/>
      <c r="K143" s="21">
        <f t="shared" si="27"/>
        <v>1</v>
      </c>
      <c r="L143" s="673"/>
      <c r="M143" s="21">
        <f t="shared" si="28"/>
        <v>1</v>
      </c>
      <c r="N143" s="673"/>
      <c r="O143" s="21">
        <f t="shared" si="29"/>
        <v>1</v>
      </c>
      <c r="P143" s="673"/>
      <c r="Q143" s="21">
        <f t="shared" si="30"/>
        <v>1</v>
      </c>
      <c r="R143" s="669">
        <f t="shared" si="31"/>
        <v>0</v>
      </c>
      <c r="S143" s="319">
        <f t="shared" si="32"/>
        <v>0</v>
      </c>
    </row>
    <row r="144" spans="1:19">
      <c r="A144" s="152"/>
      <c r="B144" s="54"/>
      <c r="C144" s="21">
        <f t="shared" si="23"/>
        <v>1</v>
      </c>
      <c r="D144" s="673"/>
      <c r="E144" s="21">
        <f t="shared" si="24"/>
        <v>1</v>
      </c>
      <c r="F144" s="673"/>
      <c r="G144" s="21">
        <f t="shared" si="25"/>
        <v>1</v>
      </c>
      <c r="H144" s="673"/>
      <c r="I144" s="21">
        <f t="shared" si="26"/>
        <v>1</v>
      </c>
      <c r="J144" s="673"/>
      <c r="K144" s="21">
        <f t="shared" si="27"/>
        <v>1</v>
      </c>
      <c r="L144" s="673"/>
      <c r="M144" s="21">
        <f t="shared" si="28"/>
        <v>1</v>
      </c>
      <c r="N144" s="673"/>
      <c r="O144" s="21">
        <f t="shared" si="29"/>
        <v>1</v>
      </c>
      <c r="P144" s="673"/>
      <c r="Q144" s="21">
        <f t="shared" si="30"/>
        <v>1</v>
      </c>
      <c r="R144" s="669">
        <f t="shared" si="31"/>
        <v>0</v>
      </c>
      <c r="S144" s="319">
        <f t="shared" si="32"/>
        <v>0</v>
      </c>
    </row>
    <row r="145" spans="1:19">
      <c r="A145" s="152"/>
      <c r="B145" s="54"/>
      <c r="C145" s="21">
        <f t="shared" si="23"/>
        <v>1</v>
      </c>
      <c r="D145" s="673"/>
      <c r="E145" s="21">
        <f t="shared" si="24"/>
        <v>1</v>
      </c>
      <c r="F145" s="673"/>
      <c r="G145" s="21">
        <f t="shared" si="25"/>
        <v>1</v>
      </c>
      <c r="H145" s="673"/>
      <c r="I145" s="21">
        <f t="shared" si="26"/>
        <v>1</v>
      </c>
      <c r="J145" s="673"/>
      <c r="K145" s="21">
        <f t="shared" si="27"/>
        <v>1</v>
      </c>
      <c r="L145" s="673"/>
      <c r="M145" s="21">
        <f t="shared" si="28"/>
        <v>1</v>
      </c>
      <c r="N145" s="673"/>
      <c r="O145" s="21">
        <f t="shared" si="29"/>
        <v>1</v>
      </c>
      <c r="P145" s="673"/>
      <c r="Q145" s="21">
        <f t="shared" si="30"/>
        <v>1</v>
      </c>
      <c r="R145" s="669">
        <f t="shared" si="31"/>
        <v>0</v>
      </c>
      <c r="S145" s="319">
        <f t="shared" si="32"/>
        <v>0</v>
      </c>
    </row>
    <row r="146" spans="1:19">
      <c r="A146" s="152"/>
      <c r="B146" s="54"/>
      <c r="C146" s="21">
        <f t="shared" si="23"/>
        <v>1</v>
      </c>
      <c r="D146" s="673"/>
      <c r="E146" s="21">
        <f t="shared" si="24"/>
        <v>1</v>
      </c>
      <c r="F146" s="673"/>
      <c r="G146" s="21">
        <f t="shared" si="25"/>
        <v>1</v>
      </c>
      <c r="H146" s="673"/>
      <c r="I146" s="21">
        <f t="shared" si="26"/>
        <v>1</v>
      </c>
      <c r="J146" s="673"/>
      <c r="K146" s="21">
        <f t="shared" si="27"/>
        <v>1</v>
      </c>
      <c r="L146" s="673"/>
      <c r="M146" s="21">
        <f t="shared" si="28"/>
        <v>1</v>
      </c>
      <c r="N146" s="673"/>
      <c r="O146" s="21">
        <f t="shared" si="29"/>
        <v>1</v>
      </c>
      <c r="P146" s="673"/>
      <c r="Q146" s="21">
        <f t="shared" si="30"/>
        <v>1</v>
      </c>
      <c r="R146" s="669">
        <f t="shared" si="31"/>
        <v>0</v>
      </c>
      <c r="S146" s="319">
        <f t="shared" si="32"/>
        <v>0</v>
      </c>
    </row>
    <row r="147" spans="1:19">
      <c r="A147" s="152"/>
      <c r="B147" s="54"/>
      <c r="C147" s="21">
        <f t="shared" si="23"/>
        <v>1</v>
      </c>
      <c r="D147" s="673"/>
      <c r="E147" s="21">
        <f t="shared" si="24"/>
        <v>1</v>
      </c>
      <c r="F147" s="673"/>
      <c r="G147" s="21">
        <f t="shared" si="25"/>
        <v>1</v>
      </c>
      <c r="H147" s="673"/>
      <c r="I147" s="21">
        <f t="shared" si="26"/>
        <v>1</v>
      </c>
      <c r="J147" s="673"/>
      <c r="K147" s="21">
        <f t="shared" si="27"/>
        <v>1</v>
      </c>
      <c r="L147" s="673"/>
      <c r="M147" s="21">
        <f t="shared" si="28"/>
        <v>1</v>
      </c>
      <c r="N147" s="673"/>
      <c r="O147" s="21">
        <f t="shared" si="29"/>
        <v>1</v>
      </c>
      <c r="P147" s="673"/>
      <c r="Q147" s="21">
        <f t="shared" si="30"/>
        <v>1</v>
      </c>
      <c r="R147" s="669">
        <f t="shared" si="31"/>
        <v>0</v>
      </c>
      <c r="S147" s="319">
        <f t="shared" si="32"/>
        <v>0</v>
      </c>
    </row>
    <row r="148" spans="1:19">
      <c r="A148" s="152"/>
      <c r="B148" s="54"/>
      <c r="C148" s="21">
        <f t="shared" si="23"/>
        <v>1</v>
      </c>
      <c r="D148" s="673"/>
      <c r="E148" s="21">
        <f t="shared" si="24"/>
        <v>1</v>
      </c>
      <c r="F148" s="673"/>
      <c r="G148" s="21">
        <f t="shared" si="25"/>
        <v>1</v>
      </c>
      <c r="H148" s="673"/>
      <c r="I148" s="21">
        <f t="shared" si="26"/>
        <v>1</v>
      </c>
      <c r="J148" s="673"/>
      <c r="K148" s="21">
        <f t="shared" si="27"/>
        <v>1</v>
      </c>
      <c r="L148" s="673"/>
      <c r="M148" s="21">
        <f t="shared" si="28"/>
        <v>1</v>
      </c>
      <c r="N148" s="673"/>
      <c r="O148" s="21">
        <f t="shared" si="29"/>
        <v>1</v>
      </c>
      <c r="P148" s="673"/>
      <c r="Q148" s="21">
        <f t="shared" si="30"/>
        <v>1</v>
      </c>
      <c r="R148" s="669">
        <f t="shared" si="31"/>
        <v>0</v>
      </c>
      <c r="S148" s="319">
        <f t="shared" si="32"/>
        <v>0</v>
      </c>
    </row>
    <row r="149" spans="1:19">
      <c r="A149" s="152"/>
      <c r="B149" s="54"/>
      <c r="C149" s="21">
        <f t="shared" si="23"/>
        <v>1</v>
      </c>
      <c r="D149" s="673"/>
      <c r="E149" s="21">
        <f t="shared" si="24"/>
        <v>1</v>
      </c>
      <c r="F149" s="673"/>
      <c r="G149" s="21">
        <f t="shared" si="25"/>
        <v>1</v>
      </c>
      <c r="H149" s="673"/>
      <c r="I149" s="21">
        <f t="shared" si="26"/>
        <v>1</v>
      </c>
      <c r="J149" s="673"/>
      <c r="K149" s="21">
        <f t="shared" si="27"/>
        <v>1</v>
      </c>
      <c r="L149" s="673"/>
      <c r="M149" s="21">
        <f t="shared" si="28"/>
        <v>1</v>
      </c>
      <c r="N149" s="673"/>
      <c r="O149" s="21">
        <f t="shared" si="29"/>
        <v>1</v>
      </c>
      <c r="P149" s="673"/>
      <c r="Q149" s="21">
        <f t="shared" si="30"/>
        <v>1</v>
      </c>
      <c r="R149" s="669">
        <f t="shared" si="31"/>
        <v>0</v>
      </c>
      <c r="S149" s="319">
        <f t="shared" si="32"/>
        <v>0</v>
      </c>
    </row>
    <row r="150" spans="1:19">
      <c r="A150" s="152"/>
      <c r="B150" s="54"/>
      <c r="C150" s="21">
        <f t="shared" si="23"/>
        <v>1</v>
      </c>
      <c r="D150" s="673"/>
      <c r="E150" s="21">
        <f t="shared" si="24"/>
        <v>1</v>
      </c>
      <c r="F150" s="673"/>
      <c r="G150" s="21">
        <f t="shared" si="25"/>
        <v>1</v>
      </c>
      <c r="H150" s="673"/>
      <c r="I150" s="21">
        <f t="shared" si="26"/>
        <v>1</v>
      </c>
      <c r="J150" s="673"/>
      <c r="K150" s="21">
        <f t="shared" si="27"/>
        <v>1</v>
      </c>
      <c r="L150" s="673"/>
      <c r="M150" s="21">
        <f t="shared" si="28"/>
        <v>1</v>
      </c>
      <c r="N150" s="673"/>
      <c r="O150" s="21">
        <f t="shared" si="29"/>
        <v>1</v>
      </c>
      <c r="P150" s="673"/>
      <c r="Q150" s="21">
        <f t="shared" si="30"/>
        <v>1</v>
      </c>
      <c r="R150" s="669">
        <f t="shared" si="31"/>
        <v>0</v>
      </c>
      <c r="S150" s="319">
        <f t="shared" si="32"/>
        <v>0</v>
      </c>
    </row>
    <row r="151" spans="1:19">
      <c r="A151" s="152"/>
      <c r="B151" s="54"/>
      <c r="C151" s="21">
        <f t="shared" si="23"/>
        <v>1</v>
      </c>
      <c r="D151" s="673"/>
      <c r="E151" s="21">
        <f t="shared" si="24"/>
        <v>1</v>
      </c>
      <c r="F151" s="673"/>
      <c r="G151" s="21">
        <f t="shared" si="25"/>
        <v>1</v>
      </c>
      <c r="H151" s="673"/>
      <c r="I151" s="21">
        <f t="shared" si="26"/>
        <v>1</v>
      </c>
      <c r="J151" s="673"/>
      <c r="K151" s="21">
        <f t="shared" si="27"/>
        <v>1</v>
      </c>
      <c r="L151" s="673"/>
      <c r="M151" s="21">
        <f t="shared" si="28"/>
        <v>1</v>
      </c>
      <c r="N151" s="673"/>
      <c r="O151" s="21">
        <f t="shared" si="29"/>
        <v>1</v>
      </c>
      <c r="P151" s="673"/>
      <c r="Q151" s="21">
        <f t="shared" si="30"/>
        <v>1</v>
      </c>
      <c r="R151" s="669">
        <f t="shared" si="31"/>
        <v>0</v>
      </c>
      <c r="S151" s="319">
        <f t="shared" si="32"/>
        <v>0</v>
      </c>
    </row>
    <row r="152" spans="1:19">
      <c r="A152" s="152"/>
      <c r="B152" s="54"/>
      <c r="C152" s="21">
        <f t="shared" si="23"/>
        <v>1</v>
      </c>
      <c r="D152" s="673"/>
      <c r="E152" s="21">
        <f t="shared" si="24"/>
        <v>1</v>
      </c>
      <c r="F152" s="673"/>
      <c r="G152" s="21">
        <f t="shared" si="25"/>
        <v>1</v>
      </c>
      <c r="H152" s="673"/>
      <c r="I152" s="21">
        <f t="shared" si="26"/>
        <v>1</v>
      </c>
      <c r="J152" s="673"/>
      <c r="K152" s="21">
        <f t="shared" si="27"/>
        <v>1</v>
      </c>
      <c r="L152" s="673"/>
      <c r="M152" s="21">
        <f t="shared" si="28"/>
        <v>1</v>
      </c>
      <c r="N152" s="673"/>
      <c r="O152" s="21">
        <f t="shared" si="29"/>
        <v>1</v>
      </c>
      <c r="P152" s="673"/>
      <c r="Q152" s="21">
        <f t="shared" si="30"/>
        <v>1</v>
      </c>
      <c r="R152" s="669">
        <f t="shared" si="31"/>
        <v>0</v>
      </c>
      <c r="S152" s="319">
        <f t="shared" si="32"/>
        <v>0</v>
      </c>
    </row>
    <row r="153" spans="1:19">
      <c r="A153" s="152"/>
      <c r="B153" s="54"/>
      <c r="C153" s="21">
        <f t="shared" si="23"/>
        <v>1</v>
      </c>
      <c r="D153" s="673"/>
      <c r="E153" s="21">
        <f t="shared" si="24"/>
        <v>1</v>
      </c>
      <c r="F153" s="673"/>
      <c r="G153" s="21">
        <f t="shared" si="25"/>
        <v>1</v>
      </c>
      <c r="H153" s="673"/>
      <c r="I153" s="21">
        <f t="shared" si="26"/>
        <v>1</v>
      </c>
      <c r="J153" s="673"/>
      <c r="K153" s="21">
        <f t="shared" si="27"/>
        <v>1</v>
      </c>
      <c r="L153" s="673"/>
      <c r="M153" s="21">
        <f t="shared" si="28"/>
        <v>1</v>
      </c>
      <c r="N153" s="673"/>
      <c r="O153" s="21">
        <f t="shared" si="29"/>
        <v>1</v>
      </c>
      <c r="P153" s="673"/>
      <c r="Q153" s="21">
        <f t="shared" si="30"/>
        <v>1</v>
      </c>
      <c r="R153" s="669">
        <f t="shared" si="31"/>
        <v>0</v>
      </c>
      <c r="S153" s="319">
        <f t="shared" si="32"/>
        <v>0</v>
      </c>
    </row>
    <row r="154" spans="1:19">
      <c r="A154" s="152"/>
      <c r="B154" s="54"/>
      <c r="C154" s="21">
        <f t="shared" ref="C154:C217" si="33">IF(B154="",1,(LOOKUP(B154,$3:$3,$4:$4)-LOOKUP($B$24,$3:$3,$4:$4)+100)/100)</f>
        <v>1</v>
      </c>
      <c r="D154" s="673"/>
      <c r="E154" s="21">
        <f t="shared" ref="E154:E217" si="34">(SUMIF($5:$5,D154,$6:$6)-SUMIF($5:$5,$D$24,$6:$6)+100)/100</f>
        <v>1</v>
      </c>
      <c r="F154" s="673"/>
      <c r="G154" s="21">
        <f t="shared" ref="G154:G217" si="35">(SUMIF($7:$7,F154,$8:$8)-SUMIF($7:$7,$F$24,$8:$8)+100)/100</f>
        <v>1</v>
      </c>
      <c r="H154" s="673"/>
      <c r="I154" s="21">
        <f t="shared" ref="I154:I217" si="36">(SUMIF($9:$9,H154,$10:$10)-SUMIF($9:$9,$H$24,$10:$10)+100)/100</f>
        <v>1</v>
      </c>
      <c r="J154" s="673"/>
      <c r="K154" s="21">
        <f t="shared" ref="K154:K217" si="37">(SUMIF($11:$11,J154,$12:$12)-SUMIF($11:$11,$J$24,$12:$12)+100)/100</f>
        <v>1</v>
      </c>
      <c r="L154" s="673"/>
      <c r="M154" s="21">
        <f t="shared" ref="M154:M217" si="38">(SUMIF($13:$13,L154,$14:$14)-SUMIF($13:$13,$L$24,$14:$14)+100)/100</f>
        <v>1</v>
      </c>
      <c r="N154" s="673"/>
      <c r="O154" s="21">
        <f t="shared" ref="O154:O217" si="39">(SUMIF($15:$15,N154,$16:$16)-SUMIF($15:$15,$N$24,$16:$16)+100)/100</f>
        <v>1</v>
      </c>
      <c r="P154" s="673"/>
      <c r="Q154" s="21">
        <f t="shared" ref="Q154:Q217" si="40">(SUMIF($17:$17,P154,$18:$18)-SUMIF($17:$17,$P$24,$18:$18)+100)/100</f>
        <v>1</v>
      </c>
      <c r="R154" s="669">
        <f t="shared" ref="R154:R217" si="41">IF(B154="",0,ROUND($R$24*C154*E154*G154*I154*K154*M154*O154*Q154,0))</f>
        <v>0</v>
      </c>
      <c r="S154" s="319">
        <f t="shared" si="32"/>
        <v>0</v>
      </c>
    </row>
    <row r="155" spans="1:19">
      <c r="A155" s="152"/>
      <c r="B155" s="54"/>
      <c r="C155" s="21">
        <f t="shared" si="33"/>
        <v>1</v>
      </c>
      <c r="D155" s="673"/>
      <c r="E155" s="21">
        <f t="shared" si="34"/>
        <v>1</v>
      </c>
      <c r="F155" s="673"/>
      <c r="G155" s="21">
        <f t="shared" si="35"/>
        <v>1</v>
      </c>
      <c r="H155" s="673"/>
      <c r="I155" s="21">
        <f t="shared" si="36"/>
        <v>1</v>
      </c>
      <c r="J155" s="673"/>
      <c r="K155" s="21">
        <f t="shared" si="37"/>
        <v>1</v>
      </c>
      <c r="L155" s="673"/>
      <c r="M155" s="21">
        <f t="shared" si="38"/>
        <v>1</v>
      </c>
      <c r="N155" s="673"/>
      <c r="O155" s="21">
        <f t="shared" si="39"/>
        <v>1</v>
      </c>
      <c r="P155" s="673"/>
      <c r="Q155" s="21">
        <f t="shared" si="40"/>
        <v>1</v>
      </c>
      <c r="R155" s="669">
        <f t="shared" si="41"/>
        <v>0</v>
      </c>
      <c r="S155" s="319">
        <f t="shared" si="32"/>
        <v>0</v>
      </c>
    </row>
    <row r="156" spans="1:19">
      <c r="A156" s="152"/>
      <c r="B156" s="54"/>
      <c r="C156" s="21">
        <f t="shared" si="33"/>
        <v>1</v>
      </c>
      <c r="D156" s="673"/>
      <c r="E156" s="21">
        <f t="shared" si="34"/>
        <v>1</v>
      </c>
      <c r="F156" s="673"/>
      <c r="G156" s="21">
        <f t="shared" si="35"/>
        <v>1</v>
      </c>
      <c r="H156" s="673"/>
      <c r="I156" s="21">
        <f t="shared" si="36"/>
        <v>1</v>
      </c>
      <c r="J156" s="673"/>
      <c r="K156" s="21">
        <f t="shared" si="37"/>
        <v>1</v>
      </c>
      <c r="L156" s="673"/>
      <c r="M156" s="21">
        <f t="shared" si="38"/>
        <v>1</v>
      </c>
      <c r="N156" s="673"/>
      <c r="O156" s="21">
        <f t="shared" si="39"/>
        <v>1</v>
      </c>
      <c r="P156" s="673"/>
      <c r="Q156" s="21">
        <f t="shared" si="40"/>
        <v>1</v>
      </c>
      <c r="R156" s="669">
        <f t="shared" si="41"/>
        <v>0</v>
      </c>
      <c r="S156" s="319">
        <f t="shared" si="32"/>
        <v>0</v>
      </c>
    </row>
    <row r="157" spans="1:19">
      <c r="A157" s="152"/>
      <c r="B157" s="54"/>
      <c r="C157" s="21">
        <f t="shared" si="33"/>
        <v>1</v>
      </c>
      <c r="D157" s="673"/>
      <c r="E157" s="21">
        <f t="shared" si="34"/>
        <v>1</v>
      </c>
      <c r="F157" s="673"/>
      <c r="G157" s="21">
        <f t="shared" si="35"/>
        <v>1</v>
      </c>
      <c r="H157" s="673"/>
      <c r="I157" s="21">
        <f t="shared" si="36"/>
        <v>1</v>
      </c>
      <c r="J157" s="673"/>
      <c r="K157" s="21">
        <f t="shared" si="37"/>
        <v>1</v>
      </c>
      <c r="L157" s="673"/>
      <c r="M157" s="21">
        <f t="shared" si="38"/>
        <v>1</v>
      </c>
      <c r="N157" s="673"/>
      <c r="O157" s="21">
        <f t="shared" si="39"/>
        <v>1</v>
      </c>
      <c r="P157" s="673"/>
      <c r="Q157" s="21">
        <f t="shared" si="40"/>
        <v>1</v>
      </c>
      <c r="R157" s="669">
        <f t="shared" si="41"/>
        <v>0</v>
      </c>
      <c r="S157" s="319">
        <f t="shared" si="32"/>
        <v>0</v>
      </c>
    </row>
    <row r="158" spans="1:19">
      <c r="A158" s="152"/>
      <c r="B158" s="54"/>
      <c r="C158" s="21">
        <f t="shared" si="33"/>
        <v>1</v>
      </c>
      <c r="D158" s="673"/>
      <c r="E158" s="21">
        <f t="shared" si="34"/>
        <v>1</v>
      </c>
      <c r="F158" s="673"/>
      <c r="G158" s="21">
        <f t="shared" si="35"/>
        <v>1</v>
      </c>
      <c r="H158" s="673"/>
      <c r="I158" s="21">
        <f t="shared" si="36"/>
        <v>1</v>
      </c>
      <c r="J158" s="673"/>
      <c r="K158" s="21">
        <f t="shared" si="37"/>
        <v>1</v>
      </c>
      <c r="L158" s="673"/>
      <c r="M158" s="21">
        <f t="shared" si="38"/>
        <v>1</v>
      </c>
      <c r="N158" s="673"/>
      <c r="O158" s="21">
        <f t="shared" si="39"/>
        <v>1</v>
      </c>
      <c r="P158" s="673"/>
      <c r="Q158" s="21">
        <f t="shared" si="40"/>
        <v>1</v>
      </c>
      <c r="R158" s="669">
        <f t="shared" si="41"/>
        <v>0</v>
      </c>
      <c r="S158" s="319">
        <f t="shared" si="32"/>
        <v>0</v>
      </c>
    </row>
    <row r="159" spans="1:19">
      <c r="A159" s="152"/>
      <c r="B159" s="54"/>
      <c r="C159" s="21">
        <f t="shared" si="33"/>
        <v>1</v>
      </c>
      <c r="D159" s="673"/>
      <c r="E159" s="21">
        <f t="shared" si="34"/>
        <v>1</v>
      </c>
      <c r="F159" s="673"/>
      <c r="G159" s="21">
        <f t="shared" si="35"/>
        <v>1</v>
      </c>
      <c r="H159" s="673"/>
      <c r="I159" s="21">
        <f t="shared" si="36"/>
        <v>1</v>
      </c>
      <c r="J159" s="673"/>
      <c r="K159" s="21">
        <f t="shared" si="37"/>
        <v>1</v>
      </c>
      <c r="L159" s="673"/>
      <c r="M159" s="21">
        <f t="shared" si="38"/>
        <v>1</v>
      </c>
      <c r="N159" s="673"/>
      <c r="O159" s="21">
        <f t="shared" si="39"/>
        <v>1</v>
      </c>
      <c r="P159" s="673"/>
      <c r="Q159" s="21">
        <f t="shared" si="40"/>
        <v>1</v>
      </c>
      <c r="R159" s="669">
        <f t="shared" si="41"/>
        <v>0</v>
      </c>
      <c r="S159" s="319">
        <f t="shared" si="32"/>
        <v>0</v>
      </c>
    </row>
    <row r="160" spans="1:19">
      <c r="A160" s="152"/>
      <c r="B160" s="54"/>
      <c r="C160" s="21">
        <f t="shared" si="33"/>
        <v>1</v>
      </c>
      <c r="D160" s="673"/>
      <c r="E160" s="21">
        <f t="shared" si="34"/>
        <v>1</v>
      </c>
      <c r="F160" s="673"/>
      <c r="G160" s="21">
        <f t="shared" si="35"/>
        <v>1</v>
      </c>
      <c r="H160" s="673"/>
      <c r="I160" s="21">
        <f t="shared" si="36"/>
        <v>1</v>
      </c>
      <c r="J160" s="673"/>
      <c r="K160" s="21">
        <f t="shared" si="37"/>
        <v>1</v>
      </c>
      <c r="L160" s="673"/>
      <c r="M160" s="21">
        <f t="shared" si="38"/>
        <v>1</v>
      </c>
      <c r="N160" s="673"/>
      <c r="O160" s="21">
        <f t="shared" si="39"/>
        <v>1</v>
      </c>
      <c r="P160" s="673"/>
      <c r="Q160" s="21">
        <f t="shared" si="40"/>
        <v>1</v>
      </c>
      <c r="R160" s="669">
        <f t="shared" si="41"/>
        <v>0</v>
      </c>
      <c r="S160" s="319">
        <f t="shared" si="32"/>
        <v>0</v>
      </c>
    </row>
    <row r="161" spans="1:19">
      <c r="A161" s="152"/>
      <c r="B161" s="54"/>
      <c r="C161" s="21">
        <f t="shared" si="33"/>
        <v>1</v>
      </c>
      <c r="D161" s="673"/>
      <c r="E161" s="21">
        <f t="shared" si="34"/>
        <v>1</v>
      </c>
      <c r="F161" s="673"/>
      <c r="G161" s="21">
        <f t="shared" si="35"/>
        <v>1</v>
      </c>
      <c r="H161" s="673"/>
      <c r="I161" s="21">
        <f t="shared" si="36"/>
        <v>1</v>
      </c>
      <c r="J161" s="673"/>
      <c r="K161" s="21">
        <f t="shared" si="37"/>
        <v>1</v>
      </c>
      <c r="L161" s="673"/>
      <c r="M161" s="21">
        <f t="shared" si="38"/>
        <v>1</v>
      </c>
      <c r="N161" s="673"/>
      <c r="O161" s="21">
        <f t="shared" si="39"/>
        <v>1</v>
      </c>
      <c r="P161" s="673"/>
      <c r="Q161" s="21">
        <f t="shared" si="40"/>
        <v>1</v>
      </c>
      <c r="R161" s="669">
        <f t="shared" si="41"/>
        <v>0</v>
      </c>
      <c r="S161" s="319">
        <f t="shared" si="32"/>
        <v>0</v>
      </c>
    </row>
    <row r="162" spans="1:19">
      <c r="A162" s="152"/>
      <c r="B162" s="54"/>
      <c r="C162" s="21">
        <f t="shared" si="33"/>
        <v>1</v>
      </c>
      <c r="D162" s="673"/>
      <c r="E162" s="21">
        <f t="shared" si="34"/>
        <v>1</v>
      </c>
      <c r="F162" s="673"/>
      <c r="G162" s="21">
        <f t="shared" si="35"/>
        <v>1</v>
      </c>
      <c r="H162" s="673"/>
      <c r="I162" s="21">
        <f t="shared" si="36"/>
        <v>1</v>
      </c>
      <c r="J162" s="673"/>
      <c r="K162" s="21">
        <f t="shared" si="37"/>
        <v>1</v>
      </c>
      <c r="L162" s="673"/>
      <c r="M162" s="21">
        <f t="shared" si="38"/>
        <v>1</v>
      </c>
      <c r="N162" s="673"/>
      <c r="O162" s="21">
        <f t="shared" si="39"/>
        <v>1</v>
      </c>
      <c r="P162" s="673"/>
      <c r="Q162" s="21">
        <f t="shared" si="40"/>
        <v>1</v>
      </c>
      <c r="R162" s="669">
        <f t="shared" si="41"/>
        <v>0</v>
      </c>
      <c r="S162" s="319">
        <f t="shared" si="32"/>
        <v>0</v>
      </c>
    </row>
    <row r="163" spans="1:19">
      <c r="A163" s="152"/>
      <c r="B163" s="54"/>
      <c r="C163" s="21">
        <f t="shared" si="33"/>
        <v>1</v>
      </c>
      <c r="D163" s="673"/>
      <c r="E163" s="21">
        <f t="shared" si="34"/>
        <v>1</v>
      </c>
      <c r="F163" s="673"/>
      <c r="G163" s="21">
        <f t="shared" si="35"/>
        <v>1</v>
      </c>
      <c r="H163" s="673"/>
      <c r="I163" s="21">
        <f t="shared" si="36"/>
        <v>1</v>
      </c>
      <c r="J163" s="673"/>
      <c r="K163" s="21">
        <f t="shared" si="37"/>
        <v>1</v>
      </c>
      <c r="L163" s="673"/>
      <c r="M163" s="21">
        <f t="shared" si="38"/>
        <v>1</v>
      </c>
      <c r="N163" s="673"/>
      <c r="O163" s="21">
        <f t="shared" si="39"/>
        <v>1</v>
      </c>
      <c r="P163" s="673"/>
      <c r="Q163" s="21">
        <f t="shared" si="40"/>
        <v>1</v>
      </c>
      <c r="R163" s="669">
        <f t="shared" si="41"/>
        <v>0</v>
      </c>
      <c r="S163" s="319">
        <f t="shared" si="32"/>
        <v>0</v>
      </c>
    </row>
    <row r="164" spans="1:19">
      <c r="A164" s="152"/>
      <c r="B164" s="54"/>
      <c r="C164" s="21">
        <f t="shared" si="33"/>
        <v>1</v>
      </c>
      <c r="D164" s="673"/>
      <c r="E164" s="21">
        <f t="shared" si="34"/>
        <v>1</v>
      </c>
      <c r="F164" s="673"/>
      <c r="G164" s="21">
        <f t="shared" si="35"/>
        <v>1</v>
      </c>
      <c r="H164" s="673"/>
      <c r="I164" s="21">
        <f t="shared" si="36"/>
        <v>1</v>
      </c>
      <c r="J164" s="673"/>
      <c r="K164" s="21">
        <f t="shared" si="37"/>
        <v>1</v>
      </c>
      <c r="L164" s="673"/>
      <c r="M164" s="21">
        <f t="shared" si="38"/>
        <v>1</v>
      </c>
      <c r="N164" s="673"/>
      <c r="O164" s="21">
        <f t="shared" si="39"/>
        <v>1</v>
      </c>
      <c r="P164" s="673"/>
      <c r="Q164" s="21">
        <f t="shared" si="40"/>
        <v>1</v>
      </c>
      <c r="R164" s="669">
        <f t="shared" si="41"/>
        <v>0</v>
      </c>
      <c r="S164" s="319">
        <f t="shared" si="32"/>
        <v>0</v>
      </c>
    </row>
    <row r="165" spans="1:19">
      <c r="A165" s="152"/>
      <c r="B165" s="54"/>
      <c r="C165" s="21">
        <f t="shared" si="33"/>
        <v>1</v>
      </c>
      <c r="D165" s="673"/>
      <c r="E165" s="21">
        <f t="shared" si="34"/>
        <v>1</v>
      </c>
      <c r="F165" s="673"/>
      <c r="G165" s="21">
        <f t="shared" si="35"/>
        <v>1</v>
      </c>
      <c r="H165" s="673"/>
      <c r="I165" s="21">
        <f t="shared" si="36"/>
        <v>1</v>
      </c>
      <c r="J165" s="673"/>
      <c r="K165" s="21">
        <f t="shared" si="37"/>
        <v>1</v>
      </c>
      <c r="L165" s="673"/>
      <c r="M165" s="21">
        <f t="shared" si="38"/>
        <v>1</v>
      </c>
      <c r="N165" s="673"/>
      <c r="O165" s="21">
        <f t="shared" si="39"/>
        <v>1</v>
      </c>
      <c r="P165" s="673"/>
      <c r="Q165" s="21">
        <f t="shared" si="40"/>
        <v>1</v>
      </c>
      <c r="R165" s="669">
        <f t="shared" si="41"/>
        <v>0</v>
      </c>
      <c r="S165" s="319">
        <f t="shared" si="32"/>
        <v>0</v>
      </c>
    </row>
    <row r="166" spans="1:19">
      <c r="A166" s="152"/>
      <c r="B166" s="54"/>
      <c r="C166" s="21">
        <f t="shared" si="33"/>
        <v>1</v>
      </c>
      <c r="D166" s="673"/>
      <c r="E166" s="21">
        <f t="shared" si="34"/>
        <v>1</v>
      </c>
      <c r="F166" s="673"/>
      <c r="G166" s="21">
        <f t="shared" si="35"/>
        <v>1</v>
      </c>
      <c r="H166" s="673"/>
      <c r="I166" s="21">
        <f t="shared" si="36"/>
        <v>1</v>
      </c>
      <c r="J166" s="673"/>
      <c r="K166" s="21">
        <f t="shared" si="37"/>
        <v>1</v>
      </c>
      <c r="L166" s="673"/>
      <c r="M166" s="21">
        <f t="shared" si="38"/>
        <v>1</v>
      </c>
      <c r="N166" s="673"/>
      <c r="O166" s="21">
        <f t="shared" si="39"/>
        <v>1</v>
      </c>
      <c r="P166" s="673"/>
      <c r="Q166" s="21">
        <f t="shared" si="40"/>
        <v>1</v>
      </c>
      <c r="R166" s="669">
        <f t="shared" si="41"/>
        <v>0</v>
      </c>
      <c r="S166" s="319">
        <f t="shared" si="32"/>
        <v>0</v>
      </c>
    </row>
    <row r="167" spans="1:19">
      <c r="A167" s="152"/>
      <c r="B167" s="54"/>
      <c r="C167" s="21">
        <f t="shared" si="33"/>
        <v>1</v>
      </c>
      <c r="D167" s="673"/>
      <c r="E167" s="21">
        <f t="shared" si="34"/>
        <v>1</v>
      </c>
      <c r="F167" s="673"/>
      <c r="G167" s="21">
        <f t="shared" si="35"/>
        <v>1</v>
      </c>
      <c r="H167" s="673"/>
      <c r="I167" s="21">
        <f t="shared" si="36"/>
        <v>1</v>
      </c>
      <c r="J167" s="673"/>
      <c r="K167" s="21">
        <f t="shared" si="37"/>
        <v>1</v>
      </c>
      <c r="L167" s="673"/>
      <c r="M167" s="21">
        <f t="shared" si="38"/>
        <v>1</v>
      </c>
      <c r="N167" s="673"/>
      <c r="O167" s="21">
        <f t="shared" si="39"/>
        <v>1</v>
      </c>
      <c r="P167" s="673"/>
      <c r="Q167" s="21">
        <f t="shared" si="40"/>
        <v>1</v>
      </c>
      <c r="R167" s="669">
        <f t="shared" si="41"/>
        <v>0</v>
      </c>
      <c r="S167" s="319">
        <f t="shared" si="32"/>
        <v>0</v>
      </c>
    </row>
    <row r="168" spans="1:19">
      <c r="A168" s="152"/>
      <c r="B168" s="54"/>
      <c r="C168" s="21">
        <f t="shared" si="33"/>
        <v>1</v>
      </c>
      <c r="D168" s="673"/>
      <c r="E168" s="21">
        <f t="shared" si="34"/>
        <v>1</v>
      </c>
      <c r="F168" s="673"/>
      <c r="G168" s="21">
        <f t="shared" si="35"/>
        <v>1</v>
      </c>
      <c r="H168" s="673"/>
      <c r="I168" s="21">
        <f t="shared" si="36"/>
        <v>1</v>
      </c>
      <c r="J168" s="673"/>
      <c r="K168" s="21">
        <f t="shared" si="37"/>
        <v>1</v>
      </c>
      <c r="L168" s="673"/>
      <c r="M168" s="21">
        <f t="shared" si="38"/>
        <v>1</v>
      </c>
      <c r="N168" s="673"/>
      <c r="O168" s="21">
        <f t="shared" si="39"/>
        <v>1</v>
      </c>
      <c r="P168" s="673"/>
      <c r="Q168" s="21">
        <f t="shared" si="40"/>
        <v>1</v>
      </c>
      <c r="R168" s="669">
        <f t="shared" si="41"/>
        <v>0</v>
      </c>
      <c r="S168" s="319">
        <f t="shared" si="32"/>
        <v>0</v>
      </c>
    </row>
    <row r="169" spans="1:19">
      <c r="A169" s="152"/>
      <c r="B169" s="54"/>
      <c r="C169" s="21">
        <f t="shared" si="33"/>
        <v>1</v>
      </c>
      <c r="D169" s="673"/>
      <c r="E169" s="21">
        <f t="shared" si="34"/>
        <v>1</v>
      </c>
      <c r="F169" s="673"/>
      <c r="G169" s="21">
        <f t="shared" si="35"/>
        <v>1</v>
      </c>
      <c r="H169" s="673"/>
      <c r="I169" s="21">
        <f t="shared" si="36"/>
        <v>1</v>
      </c>
      <c r="J169" s="673"/>
      <c r="K169" s="21">
        <f t="shared" si="37"/>
        <v>1</v>
      </c>
      <c r="L169" s="673"/>
      <c r="M169" s="21">
        <f t="shared" si="38"/>
        <v>1</v>
      </c>
      <c r="N169" s="673"/>
      <c r="O169" s="21">
        <f t="shared" si="39"/>
        <v>1</v>
      </c>
      <c r="P169" s="673"/>
      <c r="Q169" s="21">
        <f t="shared" si="40"/>
        <v>1</v>
      </c>
      <c r="R169" s="669">
        <f t="shared" si="41"/>
        <v>0</v>
      </c>
      <c r="S169" s="319">
        <f t="shared" si="32"/>
        <v>0</v>
      </c>
    </row>
    <row r="170" spans="1:19">
      <c r="A170" s="152"/>
      <c r="B170" s="54"/>
      <c r="C170" s="21">
        <f t="shared" si="33"/>
        <v>1</v>
      </c>
      <c r="D170" s="673"/>
      <c r="E170" s="21">
        <f t="shared" si="34"/>
        <v>1</v>
      </c>
      <c r="F170" s="673"/>
      <c r="G170" s="21">
        <f t="shared" si="35"/>
        <v>1</v>
      </c>
      <c r="H170" s="673"/>
      <c r="I170" s="21">
        <f t="shared" si="36"/>
        <v>1</v>
      </c>
      <c r="J170" s="673"/>
      <c r="K170" s="21">
        <f t="shared" si="37"/>
        <v>1</v>
      </c>
      <c r="L170" s="673"/>
      <c r="M170" s="21">
        <f t="shared" si="38"/>
        <v>1</v>
      </c>
      <c r="N170" s="673"/>
      <c r="O170" s="21">
        <f t="shared" si="39"/>
        <v>1</v>
      </c>
      <c r="P170" s="673"/>
      <c r="Q170" s="21">
        <f t="shared" si="40"/>
        <v>1</v>
      </c>
      <c r="R170" s="669">
        <f t="shared" si="41"/>
        <v>0</v>
      </c>
      <c r="S170" s="319">
        <f t="shared" si="32"/>
        <v>0</v>
      </c>
    </row>
    <row r="171" spans="1:19">
      <c r="A171" s="152"/>
      <c r="B171" s="54"/>
      <c r="C171" s="21">
        <f t="shared" si="33"/>
        <v>1</v>
      </c>
      <c r="D171" s="673"/>
      <c r="E171" s="21">
        <f t="shared" si="34"/>
        <v>1</v>
      </c>
      <c r="F171" s="673"/>
      <c r="G171" s="21">
        <f t="shared" si="35"/>
        <v>1</v>
      </c>
      <c r="H171" s="673"/>
      <c r="I171" s="21">
        <f t="shared" si="36"/>
        <v>1</v>
      </c>
      <c r="J171" s="673"/>
      <c r="K171" s="21">
        <f t="shared" si="37"/>
        <v>1</v>
      </c>
      <c r="L171" s="673"/>
      <c r="M171" s="21">
        <f t="shared" si="38"/>
        <v>1</v>
      </c>
      <c r="N171" s="673"/>
      <c r="O171" s="21">
        <f t="shared" si="39"/>
        <v>1</v>
      </c>
      <c r="P171" s="673"/>
      <c r="Q171" s="21">
        <f t="shared" si="40"/>
        <v>1</v>
      </c>
      <c r="R171" s="669">
        <f t="shared" si="41"/>
        <v>0</v>
      </c>
      <c r="S171" s="319">
        <f t="shared" si="32"/>
        <v>0</v>
      </c>
    </row>
    <row r="172" spans="1:19">
      <c r="A172" s="152"/>
      <c r="B172" s="54"/>
      <c r="C172" s="21">
        <f t="shared" si="33"/>
        <v>1</v>
      </c>
      <c r="D172" s="673"/>
      <c r="E172" s="21">
        <f t="shared" si="34"/>
        <v>1</v>
      </c>
      <c r="F172" s="673"/>
      <c r="G172" s="21">
        <f t="shared" si="35"/>
        <v>1</v>
      </c>
      <c r="H172" s="673"/>
      <c r="I172" s="21">
        <f t="shared" si="36"/>
        <v>1</v>
      </c>
      <c r="J172" s="673"/>
      <c r="K172" s="21">
        <f t="shared" si="37"/>
        <v>1</v>
      </c>
      <c r="L172" s="673"/>
      <c r="M172" s="21">
        <f t="shared" si="38"/>
        <v>1</v>
      </c>
      <c r="N172" s="673"/>
      <c r="O172" s="21">
        <f t="shared" si="39"/>
        <v>1</v>
      </c>
      <c r="P172" s="673"/>
      <c r="Q172" s="21">
        <f t="shared" si="40"/>
        <v>1</v>
      </c>
      <c r="R172" s="669">
        <f t="shared" si="41"/>
        <v>0</v>
      </c>
      <c r="S172" s="319">
        <f t="shared" si="32"/>
        <v>0</v>
      </c>
    </row>
    <row r="173" spans="1:19">
      <c r="A173" s="152"/>
      <c r="B173" s="54"/>
      <c r="C173" s="21">
        <f t="shared" si="33"/>
        <v>1</v>
      </c>
      <c r="D173" s="673"/>
      <c r="E173" s="21">
        <f t="shared" si="34"/>
        <v>1</v>
      </c>
      <c r="F173" s="673"/>
      <c r="G173" s="21">
        <f t="shared" si="35"/>
        <v>1</v>
      </c>
      <c r="H173" s="673"/>
      <c r="I173" s="21">
        <f t="shared" si="36"/>
        <v>1</v>
      </c>
      <c r="J173" s="673"/>
      <c r="K173" s="21">
        <f t="shared" si="37"/>
        <v>1</v>
      </c>
      <c r="L173" s="673"/>
      <c r="M173" s="21">
        <f t="shared" si="38"/>
        <v>1</v>
      </c>
      <c r="N173" s="673"/>
      <c r="O173" s="21">
        <f t="shared" si="39"/>
        <v>1</v>
      </c>
      <c r="P173" s="673"/>
      <c r="Q173" s="21">
        <f t="shared" si="40"/>
        <v>1</v>
      </c>
      <c r="R173" s="669">
        <f t="shared" si="41"/>
        <v>0</v>
      </c>
      <c r="S173" s="319">
        <f t="shared" si="32"/>
        <v>0</v>
      </c>
    </row>
    <row r="174" spans="1:19">
      <c r="A174" s="152"/>
      <c r="B174" s="54"/>
      <c r="C174" s="21">
        <f t="shared" si="33"/>
        <v>1</v>
      </c>
      <c r="D174" s="673"/>
      <c r="E174" s="21">
        <f t="shared" si="34"/>
        <v>1</v>
      </c>
      <c r="F174" s="673"/>
      <c r="G174" s="21">
        <f t="shared" si="35"/>
        <v>1</v>
      </c>
      <c r="H174" s="673"/>
      <c r="I174" s="21">
        <f t="shared" si="36"/>
        <v>1</v>
      </c>
      <c r="J174" s="673"/>
      <c r="K174" s="21">
        <f t="shared" si="37"/>
        <v>1</v>
      </c>
      <c r="L174" s="673"/>
      <c r="M174" s="21">
        <f t="shared" si="38"/>
        <v>1</v>
      </c>
      <c r="N174" s="673"/>
      <c r="O174" s="21">
        <f t="shared" si="39"/>
        <v>1</v>
      </c>
      <c r="P174" s="673"/>
      <c r="Q174" s="21">
        <f t="shared" si="40"/>
        <v>1</v>
      </c>
      <c r="R174" s="669">
        <f t="shared" si="41"/>
        <v>0</v>
      </c>
      <c r="S174" s="319">
        <f t="shared" si="32"/>
        <v>0</v>
      </c>
    </row>
    <row r="175" spans="1:19">
      <c r="A175" s="152"/>
      <c r="B175" s="54"/>
      <c r="C175" s="21">
        <f t="shared" si="33"/>
        <v>1</v>
      </c>
      <c r="D175" s="673"/>
      <c r="E175" s="21">
        <f t="shared" si="34"/>
        <v>1</v>
      </c>
      <c r="F175" s="673"/>
      <c r="G175" s="21">
        <f t="shared" si="35"/>
        <v>1</v>
      </c>
      <c r="H175" s="673"/>
      <c r="I175" s="21">
        <f t="shared" si="36"/>
        <v>1</v>
      </c>
      <c r="J175" s="673"/>
      <c r="K175" s="21">
        <f t="shared" si="37"/>
        <v>1</v>
      </c>
      <c r="L175" s="673"/>
      <c r="M175" s="21">
        <f t="shared" si="38"/>
        <v>1</v>
      </c>
      <c r="N175" s="673"/>
      <c r="O175" s="21">
        <f t="shared" si="39"/>
        <v>1</v>
      </c>
      <c r="P175" s="673"/>
      <c r="Q175" s="21">
        <f t="shared" si="40"/>
        <v>1</v>
      </c>
      <c r="R175" s="669">
        <f t="shared" si="41"/>
        <v>0</v>
      </c>
      <c r="S175" s="319">
        <f t="shared" si="32"/>
        <v>0</v>
      </c>
    </row>
    <row r="176" spans="1:19">
      <c r="A176" s="152"/>
      <c r="B176" s="54"/>
      <c r="C176" s="21">
        <f t="shared" si="33"/>
        <v>1</v>
      </c>
      <c r="D176" s="673"/>
      <c r="E176" s="21">
        <f t="shared" si="34"/>
        <v>1</v>
      </c>
      <c r="F176" s="673"/>
      <c r="G176" s="21">
        <f t="shared" si="35"/>
        <v>1</v>
      </c>
      <c r="H176" s="673"/>
      <c r="I176" s="21">
        <f t="shared" si="36"/>
        <v>1</v>
      </c>
      <c r="J176" s="673"/>
      <c r="K176" s="21">
        <f t="shared" si="37"/>
        <v>1</v>
      </c>
      <c r="L176" s="673"/>
      <c r="M176" s="21">
        <f t="shared" si="38"/>
        <v>1</v>
      </c>
      <c r="N176" s="673"/>
      <c r="O176" s="21">
        <f t="shared" si="39"/>
        <v>1</v>
      </c>
      <c r="P176" s="673"/>
      <c r="Q176" s="21">
        <f t="shared" si="40"/>
        <v>1</v>
      </c>
      <c r="R176" s="669">
        <f t="shared" si="41"/>
        <v>0</v>
      </c>
      <c r="S176" s="319">
        <f t="shared" si="32"/>
        <v>0</v>
      </c>
    </row>
    <row r="177" spans="1:19">
      <c r="A177" s="152"/>
      <c r="B177" s="54"/>
      <c r="C177" s="21">
        <f t="shared" si="33"/>
        <v>1</v>
      </c>
      <c r="D177" s="673"/>
      <c r="E177" s="21">
        <f t="shared" si="34"/>
        <v>1</v>
      </c>
      <c r="F177" s="673"/>
      <c r="G177" s="21">
        <f t="shared" si="35"/>
        <v>1</v>
      </c>
      <c r="H177" s="673"/>
      <c r="I177" s="21">
        <f t="shared" si="36"/>
        <v>1</v>
      </c>
      <c r="J177" s="673"/>
      <c r="K177" s="21">
        <f t="shared" si="37"/>
        <v>1</v>
      </c>
      <c r="L177" s="673"/>
      <c r="M177" s="21">
        <f t="shared" si="38"/>
        <v>1</v>
      </c>
      <c r="N177" s="673"/>
      <c r="O177" s="21">
        <f t="shared" si="39"/>
        <v>1</v>
      </c>
      <c r="P177" s="673"/>
      <c r="Q177" s="21">
        <f t="shared" si="40"/>
        <v>1</v>
      </c>
      <c r="R177" s="669">
        <f t="shared" si="41"/>
        <v>0</v>
      </c>
      <c r="S177" s="319">
        <f t="shared" si="32"/>
        <v>0</v>
      </c>
    </row>
    <row r="178" spans="1:19">
      <c r="A178" s="152"/>
      <c r="B178" s="54"/>
      <c r="C178" s="21">
        <f t="shared" si="33"/>
        <v>1</v>
      </c>
      <c r="D178" s="673"/>
      <c r="E178" s="21">
        <f t="shared" si="34"/>
        <v>1</v>
      </c>
      <c r="F178" s="673"/>
      <c r="G178" s="21">
        <f t="shared" si="35"/>
        <v>1</v>
      </c>
      <c r="H178" s="673"/>
      <c r="I178" s="21">
        <f t="shared" si="36"/>
        <v>1</v>
      </c>
      <c r="J178" s="673"/>
      <c r="K178" s="21">
        <f t="shared" si="37"/>
        <v>1</v>
      </c>
      <c r="L178" s="673"/>
      <c r="M178" s="21">
        <f t="shared" si="38"/>
        <v>1</v>
      </c>
      <c r="N178" s="673"/>
      <c r="O178" s="21">
        <f t="shared" si="39"/>
        <v>1</v>
      </c>
      <c r="P178" s="673"/>
      <c r="Q178" s="21">
        <f t="shared" si="40"/>
        <v>1</v>
      </c>
      <c r="R178" s="669">
        <f t="shared" si="41"/>
        <v>0</v>
      </c>
      <c r="S178" s="319">
        <f t="shared" si="32"/>
        <v>0</v>
      </c>
    </row>
    <row r="179" spans="1:19">
      <c r="A179" s="152"/>
      <c r="B179" s="54"/>
      <c r="C179" s="21">
        <f t="shared" si="33"/>
        <v>1</v>
      </c>
      <c r="D179" s="673"/>
      <c r="E179" s="21">
        <f t="shared" si="34"/>
        <v>1</v>
      </c>
      <c r="F179" s="673"/>
      <c r="G179" s="21">
        <f t="shared" si="35"/>
        <v>1</v>
      </c>
      <c r="H179" s="673"/>
      <c r="I179" s="21">
        <f t="shared" si="36"/>
        <v>1</v>
      </c>
      <c r="J179" s="673"/>
      <c r="K179" s="21">
        <f t="shared" si="37"/>
        <v>1</v>
      </c>
      <c r="L179" s="673"/>
      <c r="M179" s="21">
        <f t="shared" si="38"/>
        <v>1</v>
      </c>
      <c r="N179" s="673"/>
      <c r="O179" s="21">
        <f t="shared" si="39"/>
        <v>1</v>
      </c>
      <c r="P179" s="673"/>
      <c r="Q179" s="21">
        <f t="shared" si="40"/>
        <v>1</v>
      </c>
      <c r="R179" s="669">
        <f t="shared" si="41"/>
        <v>0</v>
      </c>
      <c r="S179" s="319">
        <f t="shared" si="32"/>
        <v>0</v>
      </c>
    </row>
    <row r="180" spans="1:19">
      <c r="A180" s="152"/>
      <c r="B180" s="54"/>
      <c r="C180" s="21">
        <f t="shared" si="33"/>
        <v>1</v>
      </c>
      <c r="D180" s="673"/>
      <c r="E180" s="21">
        <f t="shared" si="34"/>
        <v>1</v>
      </c>
      <c r="F180" s="673"/>
      <c r="G180" s="21">
        <f t="shared" si="35"/>
        <v>1</v>
      </c>
      <c r="H180" s="673"/>
      <c r="I180" s="21">
        <f t="shared" si="36"/>
        <v>1</v>
      </c>
      <c r="J180" s="673"/>
      <c r="K180" s="21">
        <f t="shared" si="37"/>
        <v>1</v>
      </c>
      <c r="L180" s="673"/>
      <c r="M180" s="21">
        <f t="shared" si="38"/>
        <v>1</v>
      </c>
      <c r="N180" s="673"/>
      <c r="O180" s="21">
        <f t="shared" si="39"/>
        <v>1</v>
      </c>
      <c r="P180" s="673"/>
      <c r="Q180" s="21">
        <f t="shared" si="40"/>
        <v>1</v>
      </c>
      <c r="R180" s="669">
        <f t="shared" si="41"/>
        <v>0</v>
      </c>
      <c r="S180" s="319">
        <f t="shared" si="32"/>
        <v>0</v>
      </c>
    </row>
    <row r="181" spans="1:19">
      <c r="A181" s="152"/>
      <c r="B181" s="54"/>
      <c r="C181" s="21">
        <f t="shared" si="33"/>
        <v>1</v>
      </c>
      <c r="D181" s="673"/>
      <c r="E181" s="21">
        <f t="shared" si="34"/>
        <v>1</v>
      </c>
      <c r="F181" s="673"/>
      <c r="G181" s="21">
        <f t="shared" si="35"/>
        <v>1</v>
      </c>
      <c r="H181" s="673"/>
      <c r="I181" s="21">
        <f t="shared" si="36"/>
        <v>1</v>
      </c>
      <c r="J181" s="673"/>
      <c r="K181" s="21">
        <f t="shared" si="37"/>
        <v>1</v>
      </c>
      <c r="L181" s="673"/>
      <c r="M181" s="21">
        <f t="shared" si="38"/>
        <v>1</v>
      </c>
      <c r="N181" s="673"/>
      <c r="O181" s="21">
        <f t="shared" si="39"/>
        <v>1</v>
      </c>
      <c r="P181" s="673"/>
      <c r="Q181" s="21">
        <f t="shared" si="40"/>
        <v>1</v>
      </c>
      <c r="R181" s="669">
        <f t="shared" si="41"/>
        <v>0</v>
      </c>
      <c r="S181" s="319">
        <f t="shared" si="32"/>
        <v>0</v>
      </c>
    </row>
    <row r="182" spans="1:19">
      <c r="A182" s="152"/>
      <c r="B182" s="54"/>
      <c r="C182" s="21">
        <f t="shared" si="33"/>
        <v>1</v>
      </c>
      <c r="D182" s="673"/>
      <c r="E182" s="21">
        <f t="shared" si="34"/>
        <v>1</v>
      </c>
      <c r="F182" s="673"/>
      <c r="G182" s="21">
        <f t="shared" si="35"/>
        <v>1</v>
      </c>
      <c r="H182" s="673"/>
      <c r="I182" s="21">
        <f t="shared" si="36"/>
        <v>1</v>
      </c>
      <c r="J182" s="673"/>
      <c r="K182" s="21">
        <f t="shared" si="37"/>
        <v>1</v>
      </c>
      <c r="L182" s="673"/>
      <c r="M182" s="21">
        <f t="shared" si="38"/>
        <v>1</v>
      </c>
      <c r="N182" s="673"/>
      <c r="O182" s="21">
        <f t="shared" si="39"/>
        <v>1</v>
      </c>
      <c r="P182" s="673"/>
      <c r="Q182" s="21">
        <f t="shared" si="40"/>
        <v>1</v>
      </c>
      <c r="R182" s="669">
        <f t="shared" si="41"/>
        <v>0</v>
      </c>
      <c r="S182" s="319">
        <f t="shared" si="32"/>
        <v>0</v>
      </c>
    </row>
    <row r="183" spans="1:19">
      <c r="A183" s="152"/>
      <c r="B183" s="54"/>
      <c r="C183" s="21">
        <f t="shared" si="33"/>
        <v>1</v>
      </c>
      <c r="D183" s="673"/>
      <c r="E183" s="21">
        <f t="shared" si="34"/>
        <v>1</v>
      </c>
      <c r="F183" s="673"/>
      <c r="G183" s="21">
        <f t="shared" si="35"/>
        <v>1</v>
      </c>
      <c r="H183" s="673"/>
      <c r="I183" s="21">
        <f t="shared" si="36"/>
        <v>1</v>
      </c>
      <c r="J183" s="673"/>
      <c r="K183" s="21">
        <f t="shared" si="37"/>
        <v>1</v>
      </c>
      <c r="L183" s="673"/>
      <c r="M183" s="21">
        <f t="shared" si="38"/>
        <v>1</v>
      </c>
      <c r="N183" s="673"/>
      <c r="O183" s="21">
        <f t="shared" si="39"/>
        <v>1</v>
      </c>
      <c r="P183" s="673"/>
      <c r="Q183" s="21">
        <f t="shared" si="40"/>
        <v>1</v>
      </c>
      <c r="R183" s="669">
        <f t="shared" si="41"/>
        <v>0</v>
      </c>
      <c r="S183" s="319">
        <f t="shared" si="32"/>
        <v>0</v>
      </c>
    </row>
    <row r="184" spans="1:19">
      <c r="A184" s="152"/>
      <c r="B184" s="54"/>
      <c r="C184" s="21">
        <f t="shared" si="33"/>
        <v>1</v>
      </c>
      <c r="D184" s="673"/>
      <c r="E184" s="21">
        <f t="shared" si="34"/>
        <v>1</v>
      </c>
      <c r="F184" s="673"/>
      <c r="G184" s="21">
        <f t="shared" si="35"/>
        <v>1</v>
      </c>
      <c r="H184" s="673"/>
      <c r="I184" s="21">
        <f t="shared" si="36"/>
        <v>1</v>
      </c>
      <c r="J184" s="673"/>
      <c r="K184" s="21">
        <f t="shared" si="37"/>
        <v>1</v>
      </c>
      <c r="L184" s="673"/>
      <c r="M184" s="21">
        <f t="shared" si="38"/>
        <v>1</v>
      </c>
      <c r="N184" s="673"/>
      <c r="O184" s="21">
        <f t="shared" si="39"/>
        <v>1</v>
      </c>
      <c r="P184" s="673"/>
      <c r="Q184" s="21">
        <f t="shared" si="40"/>
        <v>1</v>
      </c>
      <c r="R184" s="669">
        <f t="shared" si="41"/>
        <v>0</v>
      </c>
      <c r="S184" s="319">
        <f t="shared" si="32"/>
        <v>0</v>
      </c>
    </row>
    <row r="185" spans="1:19">
      <c r="A185" s="152"/>
      <c r="B185" s="54"/>
      <c r="C185" s="21">
        <f t="shared" si="33"/>
        <v>1</v>
      </c>
      <c r="D185" s="673"/>
      <c r="E185" s="21">
        <f t="shared" si="34"/>
        <v>1</v>
      </c>
      <c r="F185" s="673"/>
      <c r="G185" s="21">
        <f t="shared" si="35"/>
        <v>1</v>
      </c>
      <c r="H185" s="673"/>
      <c r="I185" s="21">
        <f t="shared" si="36"/>
        <v>1</v>
      </c>
      <c r="J185" s="673"/>
      <c r="K185" s="21">
        <f t="shared" si="37"/>
        <v>1</v>
      </c>
      <c r="L185" s="673"/>
      <c r="M185" s="21">
        <f t="shared" si="38"/>
        <v>1</v>
      </c>
      <c r="N185" s="673"/>
      <c r="O185" s="21">
        <f t="shared" si="39"/>
        <v>1</v>
      </c>
      <c r="P185" s="673"/>
      <c r="Q185" s="21">
        <f t="shared" si="40"/>
        <v>1</v>
      </c>
      <c r="R185" s="669">
        <f t="shared" si="41"/>
        <v>0</v>
      </c>
      <c r="S185" s="319">
        <f t="shared" si="32"/>
        <v>0</v>
      </c>
    </row>
    <row r="186" spans="1:19">
      <c r="A186" s="152"/>
      <c r="B186" s="54"/>
      <c r="C186" s="21">
        <f t="shared" si="33"/>
        <v>1</v>
      </c>
      <c r="D186" s="673"/>
      <c r="E186" s="21">
        <f t="shared" si="34"/>
        <v>1</v>
      </c>
      <c r="F186" s="673"/>
      <c r="G186" s="21">
        <f t="shared" si="35"/>
        <v>1</v>
      </c>
      <c r="H186" s="673"/>
      <c r="I186" s="21">
        <f t="shared" si="36"/>
        <v>1</v>
      </c>
      <c r="J186" s="673"/>
      <c r="K186" s="21">
        <f t="shared" si="37"/>
        <v>1</v>
      </c>
      <c r="L186" s="673"/>
      <c r="M186" s="21">
        <f t="shared" si="38"/>
        <v>1</v>
      </c>
      <c r="N186" s="673"/>
      <c r="O186" s="21">
        <f t="shared" si="39"/>
        <v>1</v>
      </c>
      <c r="P186" s="673"/>
      <c r="Q186" s="21">
        <f t="shared" si="40"/>
        <v>1</v>
      </c>
      <c r="R186" s="669">
        <f t="shared" si="41"/>
        <v>0</v>
      </c>
      <c r="S186" s="319">
        <f t="shared" si="32"/>
        <v>0</v>
      </c>
    </row>
    <row r="187" spans="1:19">
      <c r="A187" s="152"/>
      <c r="B187" s="54"/>
      <c r="C187" s="21">
        <f t="shared" si="33"/>
        <v>1</v>
      </c>
      <c r="D187" s="673"/>
      <c r="E187" s="21">
        <f t="shared" si="34"/>
        <v>1</v>
      </c>
      <c r="F187" s="673"/>
      <c r="G187" s="21">
        <f t="shared" si="35"/>
        <v>1</v>
      </c>
      <c r="H187" s="673"/>
      <c r="I187" s="21">
        <f t="shared" si="36"/>
        <v>1</v>
      </c>
      <c r="J187" s="673"/>
      <c r="K187" s="21">
        <f t="shared" si="37"/>
        <v>1</v>
      </c>
      <c r="L187" s="673"/>
      <c r="M187" s="21">
        <f t="shared" si="38"/>
        <v>1</v>
      </c>
      <c r="N187" s="673"/>
      <c r="O187" s="21">
        <f t="shared" si="39"/>
        <v>1</v>
      </c>
      <c r="P187" s="673"/>
      <c r="Q187" s="21">
        <f t="shared" si="40"/>
        <v>1</v>
      </c>
      <c r="R187" s="669">
        <f t="shared" si="41"/>
        <v>0</v>
      </c>
      <c r="S187" s="319">
        <f t="shared" ref="S187:S222" si="42">ROUND(R187*B187/10000,0)</f>
        <v>0</v>
      </c>
    </row>
    <row r="188" spans="1:19">
      <c r="A188" s="152"/>
      <c r="B188" s="54"/>
      <c r="C188" s="21">
        <f t="shared" si="33"/>
        <v>1</v>
      </c>
      <c r="D188" s="673"/>
      <c r="E188" s="21">
        <f t="shared" si="34"/>
        <v>1</v>
      </c>
      <c r="F188" s="673"/>
      <c r="G188" s="21">
        <f t="shared" si="35"/>
        <v>1</v>
      </c>
      <c r="H188" s="673"/>
      <c r="I188" s="21">
        <f t="shared" si="36"/>
        <v>1</v>
      </c>
      <c r="J188" s="673"/>
      <c r="K188" s="21">
        <f t="shared" si="37"/>
        <v>1</v>
      </c>
      <c r="L188" s="673"/>
      <c r="M188" s="21">
        <f t="shared" si="38"/>
        <v>1</v>
      </c>
      <c r="N188" s="673"/>
      <c r="O188" s="21">
        <f t="shared" si="39"/>
        <v>1</v>
      </c>
      <c r="P188" s="673"/>
      <c r="Q188" s="21">
        <f t="shared" si="40"/>
        <v>1</v>
      </c>
      <c r="R188" s="669">
        <f t="shared" si="41"/>
        <v>0</v>
      </c>
      <c r="S188" s="319">
        <f t="shared" si="42"/>
        <v>0</v>
      </c>
    </row>
    <row r="189" spans="1:19">
      <c r="A189" s="152"/>
      <c r="B189" s="54"/>
      <c r="C189" s="21">
        <f t="shared" si="33"/>
        <v>1</v>
      </c>
      <c r="D189" s="673"/>
      <c r="E189" s="21">
        <f t="shared" si="34"/>
        <v>1</v>
      </c>
      <c r="F189" s="673"/>
      <c r="G189" s="21">
        <f t="shared" si="35"/>
        <v>1</v>
      </c>
      <c r="H189" s="673"/>
      <c r="I189" s="21">
        <f t="shared" si="36"/>
        <v>1</v>
      </c>
      <c r="J189" s="673"/>
      <c r="K189" s="21">
        <f t="shared" si="37"/>
        <v>1</v>
      </c>
      <c r="L189" s="673"/>
      <c r="M189" s="21">
        <f t="shared" si="38"/>
        <v>1</v>
      </c>
      <c r="N189" s="673"/>
      <c r="O189" s="21">
        <f t="shared" si="39"/>
        <v>1</v>
      </c>
      <c r="P189" s="673"/>
      <c r="Q189" s="21">
        <f t="shared" si="40"/>
        <v>1</v>
      </c>
      <c r="R189" s="669">
        <f t="shared" si="41"/>
        <v>0</v>
      </c>
      <c r="S189" s="319">
        <f t="shared" si="42"/>
        <v>0</v>
      </c>
    </row>
    <row r="190" spans="1:19">
      <c r="A190" s="152"/>
      <c r="B190" s="54"/>
      <c r="C190" s="21">
        <f t="shared" si="33"/>
        <v>1</v>
      </c>
      <c r="D190" s="673"/>
      <c r="E190" s="21">
        <f t="shared" si="34"/>
        <v>1</v>
      </c>
      <c r="F190" s="673"/>
      <c r="G190" s="21">
        <f t="shared" si="35"/>
        <v>1</v>
      </c>
      <c r="H190" s="673"/>
      <c r="I190" s="21">
        <f t="shared" si="36"/>
        <v>1</v>
      </c>
      <c r="J190" s="673"/>
      <c r="K190" s="21">
        <f t="shared" si="37"/>
        <v>1</v>
      </c>
      <c r="L190" s="673"/>
      <c r="M190" s="21">
        <f t="shared" si="38"/>
        <v>1</v>
      </c>
      <c r="N190" s="673"/>
      <c r="O190" s="21">
        <f t="shared" si="39"/>
        <v>1</v>
      </c>
      <c r="P190" s="673"/>
      <c r="Q190" s="21">
        <f t="shared" si="40"/>
        <v>1</v>
      </c>
      <c r="R190" s="669">
        <f t="shared" si="41"/>
        <v>0</v>
      </c>
      <c r="S190" s="319">
        <f t="shared" si="42"/>
        <v>0</v>
      </c>
    </row>
    <row r="191" spans="1:19">
      <c r="A191" s="152"/>
      <c r="B191" s="54"/>
      <c r="C191" s="21">
        <f t="shared" si="33"/>
        <v>1</v>
      </c>
      <c r="D191" s="673"/>
      <c r="E191" s="21">
        <f t="shared" si="34"/>
        <v>1</v>
      </c>
      <c r="F191" s="673"/>
      <c r="G191" s="21">
        <f t="shared" si="35"/>
        <v>1</v>
      </c>
      <c r="H191" s="673"/>
      <c r="I191" s="21">
        <f t="shared" si="36"/>
        <v>1</v>
      </c>
      <c r="J191" s="673"/>
      <c r="K191" s="21">
        <f t="shared" si="37"/>
        <v>1</v>
      </c>
      <c r="L191" s="673"/>
      <c r="M191" s="21">
        <f t="shared" si="38"/>
        <v>1</v>
      </c>
      <c r="N191" s="673"/>
      <c r="O191" s="21">
        <f t="shared" si="39"/>
        <v>1</v>
      </c>
      <c r="P191" s="673"/>
      <c r="Q191" s="21">
        <f t="shared" si="40"/>
        <v>1</v>
      </c>
      <c r="R191" s="669">
        <f t="shared" si="41"/>
        <v>0</v>
      </c>
      <c r="S191" s="319">
        <f t="shared" si="42"/>
        <v>0</v>
      </c>
    </row>
    <row r="192" spans="1:19">
      <c r="A192" s="152"/>
      <c r="B192" s="54"/>
      <c r="C192" s="21">
        <f t="shared" si="33"/>
        <v>1</v>
      </c>
      <c r="D192" s="673"/>
      <c r="E192" s="21">
        <f t="shared" si="34"/>
        <v>1</v>
      </c>
      <c r="F192" s="673"/>
      <c r="G192" s="21">
        <f t="shared" si="35"/>
        <v>1</v>
      </c>
      <c r="H192" s="673"/>
      <c r="I192" s="21">
        <f t="shared" si="36"/>
        <v>1</v>
      </c>
      <c r="J192" s="673"/>
      <c r="K192" s="21">
        <f t="shared" si="37"/>
        <v>1</v>
      </c>
      <c r="L192" s="673"/>
      <c r="M192" s="21">
        <f t="shared" si="38"/>
        <v>1</v>
      </c>
      <c r="N192" s="673"/>
      <c r="O192" s="21">
        <f t="shared" si="39"/>
        <v>1</v>
      </c>
      <c r="P192" s="673"/>
      <c r="Q192" s="21">
        <f t="shared" si="40"/>
        <v>1</v>
      </c>
      <c r="R192" s="669">
        <f t="shared" si="41"/>
        <v>0</v>
      </c>
      <c r="S192" s="319">
        <f t="shared" si="42"/>
        <v>0</v>
      </c>
    </row>
    <row r="193" spans="1:19">
      <c r="A193" s="152"/>
      <c r="B193" s="54"/>
      <c r="C193" s="21">
        <f t="shared" si="33"/>
        <v>1</v>
      </c>
      <c r="D193" s="673"/>
      <c r="E193" s="21">
        <f t="shared" si="34"/>
        <v>1</v>
      </c>
      <c r="F193" s="673"/>
      <c r="G193" s="21">
        <f t="shared" si="35"/>
        <v>1</v>
      </c>
      <c r="H193" s="673"/>
      <c r="I193" s="21">
        <f t="shared" si="36"/>
        <v>1</v>
      </c>
      <c r="J193" s="673"/>
      <c r="K193" s="21">
        <f t="shared" si="37"/>
        <v>1</v>
      </c>
      <c r="L193" s="673"/>
      <c r="M193" s="21">
        <f t="shared" si="38"/>
        <v>1</v>
      </c>
      <c r="N193" s="673"/>
      <c r="O193" s="21">
        <f t="shared" si="39"/>
        <v>1</v>
      </c>
      <c r="P193" s="673"/>
      <c r="Q193" s="21">
        <f t="shared" si="40"/>
        <v>1</v>
      </c>
      <c r="R193" s="669">
        <f t="shared" si="41"/>
        <v>0</v>
      </c>
      <c r="S193" s="319">
        <f t="shared" si="42"/>
        <v>0</v>
      </c>
    </row>
    <row r="194" spans="1:19">
      <c r="A194" s="152"/>
      <c r="B194" s="54"/>
      <c r="C194" s="21">
        <f t="shared" si="33"/>
        <v>1</v>
      </c>
      <c r="D194" s="673"/>
      <c r="E194" s="21">
        <f t="shared" si="34"/>
        <v>1</v>
      </c>
      <c r="F194" s="673"/>
      <c r="G194" s="21">
        <f t="shared" si="35"/>
        <v>1</v>
      </c>
      <c r="H194" s="673"/>
      <c r="I194" s="21">
        <f t="shared" si="36"/>
        <v>1</v>
      </c>
      <c r="J194" s="673"/>
      <c r="K194" s="21">
        <f t="shared" si="37"/>
        <v>1</v>
      </c>
      <c r="L194" s="673"/>
      <c r="M194" s="21">
        <f t="shared" si="38"/>
        <v>1</v>
      </c>
      <c r="N194" s="673"/>
      <c r="O194" s="21">
        <f t="shared" si="39"/>
        <v>1</v>
      </c>
      <c r="P194" s="673"/>
      <c r="Q194" s="21">
        <f t="shared" si="40"/>
        <v>1</v>
      </c>
      <c r="R194" s="669">
        <f t="shared" si="41"/>
        <v>0</v>
      </c>
      <c r="S194" s="319">
        <f t="shared" si="42"/>
        <v>0</v>
      </c>
    </row>
    <row r="195" spans="1:19">
      <c r="A195" s="152"/>
      <c r="B195" s="54"/>
      <c r="C195" s="21">
        <f t="shared" si="33"/>
        <v>1</v>
      </c>
      <c r="D195" s="673"/>
      <c r="E195" s="21">
        <f t="shared" si="34"/>
        <v>1</v>
      </c>
      <c r="F195" s="673"/>
      <c r="G195" s="21">
        <f t="shared" si="35"/>
        <v>1</v>
      </c>
      <c r="H195" s="673"/>
      <c r="I195" s="21">
        <f t="shared" si="36"/>
        <v>1</v>
      </c>
      <c r="J195" s="673"/>
      <c r="K195" s="21">
        <f t="shared" si="37"/>
        <v>1</v>
      </c>
      <c r="L195" s="673"/>
      <c r="M195" s="21">
        <f t="shared" si="38"/>
        <v>1</v>
      </c>
      <c r="N195" s="673"/>
      <c r="O195" s="21">
        <f t="shared" si="39"/>
        <v>1</v>
      </c>
      <c r="P195" s="673"/>
      <c r="Q195" s="21">
        <f t="shared" si="40"/>
        <v>1</v>
      </c>
      <c r="R195" s="669">
        <f t="shared" si="41"/>
        <v>0</v>
      </c>
      <c r="S195" s="319">
        <f t="shared" si="42"/>
        <v>0</v>
      </c>
    </row>
    <row r="196" spans="1:19">
      <c r="A196" s="152"/>
      <c r="B196" s="54"/>
      <c r="C196" s="21">
        <f t="shared" si="33"/>
        <v>1</v>
      </c>
      <c r="D196" s="673"/>
      <c r="E196" s="21">
        <f t="shared" si="34"/>
        <v>1</v>
      </c>
      <c r="F196" s="673"/>
      <c r="G196" s="21">
        <f t="shared" si="35"/>
        <v>1</v>
      </c>
      <c r="H196" s="673"/>
      <c r="I196" s="21">
        <f t="shared" si="36"/>
        <v>1</v>
      </c>
      <c r="J196" s="673"/>
      <c r="K196" s="21">
        <f t="shared" si="37"/>
        <v>1</v>
      </c>
      <c r="L196" s="673"/>
      <c r="M196" s="21">
        <f t="shared" si="38"/>
        <v>1</v>
      </c>
      <c r="N196" s="673"/>
      <c r="O196" s="21">
        <f t="shared" si="39"/>
        <v>1</v>
      </c>
      <c r="P196" s="673"/>
      <c r="Q196" s="21">
        <f t="shared" si="40"/>
        <v>1</v>
      </c>
      <c r="R196" s="669">
        <f t="shared" si="41"/>
        <v>0</v>
      </c>
      <c r="S196" s="319">
        <f t="shared" si="42"/>
        <v>0</v>
      </c>
    </row>
    <row r="197" spans="1:19">
      <c r="A197" s="152"/>
      <c r="B197" s="54"/>
      <c r="C197" s="21">
        <f t="shared" si="33"/>
        <v>1</v>
      </c>
      <c r="D197" s="673"/>
      <c r="E197" s="21">
        <f t="shared" si="34"/>
        <v>1</v>
      </c>
      <c r="F197" s="673"/>
      <c r="G197" s="21">
        <f t="shared" si="35"/>
        <v>1</v>
      </c>
      <c r="H197" s="673"/>
      <c r="I197" s="21">
        <f t="shared" si="36"/>
        <v>1</v>
      </c>
      <c r="J197" s="673"/>
      <c r="K197" s="21">
        <f t="shared" si="37"/>
        <v>1</v>
      </c>
      <c r="L197" s="673"/>
      <c r="M197" s="21">
        <f t="shared" si="38"/>
        <v>1</v>
      </c>
      <c r="N197" s="673"/>
      <c r="O197" s="21">
        <f t="shared" si="39"/>
        <v>1</v>
      </c>
      <c r="P197" s="673"/>
      <c r="Q197" s="21">
        <f t="shared" si="40"/>
        <v>1</v>
      </c>
      <c r="R197" s="669">
        <f t="shared" si="41"/>
        <v>0</v>
      </c>
      <c r="S197" s="319">
        <f t="shared" si="42"/>
        <v>0</v>
      </c>
    </row>
    <row r="198" spans="1:19">
      <c r="A198" s="152"/>
      <c r="B198" s="54"/>
      <c r="C198" s="21">
        <f t="shared" si="33"/>
        <v>1</v>
      </c>
      <c r="D198" s="673"/>
      <c r="E198" s="21">
        <f t="shared" si="34"/>
        <v>1</v>
      </c>
      <c r="F198" s="673"/>
      <c r="G198" s="21">
        <f t="shared" si="35"/>
        <v>1</v>
      </c>
      <c r="H198" s="673"/>
      <c r="I198" s="21">
        <f t="shared" si="36"/>
        <v>1</v>
      </c>
      <c r="J198" s="673"/>
      <c r="K198" s="21">
        <f t="shared" si="37"/>
        <v>1</v>
      </c>
      <c r="L198" s="673"/>
      <c r="M198" s="21">
        <f t="shared" si="38"/>
        <v>1</v>
      </c>
      <c r="N198" s="673"/>
      <c r="O198" s="21">
        <f t="shared" si="39"/>
        <v>1</v>
      </c>
      <c r="P198" s="673"/>
      <c r="Q198" s="21">
        <f t="shared" si="40"/>
        <v>1</v>
      </c>
      <c r="R198" s="669">
        <f t="shared" si="41"/>
        <v>0</v>
      </c>
      <c r="S198" s="319">
        <f t="shared" si="42"/>
        <v>0</v>
      </c>
    </row>
    <row r="199" spans="1:19">
      <c r="A199" s="152"/>
      <c r="B199" s="54"/>
      <c r="C199" s="21">
        <f t="shared" si="33"/>
        <v>1</v>
      </c>
      <c r="D199" s="673"/>
      <c r="E199" s="21">
        <f t="shared" si="34"/>
        <v>1</v>
      </c>
      <c r="F199" s="673"/>
      <c r="G199" s="21">
        <f t="shared" si="35"/>
        <v>1</v>
      </c>
      <c r="H199" s="673"/>
      <c r="I199" s="21">
        <f t="shared" si="36"/>
        <v>1</v>
      </c>
      <c r="J199" s="673"/>
      <c r="K199" s="21">
        <f t="shared" si="37"/>
        <v>1</v>
      </c>
      <c r="L199" s="673"/>
      <c r="M199" s="21">
        <f t="shared" si="38"/>
        <v>1</v>
      </c>
      <c r="N199" s="673"/>
      <c r="O199" s="21">
        <f t="shared" si="39"/>
        <v>1</v>
      </c>
      <c r="P199" s="673"/>
      <c r="Q199" s="21">
        <f t="shared" si="40"/>
        <v>1</v>
      </c>
      <c r="R199" s="669">
        <f t="shared" si="41"/>
        <v>0</v>
      </c>
      <c r="S199" s="319">
        <f t="shared" si="42"/>
        <v>0</v>
      </c>
    </row>
    <row r="200" spans="1:19">
      <c r="A200" s="152"/>
      <c r="B200" s="54"/>
      <c r="C200" s="21">
        <f t="shared" si="33"/>
        <v>1</v>
      </c>
      <c r="D200" s="673"/>
      <c r="E200" s="21">
        <f t="shared" si="34"/>
        <v>1</v>
      </c>
      <c r="F200" s="673"/>
      <c r="G200" s="21">
        <f t="shared" si="35"/>
        <v>1</v>
      </c>
      <c r="H200" s="673"/>
      <c r="I200" s="21">
        <f t="shared" si="36"/>
        <v>1</v>
      </c>
      <c r="J200" s="673"/>
      <c r="K200" s="21">
        <f t="shared" si="37"/>
        <v>1</v>
      </c>
      <c r="L200" s="673"/>
      <c r="M200" s="21">
        <f t="shared" si="38"/>
        <v>1</v>
      </c>
      <c r="N200" s="673"/>
      <c r="O200" s="21">
        <f t="shared" si="39"/>
        <v>1</v>
      </c>
      <c r="P200" s="673"/>
      <c r="Q200" s="21">
        <f t="shared" si="40"/>
        <v>1</v>
      </c>
      <c r="R200" s="669">
        <f t="shared" si="41"/>
        <v>0</v>
      </c>
      <c r="S200" s="319">
        <f t="shared" si="42"/>
        <v>0</v>
      </c>
    </row>
    <row r="201" spans="1:19">
      <c r="A201" s="152"/>
      <c r="B201" s="54"/>
      <c r="C201" s="21">
        <f t="shared" si="33"/>
        <v>1</v>
      </c>
      <c r="D201" s="673"/>
      <c r="E201" s="21">
        <f t="shared" si="34"/>
        <v>1</v>
      </c>
      <c r="F201" s="673"/>
      <c r="G201" s="21">
        <f t="shared" si="35"/>
        <v>1</v>
      </c>
      <c r="H201" s="673"/>
      <c r="I201" s="21">
        <f t="shared" si="36"/>
        <v>1</v>
      </c>
      <c r="J201" s="673"/>
      <c r="K201" s="21">
        <f t="shared" si="37"/>
        <v>1</v>
      </c>
      <c r="L201" s="673"/>
      <c r="M201" s="21">
        <f t="shared" si="38"/>
        <v>1</v>
      </c>
      <c r="N201" s="673"/>
      <c r="O201" s="21">
        <f t="shared" si="39"/>
        <v>1</v>
      </c>
      <c r="P201" s="673"/>
      <c r="Q201" s="21">
        <f t="shared" si="40"/>
        <v>1</v>
      </c>
      <c r="R201" s="669">
        <f t="shared" si="41"/>
        <v>0</v>
      </c>
      <c r="S201" s="319">
        <f t="shared" si="42"/>
        <v>0</v>
      </c>
    </row>
    <row r="202" spans="1:19">
      <c r="A202" s="152"/>
      <c r="B202" s="54"/>
      <c r="C202" s="21">
        <f t="shared" si="33"/>
        <v>1</v>
      </c>
      <c r="D202" s="673"/>
      <c r="E202" s="21">
        <f t="shared" si="34"/>
        <v>1</v>
      </c>
      <c r="F202" s="673"/>
      <c r="G202" s="21">
        <f t="shared" si="35"/>
        <v>1</v>
      </c>
      <c r="H202" s="673"/>
      <c r="I202" s="21">
        <f t="shared" si="36"/>
        <v>1</v>
      </c>
      <c r="J202" s="673"/>
      <c r="K202" s="21">
        <f t="shared" si="37"/>
        <v>1</v>
      </c>
      <c r="L202" s="673"/>
      <c r="M202" s="21">
        <f t="shared" si="38"/>
        <v>1</v>
      </c>
      <c r="N202" s="673"/>
      <c r="O202" s="21">
        <f t="shared" si="39"/>
        <v>1</v>
      </c>
      <c r="P202" s="673"/>
      <c r="Q202" s="21">
        <f t="shared" si="40"/>
        <v>1</v>
      </c>
      <c r="R202" s="669">
        <f t="shared" si="41"/>
        <v>0</v>
      </c>
      <c r="S202" s="319">
        <f t="shared" si="42"/>
        <v>0</v>
      </c>
    </row>
    <row r="203" spans="1:19">
      <c r="A203" s="152"/>
      <c r="B203" s="54"/>
      <c r="C203" s="21">
        <f t="shared" si="33"/>
        <v>1</v>
      </c>
      <c r="D203" s="673"/>
      <c r="E203" s="21">
        <f t="shared" si="34"/>
        <v>1</v>
      </c>
      <c r="F203" s="673"/>
      <c r="G203" s="21">
        <f t="shared" si="35"/>
        <v>1</v>
      </c>
      <c r="H203" s="673"/>
      <c r="I203" s="21">
        <f t="shared" si="36"/>
        <v>1</v>
      </c>
      <c r="J203" s="673"/>
      <c r="K203" s="21">
        <f t="shared" si="37"/>
        <v>1</v>
      </c>
      <c r="L203" s="673"/>
      <c r="M203" s="21">
        <f t="shared" si="38"/>
        <v>1</v>
      </c>
      <c r="N203" s="673"/>
      <c r="O203" s="21">
        <f t="shared" si="39"/>
        <v>1</v>
      </c>
      <c r="P203" s="673"/>
      <c r="Q203" s="21">
        <f t="shared" si="40"/>
        <v>1</v>
      </c>
      <c r="R203" s="669">
        <f t="shared" si="41"/>
        <v>0</v>
      </c>
      <c r="S203" s="319">
        <f t="shared" si="42"/>
        <v>0</v>
      </c>
    </row>
    <row r="204" spans="1:19">
      <c r="A204" s="152"/>
      <c r="B204" s="54"/>
      <c r="C204" s="21">
        <f t="shared" si="33"/>
        <v>1</v>
      </c>
      <c r="D204" s="673"/>
      <c r="E204" s="21">
        <f t="shared" si="34"/>
        <v>1</v>
      </c>
      <c r="F204" s="673"/>
      <c r="G204" s="21">
        <f t="shared" si="35"/>
        <v>1</v>
      </c>
      <c r="H204" s="673"/>
      <c r="I204" s="21">
        <f t="shared" si="36"/>
        <v>1</v>
      </c>
      <c r="J204" s="673"/>
      <c r="K204" s="21">
        <f t="shared" si="37"/>
        <v>1</v>
      </c>
      <c r="L204" s="673"/>
      <c r="M204" s="21">
        <f t="shared" si="38"/>
        <v>1</v>
      </c>
      <c r="N204" s="673"/>
      <c r="O204" s="21">
        <f t="shared" si="39"/>
        <v>1</v>
      </c>
      <c r="P204" s="673"/>
      <c r="Q204" s="21">
        <f t="shared" si="40"/>
        <v>1</v>
      </c>
      <c r="R204" s="669">
        <f t="shared" si="41"/>
        <v>0</v>
      </c>
      <c r="S204" s="319">
        <f t="shared" si="42"/>
        <v>0</v>
      </c>
    </row>
    <row r="205" spans="1:19">
      <c r="A205" s="152"/>
      <c r="B205" s="54"/>
      <c r="C205" s="21">
        <f t="shared" si="33"/>
        <v>1</v>
      </c>
      <c r="D205" s="673"/>
      <c r="E205" s="21">
        <f t="shared" si="34"/>
        <v>1</v>
      </c>
      <c r="F205" s="673"/>
      <c r="G205" s="21">
        <f t="shared" si="35"/>
        <v>1</v>
      </c>
      <c r="H205" s="673"/>
      <c r="I205" s="21">
        <f t="shared" si="36"/>
        <v>1</v>
      </c>
      <c r="J205" s="673"/>
      <c r="K205" s="21">
        <f t="shared" si="37"/>
        <v>1</v>
      </c>
      <c r="L205" s="673"/>
      <c r="M205" s="21">
        <f t="shared" si="38"/>
        <v>1</v>
      </c>
      <c r="N205" s="673"/>
      <c r="O205" s="21">
        <f t="shared" si="39"/>
        <v>1</v>
      </c>
      <c r="P205" s="673"/>
      <c r="Q205" s="21">
        <f t="shared" si="40"/>
        <v>1</v>
      </c>
      <c r="R205" s="669">
        <f t="shared" si="41"/>
        <v>0</v>
      </c>
      <c r="S205" s="319">
        <f t="shared" si="42"/>
        <v>0</v>
      </c>
    </row>
    <row r="206" spans="1:19">
      <c r="A206" s="152"/>
      <c r="B206" s="54"/>
      <c r="C206" s="21">
        <f t="shared" si="33"/>
        <v>1</v>
      </c>
      <c r="D206" s="673"/>
      <c r="E206" s="21">
        <f t="shared" si="34"/>
        <v>1</v>
      </c>
      <c r="F206" s="673"/>
      <c r="G206" s="21">
        <f t="shared" si="35"/>
        <v>1</v>
      </c>
      <c r="H206" s="673"/>
      <c r="I206" s="21">
        <f t="shared" si="36"/>
        <v>1</v>
      </c>
      <c r="J206" s="673"/>
      <c r="K206" s="21">
        <f t="shared" si="37"/>
        <v>1</v>
      </c>
      <c r="L206" s="673"/>
      <c r="M206" s="21">
        <f t="shared" si="38"/>
        <v>1</v>
      </c>
      <c r="N206" s="673"/>
      <c r="O206" s="21">
        <f t="shared" si="39"/>
        <v>1</v>
      </c>
      <c r="P206" s="673"/>
      <c r="Q206" s="21">
        <f t="shared" si="40"/>
        <v>1</v>
      </c>
      <c r="R206" s="669">
        <f t="shared" si="41"/>
        <v>0</v>
      </c>
      <c r="S206" s="319">
        <f t="shared" si="42"/>
        <v>0</v>
      </c>
    </row>
    <row r="207" spans="1:19">
      <c r="A207" s="152"/>
      <c r="B207" s="54"/>
      <c r="C207" s="21">
        <f t="shared" si="33"/>
        <v>1</v>
      </c>
      <c r="D207" s="673"/>
      <c r="E207" s="21">
        <f t="shared" si="34"/>
        <v>1</v>
      </c>
      <c r="F207" s="673"/>
      <c r="G207" s="21">
        <f t="shared" si="35"/>
        <v>1</v>
      </c>
      <c r="H207" s="673"/>
      <c r="I207" s="21">
        <f t="shared" si="36"/>
        <v>1</v>
      </c>
      <c r="J207" s="673"/>
      <c r="K207" s="21">
        <f t="shared" si="37"/>
        <v>1</v>
      </c>
      <c r="L207" s="673"/>
      <c r="M207" s="21">
        <f t="shared" si="38"/>
        <v>1</v>
      </c>
      <c r="N207" s="673"/>
      <c r="O207" s="21">
        <f t="shared" si="39"/>
        <v>1</v>
      </c>
      <c r="P207" s="673"/>
      <c r="Q207" s="21">
        <f t="shared" si="40"/>
        <v>1</v>
      </c>
      <c r="R207" s="669">
        <f t="shared" si="41"/>
        <v>0</v>
      </c>
      <c r="S207" s="319">
        <f t="shared" si="42"/>
        <v>0</v>
      </c>
    </row>
    <row r="208" spans="1:19">
      <c r="A208" s="152"/>
      <c r="B208" s="54"/>
      <c r="C208" s="21">
        <f t="shared" si="33"/>
        <v>1</v>
      </c>
      <c r="D208" s="673"/>
      <c r="E208" s="21">
        <f t="shared" si="34"/>
        <v>1</v>
      </c>
      <c r="F208" s="673"/>
      <c r="G208" s="21">
        <f t="shared" si="35"/>
        <v>1</v>
      </c>
      <c r="H208" s="673"/>
      <c r="I208" s="21">
        <f t="shared" si="36"/>
        <v>1</v>
      </c>
      <c r="J208" s="673"/>
      <c r="K208" s="21">
        <f t="shared" si="37"/>
        <v>1</v>
      </c>
      <c r="L208" s="673"/>
      <c r="M208" s="21">
        <f t="shared" si="38"/>
        <v>1</v>
      </c>
      <c r="N208" s="673"/>
      <c r="O208" s="21">
        <f t="shared" si="39"/>
        <v>1</v>
      </c>
      <c r="P208" s="673"/>
      <c r="Q208" s="21">
        <f t="shared" si="40"/>
        <v>1</v>
      </c>
      <c r="R208" s="669">
        <f t="shared" si="41"/>
        <v>0</v>
      </c>
      <c r="S208" s="319">
        <f t="shared" si="42"/>
        <v>0</v>
      </c>
    </row>
    <row r="209" spans="1:19">
      <c r="A209" s="152"/>
      <c r="B209" s="54"/>
      <c r="C209" s="21">
        <f t="shared" si="33"/>
        <v>1</v>
      </c>
      <c r="D209" s="673"/>
      <c r="E209" s="21">
        <f t="shared" si="34"/>
        <v>1</v>
      </c>
      <c r="F209" s="673"/>
      <c r="G209" s="21">
        <f t="shared" si="35"/>
        <v>1</v>
      </c>
      <c r="H209" s="673"/>
      <c r="I209" s="21">
        <f t="shared" si="36"/>
        <v>1</v>
      </c>
      <c r="J209" s="673"/>
      <c r="K209" s="21">
        <f t="shared" si="37"/>
        <v>1</v>
      </c>
      <c r="L209" s="673"/>
      <c r="M209" s="21">
        <f t="shared" si="38"/>
        <v>1</v>
      </c>
      <c r="N209" s="673"/>
      <c r="O209" s="21">
        <f t="shared" si="39"/>
        <v>1</v>
      </c>
      <c r="P209" s="673"/>
      <c r="Q209" s="21">
        <f t="shared" si="40"/>
        <v>1</v>
      </c>
      <c r="R209" s="669">
        <f t="shared" si="41"/>
        <v>0</v>
      </c>
      <c r="S209" s="319">
        <f t="shared" si="42"/>
        <v>0</v>
      </c>
    </row>
    <row r="210" spans="1:19">
      <c r="A210" s="152"/>
      <c r="B210" s="54"/>
      <c r="C210" s="21">
        <f t="shared" si="33"/>
        <v>1</v>
      </c>
      <c r="D210" s="673"/>
      <c r="E210" s="21">
        <f t="shared" si="34"/>
        <v>1</v>
      </c>
      <c r="F210" s="673"/>
      <c r="G210" s="21">
        <f t="shared" si="35"/>
        <v>1</v>
      </c>
      <c r="H210" s="673"/>
      <c r="I210" s="21">
        <f t="shared" si="36"/>
        <v>1</v>
      </c>
      <c r="J210" s="673"/>
      <c r="K210" s="21">
        <f t="shared" si="37"/>
        <v>1</v>
      </c>
      <c r="L210" s="673"/>
      <c r="M210" s="21">
        <f t="shared" si="38"/>
        <v>1</v>
      </c>
      <c r="N210" s="673"/>
      <c r="O210" s="21">
        <f t="shared" si="39"/>
        <v>1</v>
      </c>
      <c r="P210" s="673"/>
      <c r="Q210" s="21">
        <f t="shared" si="40"/>
        <v>1</v>
      </c>
      <c r="R210" s="669">
        <f t="shared" si="41"/>
        <v>0</v>
      </c>
      <c r="S210" s="319">
        <f t="shared" si="42"/>
        <v>0</v>
      </c>
    </row>
    <row r="211" spans="1:19">
      <c r="A211" s="152"/>
      <c r="B211" s="54"/>
      <c r="C211" s="21">
        <f t="shared" si="33"/>
        <v>1</v>
      </c>
      <c r="D211" s="673"/>
      <c r="E211" s="21">
        <f t="shared" si="34"/>
        <v>1</v>
      </c>
      <c r="F211" s="673"/>
      <c r="G211" s="21">
        <f t="shared" si="35"/>
        <v>1</v>
      </c>
      <c r="H211" s="673"/>
      <c r="I211" s="21">
        <f t="shared" si="36"/>
        <v>1</v>
      </c>
      <c r="J211" s="673"/>
      <c r="K211" s="21">
        <f t="shared" si="37"/>
        <v>1</v>
      </c>
      <c r="L211" s="673"/>
      <c r="M211" s="21">
        <f t="shared" si="38"/>
        <v>1</v>
      </c>
      <c r="N211" s="673"/>
      <c r="O211" s="21">
        <f t="shared" si="39"/>
        <v>1</v>
      </c>
      <c r="P211" s="673"/>
      <c r="Q211" s="21">
        <f t="shared" si="40"/>
        <v>1</v>
      </c>
      <c r="R211" s="669">
        <f t="shared" si="41"/>
        <v>0</v>
      </c>
      <c r="S211" s="319">
        <f t="shared" si="42"/>
        <v>0</v>
      </c>
    </row>
    <row r="212" spans="1:19">
      <c r="A212" s="152"/>
      <c r="B212" s="54"/>
      <c r="C212" s="21">
        <f t="shared" si="33"/>
        <v>1</v>
      </c>
      <c r="D212" s="673"/>
      <c r="E212" s="21">
        <f t="shared" si="34"/>
        <v>1</v>
      </c>
      <c r="F212" s="673"/>
      <c r="G212" s="21">
        <f t="shared" si="35"/>
        <v>1</v>
      </c>
      <c r="H212" s="673"/>
      <c r="I212" s="21">
        <f t="shared" si="36"/>
        <v>1</v>
      </c>
      <c r="J212" s="673"/>
      <c r="K212" s="21">
        <f t="shared" si="37"/>
        <v>1</v>
      </c>
      <c r="L212" s="673"/>
      <c r="M212" s="21">
        <f t="shared" si="38"/>
        <v>1</v>
      </c>
      <c r="N212" s="673"/>
      <c r="O212" s="21">
        <f t="shared" si="39"/>
        <v>1</v>
      </c>
      <c r="P212" s="673"/>
      <c r="Q212" s="21">
        <f t="shared" si="40"/>
        <v>1</v>
      </c>
      <c r="R212" s="669">
        <f t="shared" si="41"/>
        <v>0</v>
      </c>
      <c r="S212" s="319">
        <f t="shared" si="42"/>
        <v>0</v>
      </c>
    </row>
    <row r="213" spans="1:19">
      <c r="A213" s="152"/>
      <c r="B213" s="54"/>
      <c r="C213" s="21">
        <f t="shared" si="33"/>
        <v>1</v>
      </c>
      <c r="D213" s="673"/>
      <c r="E213" s="21">
        <f t="shared" si="34"/>
        <v>1</v>
      </c>
      <c r="F213" s="673"/>
      <c r="G213" s="21">
        <f t="shared" si="35"/>
        <v>1</v>
      </c>
      <c r="H213" s="673"/>
      <c r="I213" s="21">
        <f t="shared" si="36"/>
        <v>1</v>
      </c>
      <c r="J213" s="673"/>
      <c r="K213" s="21">
        <f t="shared" si="37"/>
        <v>1</v>
      </c>
      <c r="L213" s="673"/>
      <c r="M213" s="21">
        <f t="shared" si="38"/>
        <v>1</v>
      </c>
      <c r="N213" s="673"/>
      <c r="O213" s="21">
        <f t="shared" si="39"/>
        <v>1</v>
      </c>
      <c r="P213" s="673"/>
      <c r="Q213" s="21">
        <f t="shared" si="40"/>
        <v>1</v>
      </c>
      <c r="R213" s="669">
        <f t="shared" si="41"/>
        <v>0</v>
      </c>
      <c r="S213" s="319">
        <f t="shared" si="42"/>
        <v>0</v>
      </c>
    </row>
    <row r="214" spans="1:19">
      <c r="A214" s="152"/>
      <c r="B214" s="54"/>
      <c r="C214" s="21">
        <f t="shared" si="33"/>
        <v>1</v>
      </c>
      <c r="D214" s="673"/>
      <c r="E214" s="21">
        <f t="shared" si="34"/>
        <v>1</v>
      </c>
      <c r="F214" s="673"/>
      <c r="G214" s="21">
        <f t="shared" si="35"/>
        <v>1</v>
      </c>
      <c r="H214" s="673"/>
      <c r="I214" s="21">
        <f t="shared" si="36"/>
        <v>1</v>
      </c>
      <c r="J214" s="673"/>
      <c r="K214" s="21">
        <f t="shared" si="37"/>
        <v>1</v>
      </c>
      <c r="L214" s="673"/>
      <c r="M214" s="21">
        <f t="shared" si="38"/>
        <v>1</v>
      </c>
      <c r="N214" s="673"/>
      <c r="O214" s="21">
        <f t="shared" si="39"/>
        <v>1</v>
      </c>
      <c r="P214" s="673"/>
      <c r="Q214" s="21">
        <f t="shared" si="40"/>
        <v>1</v>
      </c>
      <c r="R214" s="669">
        <f t="shared" si="41"/>
        <v>0</v>
      </c>
      <c r="S214" s="319">
        <f t="shared" si="42"/>
        <v>0</v>
      </c>
    </row>
    <row r="215" spans="1:19">
      <c r="A215" s="152"/>
      <c r="B215" s="54"/>
      <c r="C215" s="21">
        <f t="shared" si="33"/>
        <v>1</v>
      </c>
      <c r="D215" s="673"/>
      <c r="E215" s="21">
        <f t="shared" si="34"/>
        <v>1</v>
      </c>
      <c r="F215" s="673"/>
      <c r="G215" s="21">
        <f t="shared" si="35"/>
        <v>1</v>
      </c>
      <c r="H215" s="673"/>
      <c r="I215" s="21">
        <f t="shared" si="36"/>
        <v>1</v>
      </c>
      <c r="J215" s="673"/>
      <c r="K215" s="21">
        <f t="shared" si="37"/>
        <v>1</v>
      </c>
      <c r="L215" s="673"/>
      <c r="M215" s="21">
        <f t="shared" si="38"/>
        <v>1</v>
      </c>
      <c r="N215" s="673"/>
      <c r="O215" s="21">
        <f t="shared" si="39"/>
        <v>1</v>
      </c>
      <c r="P215" s="673"/>
      <c r="Q215" s="21">
        <f t="shared" si="40"/>
        <v>1</v>
      </c>
      <c r="R215" s="669">
        <f t="shared" si="41"/>
        <v>0</v>
      </c>
      <c r="S215" s="319">
        <f t="shared" si="42"/>
        <v>0</v>
      </c>
    </row>
    <row r="216" spans="1:19">
      <c r="A216" s="152"/>
      <c r="B216" s="54"/>
      <c r="C216" s="21">
        <f t="shared" si="33"/>
        <v>1</v>
      </c>
      <c r="D216" s="673"/>
      <c r="E216" s="21">
        <f t="shared" si="34"/>
        <v>1</v>
      </c>
      <c r="F216" s="673"/>
      <c r="G216" s="21">
        <f t="shared" si="35"/>
        <v>1</v>
      </c>
      <c r="H216" s="673"/>
      <c r="I216" s="21">
        <f t="shared" si="36"/>
        <v>1</v>
      </c>
      <c r="J216" s="673"/>
      <c r="K216" s="21">
        <f t="shared" si="37"/>
        <v>1</v>
      </c>
      <c r="L216" s="673"/>
      <c r="M216" s="21">
        <f t="shared" si="38"/>
        <v>1</v>
      </c>
      <c r="N216" s="673"/>
      <c r="O216" s="21">
        <f t="shared" si="39"/>
        <v>1</v>
      </c>
      <c r="P216" s="673"/>
      <c r="Q216" s="21">
        <f t="shared" si="40"/>
        <v>1</v>
      </c>
      <c r="R216" s="669">
        <f t="shared" si="41"/>
        <v>0</v>
      </c>
      <c r="S216" s="319">
        <f t="shared" si="42"/>
        <v>0</v>
      </c>
    </row>
    <row r="217" spans="1:19">
      <c r="A217" s="152"/>
      <c r="B217" s="54"/>
      <c r="C217" s="21">
        <f t="shared" si="33"/>
        <v>1</v>
      </c>
      <c r="D217" s="673"/>
      <c r="E217" s="21">
        <f t="shared" si="34"/>
        <v>1</v>
      </c>
      <c r="F217" s="673"/>
      <c r="G217" s="21">
        <f t="shared" si="35"/>
        <v>1</v>
      </c>
      <c r="H217" s="673"/>
      <c r="I217" s="21">
        <f t="shared" si="36"/>
        <v>1</v>
      </c>
      <c r="J217" s="673"/>
      <c r="K217" s="21">
        <f t="shared" si="37"/>
        <v>1</v>
      </c>
      <c r="L217" s="673"/>
      <c r="M217" s="21">
        <f t="shared" si="38"/>
        <v>1</v>
      </c>
      <c r="N217" s="673"/>
      <c r="O217" s="21">
        <f t="shared" si="39"/>
        <v>1</v>
      </c>
      <c r="P217" s="673"/>
      <c r="Q217" s="21">
        <f t="shared" si="40"/>
        <v>1</v>
      </c>
      <c r="R217" s="669">
        <f t="shared" si="41"/>
        <v>0</v>
      </c>
      <c r="S217" s="319">
        <f t="shared" si="42"/>
        <v>0</v>
      </c>
    </row>
    <row r="218" spans="1:19">
      <c r="A218" s="152"/>
      <c r="B218" s="54"/>
      <c r="C218" s="21">
        <f t="shared" ref="C218:C281" si="43">IF(B218="",1,(LOOKUP(B218,$3:$3,$4:$4)-LOOKUP($B$24,$3:$3,$4:$4)+100)/100)</f>
        <v>1</v>
      </c>
      <c r="D218" s="673"/>
      <c r="E218" s="21">
        <f t="shared" ref="E218:E281" si="44">(SUMIF($5:$5,D218,$6:$6)-SUMIF($5:$5,$D$24,$6:$6)+100)/100</f>
        <v>1</v>
      </c>
      <c r="F218" s="673"/>
      <c r="G218" s="21">
        <f t="shared" ref="G218:G281" si="45">(SUMIF($7:$7,F218,$8:$8)-SUMIF($7:$7,$F$24,$8:$8)+100)/100</f>
        <v>1</v>
      </c>
      <c r="H218" s="673"/>
      <c r="I218" s="21">
        <f t="shared" ref="I218:I281" si="46">(SUMIF($9:$9,H218,$10:$10)-SUMIF($9:$9,$H$24,$10:$10)+100)/100</f>
        <v>1</v>
      </c>
      <c r="J218" s="673"/>
      <c r="K218" s="21">
        <f t="shared" ref="K218:K281" si="47">(SUMIF($11:$11,J218,$12:$12)-SUMIF($11:$11,$J$24,$12:$12)+100)/100</f>
        <v>1</v>
      </c>
      <c r="L218" s="673"/>
      <c r="M218" s="21">
        <f t="shared" ref="M218:M281" si="48">(SUMIF($13:$13,L218,$14:$14)-SUMIF($13:$13,$L$24,$14:$14)+100)/100</f>
        <v>1</v>
      </c>
      <c r="N218" s="673"/>
      <c r="O218" s="21">
        <f t="shared" ref="O218:O281" si="49">(SUMIF($15:$15,N218,$16:$16)-SUMIF($15:$15,$N$24,$16:$16)+100)/100</f>
        <v>1</v>
      </c>
      <c r="P218" s="673"/>
      <c r="Q218" s="21">
        <f t="shared" ref="Q218:Q281" si="50">(SUMIF($17:$17,P218,$18:$18)-SUMIF($17:$17,$P$24,$18:$18)+100)/100</f>
        <v>1</v>
      </c>
      <c r="R218" s="669">
        <f t="shared" ref="R218:R281" si="51">IF(B218="",0,ROUND($R$24*C218*E218*G218*I218*K218*M218*O218*Q218,0))</f>
        <v>0</v>
      </c>
      <c r="S218" s="319">
        <f t="shared" si="42"/>
        <v>0</v>
      </c>
    </row>
    <row r="219" spans="1:19">
      <c r="A219" s="152"/>
      <c r="B219" s="54"/>
      <c r="C219" s="21">
        <f t="shared" si="43"/>
        <v>1</v>
      </c>
      <c r="D219" s="673"/>
      <c r="E219" s="21">
        <f t="shared" si="44"/>
        <v>1</v>
      </c>
      <c r="F219" s="673"/>
      <c r="G219" s="21">
        <f t="shared" si="45"/>
        <v>1</v>
      </c>
      <c r="H219" s="673"/>
      <c r="I219" s="21">
        <f t="shared" si="46"/>
        <v>1</v>
      </c>
      <c r="J219" s="673"/>
      <c r="K219" s="21">
        <f t="shared" si="47"/>
        <v>1</v>
      </c>
      <c r="L219" s="673"/>
      <c r="M219" s="21">
        <f t="shared" si="48"/>
        <v>1</v>
      </c>
      <c r="N219" s="673"/>
      <c r="O219" s="21">
        <f t="shared" si="49"/>
        <v>1</v>
      </c>
      <c r="P219" s="673"/>
      <c r="Q219" s="21">
        <f t="shared" si="50"/>
        <v>1</v>
      </c>
      <c r="R219" s="669">
        <f t="shared" si="51"/>
        <v>0</v>
      </c>
      <c r="S219" s="319">
        <f t="shared" si="42"/>
        <v>0</v>
      </c>
    </row>
    <row r="220" spans="1:19">
      <c r="A220" s="152"/>
      <c r="B220" s="54"/>
      <c r="C220" s="21">
        <f t="shared" si="43"/>
        <v>1</v>
      </c>
      <c r="D220" s="673"/>
      <c r="E220" s="21">
        <f t="shared" si="44"/>
        <v>1</v>
      </c>
      <c r="F220" s="673"/>
      <c r="G220" s="21">
        <f t="shared" si="45"/>
        <v>1</v>
      </c>
      <c r="H220" s="673"/>
      <c r="I220" s="21">
        <f t="shared" si="46"/>
        <v>1</v>
      </c>
      <c r="J220" s="673"/>
      <c r="K220" s="21">
        <f t="shared" si="47"/>
        <v>1</v>
      </c>
      <c r="L220" s="673"/>
      <c r="M220" s="21">
        <f t="shared" si="48"/>
        <v>1</v>
      </c>
      <c r="N220" s="673"/>
      <c r="O220" s="21">
        <f t="shared" si="49"/>
        <v>1</v>
      </c>
      <c r="P220" s="673"/>
      <c r="Q220" s="21">
        <f t="shared" si="50"/>
        <v>1</v>
      </c>
      <c r="R220" s="669">
        <f t="shared" si="51"/>
        <v>0</v>
      </c>
      <c r="S220" s="319">
        <f t="shared" si="42"/>
        <v>0</v>
      </c>
    </row>
    <row r="221" spans="1:19">
      <c r="A221" s="152"/>
      <c r="B221" s="54"/>
      <c r="C221" s="21">
        <f t="shared" si="43"/>
        <v>1</v>
      </c>
      <c r="D221" s="673"/>
      <c r="E221" s="21">
        <f t="shared" si="44"/>
        <v>1</v>
      </c>
      <c r="F221" s="673"/>
      <c r="G221" s="21">
        <f t="shared" si="45"/>
        <v>1</v>
      </c>
      <c r="H221" s="673"/>
      <c r="I221" s="21">
        <f t="shared" si="46"/>
        <v>1</v>
      </c>
      <c r="J221" s="673"/>
      <c r="K221" s="21">
        <f t="shared" si="47"/>
        <v>1</v>
      </c>
      <c r="L221" s="673"/>
      <c r="M221" s="21">
        <f t="shared" si="48"/>
        <v>1</v>
      </c>
      <c r="N221" s="673"/>
      <c r="O221" s="21">
        <f t="shared" si="49"/>
        <v>1</v>
      </c>
      <c r="P221" s="673"/>
      <c r="Q221" s="21">
        <f t="shared" si="50"/>
        <v>1</v>
      </c>
      <c r="R221" s="669">
        <f t="shared" si="51"/>
        <v>0</v>
      </c>
      <c r="S221" s="319">
        <f t="shared" si="42"/>
        <v>0</v>
      </c>
    </row>
    <row r="222" spans="1:19">
      <c r="A222" s="152"/>
      <c r="B222" s="54"/>
      <c r="C222" s="21">
        <f t="shared" si="43"/>
        <v>1</v>
      </c>
      <c r="D222" s="673"/>
      <c r="E222" s="21">
        <f t="shared" si="44"/>
        <v>1</v>
      </c>
      <c r="F222" s="673"/>
      <c r="G222" s="21">
        <f t="shared" si="45"/>
        <v>1</v>
      </c>
      <c r="H222" s="673"/>
      <c r="I222" s="21">
        <f t="shared" si="46"/>
        <v>1</v>
      </c>
      <c r="J222" s="673"/>
      <c r="K222" s="21">
        <f t="shared" si="47"/>
        <v>1</v>
      </c>
      <c r="L222" s="673"/>
      <c r="M222" s="21">
        <f t="shared" si="48"/>
        <v>1</v>
      </c>
      <c r="N222" s="673"/>
      <c r="O222" s="21">
        <f t="shared" si="49"/>
        <v>1</v>
      </c>
      <c r="P222" s="673"/>
      <c r="Q222" s="21">
        <f t="shared" si="50"/>
        <v>1</v>
      </c>
      <c r="R222" s="669">
        <f t="shared" si="51"/>
        <v>0</v>
      </c>
      <c r="S222" s="319">
        <f t="shared" si="42"/>
        <v>0</v>
      </c>
    </row>
    <row r="223" spans="1:19">
      <c r="A223" s="152"/>
      <c r="B223" s="54"/>
      <c r="C223" s="21">
        <f t="shared" si="43"/>
        <v>1</v>
      </c>
      <c r="D223" s="673"/>
      <c r="E223" s="21">
        <f t="shared" si="44"/>
        <v>1</v>
      </c>
      <c r="F223" s="673"/>
      <c r="G223" s="21">
        <f t="shared" si="45"/>
        <v>1</v>
      </c>
      <c r="H223" s="673"/>
      <c r="I223" s="21">
        <f t="shared" si="46"/>
        <v>1</v>
      </c>
      <c r="J223" s="673"/>
      <c r="K223" s="21">
        <f t="shared" si="47"/>
        <v>1</v>
      </c>
      <c r="L223" s="673"/>
      <c r="M223" s="21">
        <f t="shared" si="48"/>
        <v>1</v>
      </c>
      <c r="N223" s="673"/>
      <c r="O223" s="21">
        <f t="shared" si="49"/>
        <v>1</v>
      </c>
      <c r="P223" s="673"/>
      <c r="Q223" s="21">
        <f t="shared" si="50"/>
        <v>1</v>
      </c>
      <c r="R223" s="669">
        <f t="shared" si="51"/>
        <v>0</v>
      </c>
      <c r="S223" s="319">
        <f t="shared" ref="S223:S286" si="52">ROUND(R223*B223/10000,0)</f>
        <v>0</v>
      </c>
    </row>
    <row r="224" spans="1:19">
      <c r="A224" s="152"/>
      <c r="B224" s="54"/>
      <c r="C224" s="21">
        <f t="shared" si="43"/>
        <v>1</v>
      </c>
      <c r="D224" s="673"/>
      <c r="E224" s="21">
        <f t="shared" si="44"/>
        <v>1</v>
      </c>
      <c r="F224" s="673"/>
      <c r="G224" s="21">
        <f t="shared" si="45"/>
        <v>1</v>
      </c>
      <c r="H224" s="673"/>
      <c r="I224" s="21">
        <f t="shared" si="46"/>
        <v>1</v>
      </c>
      <c r="J224" s="673"/>
      <c r="K224" s="21">
        <f t="shared" si="47"/>
        <v>1</v>
      </c>
      <c r="L224" s="673"/>
      <c r="M224" s="21">
        <f t="shared" si="48"/>
        <v>1</v>
      </c>
      <c r="N224" s="673"/>
      <c r="O224" s="21">
        <f t="shared" si="49"/>
        <v>1</v>
      </c>
      <c r="P224" s="673"/>
      <c r="Q224" s="21">
        <f t="shared" si="50"/>
        <v>1</v>
      </c>
      <c r="R224" s="669">
        <f t="shared" si="51"/>
        <v>0</v>
      </c>
      <c r="S224" s="319">
        <f t="shared" si="52"/>
        <v>0</v>
      </c>
    </row>
    <row r="225" spans="1:19">
      <c r="A225" s="152"/>
      <c r="B225" s="54"/>
      <c r="C225" s="21">
        <f t="shared" si="43"/>
        <v>1</v>
      </c>
      <c r="D225" s="673"/>
      <c r="E225" s="21">
        <f t="shared" si="44"/>
        <v>1</v>
      </c>
      <c r="F225" s="673"/>
      <c r="G225" s="21">
        <f t="shared" si="45"/>
        <v>1</v>
      </c>
      <c r="H225" s="673"/>
      <c r="I225" s="21">
        <f t="shared" si="46"/>
        <v>1</v>
      </c>
      <c r="J225" s="673"/>
      <c r="K225" s="21">
        <f t="shared" si="47"/>
        <v>1</v>
      </c>
      <c r="L225" s="673"/>
      <c r="M225" s="21">
        <f t="shared" si="48"/>
        <v>1</v>
      </c>
      <c r="N225" s="673"/>
      <c r="O225" s="21">
        <f t="shared" si="49"/>
        <v>1</v>
      </c>
      <c r="P225" s="673"/>
      <c r="Q225" s="21">
        <f t="shared" si="50"/>
        <v>1</v>
      </c>
      <c r="R225" s="669">
        <f t="shared" si="51"/>
        <v>0</v>
      </c>
      <c r="S225" s="319">
        <f t="shared" si="52"/>
        <v>0</v>
      </c>
    </row>
    <row r="226" spans="1:19">
      <c r="A226" s="152"/>
      <c r="B226" s="54"/>
      <c r="C226" s="21">
        <f t="shared" si="43"/>
        <v>1</v>
      </c>
      <c r="D226" s="673"/>
      <c r="E226" s="21">
        <f t="shared" si="44"/>
        <v>1</v>
      </c>
      <c r="F226" s="673"/>
      <c r="G226" s="21">
        <f t="shared" si="45"/>
        <v>1</v>
      </c>
      <c r="H226" s="673"/>
      <c r="I226" s="21">
        <f t="shared" si="46"/>
        <v>1</v>
      </c>
      <c r="J226" s="673"/>
      <c r="K226" s="21">
        <f t="shared" si="47"/>
        <v>1</v>
      </c>
      <c r="L226" s="673"/>
      <c r="M226" s="21">
        <f t="shared" si="48"/>
        <v>1</v>
      </c>
      <c r="N226" s="673"/>
      <c r="O226" s="21">
        <f t="shared" si="49"/>
        <v>1</v>
      </c>
      <c r="P226" s="673"/>
      <c r="Q226" s="21">
        <f t="shared" si="50"/>
        <v>1</v>
      </c>
      <c r="R226" s="669">
        <f t="shared" si="51"/>
        <v>0</v>
      </c>
      <c r="S226" s="319">
        <f t="shared" si="52"/>
        <v>0</v>
      </c>
    </row>
    <row r="227" spans="1:19">
      <c r="A227" s="152"/>
      <c r="B227" s="54"/>
      <c r="C227" s="21">
        <f t="shared" si="43"/>
        <v>1</v>
      </c>
      <c r="D227" s="673"/>
      <c r="E227" s="21">
        <f t="shared" si="44"/>
        <v>1</v>
      </c>
      <c r="F227" s="673"/>
      <c r="G227" s="21">
        <f t="shared" si="45"/>
        <v>1</v>
      </c>
      <c r="H227" s="673"/>
      <c r="I227" s="21">
        <f t="shared" si="46"/>
        <v>1</v>
      </c>
      <c r="J227" s="673"/>
      <c r="K227" s="21">
        <f t="shared" si="47"/>
        <v>1</v>
      </c>
      <c r="L227" s="673"/>
      <c r="M227" s="21">
        <f t="shared" si="48"/>
        <v>1</v>
      </c>
      <c r="N227" s="673"/>
      <c r="O227" s="21">
        <f t="shared" si="49"/>
        <v>1</v>
      </c>
      <c r="P227" s="673"/>
      <c r="Q227" s="21">
        <f t="shared" si="50"/>
        <v>1</v>
      </c>
      <c r="R227" s="669">
        <f t="shared" si="51"/>
        <v>0</v>
      </c>
      <c r="S227" s="319">
        <f t="shared" si="52"/>
        <v>0</v>
      </c>
    </row>
    <row r="228" spans="1:19">
      <c r="A228" s="152"/>
      <c r="B228" s="54"/>
      <c r="C228" s="21">
        <f t="shared" si="43"/>
        <v>1</v>
      </c>
      <c r="D228" s="673"/>
      <c r="E228" s="21">
        <f t="shared" si="44"/>
        <v>1</v>
      </c>
      <c r="F228" s="673"/>
      <c r="G228" s="21">
        <f t="shared" si="45"/>
        <v>1</v>
      </c>
      <c r="H228" s="673"/>
      <c r="I228" s="21">
        <f t="shared" si="46"/>
        <v>1</v>
      </c>
      <c r="J228" s="673"/>
      <c r="K228" s="21">
        <f t="shared" si="47"/>
        <v>1</v>
      </c>
      <c r="L228" s="673"/>
      <c r="M228" s="21">
        <f t="shared" si="48"/>
        <v>1</v>
      </c>
      <c r="N228" s="673"/>
      <c r="O228" s="21">
        <f t="shared" si="49"/>
        <v>1</v>
      </c>
      <c r="P228" s="673"/>
      <c r="Q228" s="21">
        <f t="shared" si="50"/>
        <v>1</v>
      </c>
      <c r="R228" s="669">
        <f t="shared" si="51"/>
        <v>0</v>
      </c>
      <c r="S228" s="319">
        <f t="shared" si="52"/>
        <v>0</v>
      </c>
    </row>
    <row r="229" spans="1:19">
      <c r="A229" s="152"/>
      <c r="B229" s="54"/>
      <c r="C229" s="21">
        <f t="shared" si="43"/>
        <v>1</v>
      </c>
      <c r="D229" s="673"/>
      <c r="E229" s="21">
        <f t="shared" si="44"/>
        <v>1</v>
      </c>
      <c r="F229" s="673"/>
      <c r="G229" s="21">
        <f t="shared" si="45"/>
        <v>1</v>
      </c>
      <c r="H229" s="673"/>
      <c r="I229" s="21">
        <f t="shared" si="46"/>
        <v>1</v>
      </c>
      <c r="J229" s="673"/>
      <c r="K229" s="21">
        <f t="shared" si="47"/>
        <v>1</v>
      </c>
      <c r="L229" s="673"/>
      <c r="M229" s="21">
        <f t="shared" si="48"/>
        <v>1</v>
      </c>
      <c r="N229" s="673"/>
      <c r="O229" s="21">
        <f t="shared" si="49"/>
        <v>1</v>
      </c>
      <c r="P229" s="673"/>
      <c r="Q229" s="21">
        <f t="shared" si="50"/>
        <v>1</v>
      </c>
      <c r="R229" s="669">
        <f t="shared" si="51"/>
        <v>0</v>
      </c>
      <c r="S229" s="319">
        <f t="shared" si="52"/>
        <v>0</v>
      </c>
    </row>
    <row r="230" spans="1:19">
      <c r="A230" s="152"/>
      <c r="B230" s="54"/>
      <c r="C230" s="21">
        <f t="shared" si="43"/>
        <v>1</v>
      </c>
      <c r="D230" s="673"/>
      <c r="E230" s="21">
        <f t="shared" si="44"/>
        <v>1</v>
      </c>
      <c r="F230" s="673"/>
      <c r="G230" s="21">
        <f t="shared" si="45"/>
        <v>1</v>
      </c>
      <c r="H230" s="673"/>
      <c r="I230" s="21">
        <f t="shared" si="46"/>
        <v>1</v>
      </c>
      <c r="J230" s="673"/>
      <c r="K230" s="21">
        <f t="shared" si="47"/>
        <v>1</v>
      </c>
      <c r="L230" s="673"/>
      <c r="M230" s="21">
        <f t="shared" si="48"/>
        <v>1</v>
      </c>
      <c r="N230" s="673"/>
      <c r="O230" s="21">
        <f t="shared" si="49"/>
        <v>1</v>
      </c>
      <c r="P230" s="673"/>
      <c r="Q230" s="21">
        <f t="shared" si="50"/>
        <v>1</v>
      </c>
      <c r="R230" s="669">
        <f t="shared" si="51"/>
        <v>0</v>
      </c>
      <c r="S230" s="319">
        <f t="shared" si="52"/>
        <v>0</v>
      </c>
    </row>
    <row r="231" spans="1:19">
      <c r="A231" s="152"/>
      <c r="B231" s="54"/>
      <c r="C231" s="21">
        <f t="shared" si="43"/>
        <v>1</v>
      </c>
      <c r="D231" s="673"/>
      <c r="E231" s="21">
        <f t="shared" si="44"/>
        <v>1</v>
      </c>
      <c r="F231" s="673"/>
      <c r="G231" s="21">
        <f t="shared" si="45"/>
        <v>1</v>
      </c>
      <c r="H231" s="673"/>
      <c r="I231" s="21">
        <f t="shared" si="46"/>
        <v>1</v>
      </c>
      <c r="J231" s="673"/>
      <c r="K231" s="21">
        <f t="shared" si="47"/>
        <v>1</v>
      </c>
      <c r="L231" s="673"/>
      <c r="M231" s="21">
        <f t="shared" si="48"/>
        <v>1</v>
      </c>
      <c r="N231" s="673"/>
      <c r="O231" s="21">
        <f t="shared" si="49"/>
        <v>1</v>
      </c>
      <c r="P231" s="673"/>
      <c r="Q231" s="21">
        <f t="shared" si="50"/>
        <v>1</v>
      </c>
      <c r="R231" s="669">
        <f t="shared" si="51"/>
        <v>0</v>
      </c>
      <c r="S231" s="319">
        <f t="shared" si="52"/>
        <v>0</v>
      </c>
    </row>
    <row r="232" spans="1:19">
      <c r="A232" s="152"/>
      <c r="B232" s="54"/>
      <c r="C232" s="21">
        <f t="shared" si="43"/>
        <v>1</v>
      </c>
      <c r="D232" s="673"/>
      <c r="E232" s="21">
        <f t="shared" si="44"/>
        <v>1</v>
      </c>
      <c r="F232" s="673"/>
      <c r="G232" s="21">
        <f t="shared" si="45"/>
        <v>1</v>
      </c>
      <c r="H232" s="673"/>
      <c r="I232" s="21">
        <f t="shared" si="46"/>
        <v>1</v>
      </c>
      <c r="J232" s="673"/>
      <c r="K232" s="21">
        <f t="shared" si="47"/>
        <v>1</v>
      </c>
      <c r="L232" s="673"/>
      <c r="M232" s="21">
        <f t="shared" si="48"/>
        <v>1</v>
      </c>
      <c r="N232" s="673"/>
      <c r="O232" s="21">
        <f t="shared" si="49"/>
        <v>1</v>
      </c>
      <c r="P232" s="673"/>
      <c r="Q232" s="21">
        <f t="shared" si="50"/>
        <v>1</v>
      </c>
      <c r="R232" s="669">
        <f t="shared" si="51"/>
        <v>0</v>
      </c>
      <c r="S232" s="319">
        <f t="shared" si="52"/>
        <v>0</v>
      </c>
    </row>
    <row r="233" spans="1:19">
      <c r="A233" s="152"/>
      <c r="B233" s="54"/>
      <c r="C233" s="21">
        <f t="shared" si="43"/>
        <v>1</v>
      </c>
      <c r="D233" s="673"/>
      <c r="E233" s="21">
        <f t="shared" si="44"/>
        <v>1</v>
      </c>
      <c r="F233" s="673"/>
      <c r="G233" s="21">
        <f t="shared" si="45"/>
        <v>1</v>
      </c>
      <c r="H233" s="673"/>
      <c r="I233" s="21">
        <f t="shared" si="46"/>
        <v>1</v>
      </c>
      <c r="J233" s="673"/>
      <c r="K233" s="21">
        <f t="shared" si="47"/>
        <v>1</v>
      </c>
      <c r="L233" s="673"/>
      <c r="M233" s="21">
        <f t="shared" si="48"/>
        <v>1</v>
      </c>
      <c r="N233" s="673"/>
      <c r="O233" s="21">
        <f t="shared" si="49"/>
        <v>1</v>
      </c>
      <c r="P233" s="673"/>
      <c r="Q233" s="21">
        <f t="shared" si="50"/>
        <v>1</v>
      </c>
      <c r="R233" s="669">
        <f t="shared" si="51"/>
        <v>0</v>
      </c>
      <c r="S233" s="319">
        <f t="shared" si="52"/>
        <v>0</v>
      </c>
    </row>
    <row r="234" spans="1:19">
      <c r="A234" s="152"/>
      <c r="B234" s="54"/>
      <c r="C234" s="21">
        <f t="shared" si="43"/>
        <v>1</v>
      </c>
      <c r="D234" s="673"/>
      <c r="E234" s="21">
        <f t="shared" si="44"/>
        <v>1</v>
      </c>
      <c r="F234" s="673"/>
      <c r="G234" s="21">
        <f t="shared" si="45"/>
        <v>1</v>
      </c>
      <c r="H234" s="673"/>
      <c r="I234" s="21">
        <f t="shared" si="46"/>
        <v>1</v>
      </c>
      <c r="J234" s="673"/>
      <c r="K234" s="21">
        <f t="shared" si="47"/>
        <v>1</v>
      </c>
      <c r="L234" s="673"/>
      <c r="M234" s="21">
        <f t="shared" si="48"/>
        <v>1</v>
      </c>
      <c r="N234" s="673"/>
      <c r="O234" s="21">
        <f t="shared" si="49"/>
        <v>1</v>
      </c>
      <c r="P234" s="673"/>
      <c r="Q234" s="21">
        <f t="shared" si="50"/>
        <v>1</v>
      </c>
      <c r="R234" s="669">
        <f t="shared" si="51"/>
        <v>0</v>
      </c>
      <c r="S234" s="319">
        <f t="shared" si="52"/>
        <v>0</v>
      </c>
    </row>
    <row r="235" spans="1:19">
      <c r="A235" s="152"/>
      <c r="B235" s="54"/>
      <c r="C235" s="21">
        <f t="shared" si="43"/>
        <v>1</v>
      </c>
      <c r="D235" s="673"/>
      <c r="E235" s="21">
        <f t="shared" si="44"/>
        <v>1</v>
      </c>
      <c r="F235" s="673"/>
      <c r="G235" s="21">
        <f t="shared" si="45"/>
        <v>1</v>
      </c>
      <c r="H235" s="673"/>
      <c r="I235" s="21">
        <f t="shared" si="46"/>
        <v>1</v>
      </c>
      <c r="J235" s="673"/>
      <c r="K235" s="21">
        <f t="shared" si="47"/>
        <v>1</v>
      </c>
      <c r="L235" s="673"/>
      <c r="M235" s="21">
        <f t="shared" si="48"/>
        <v>1</v>
      </c>
      <c r="N235" s="673"/>
      <c r="O235" s="21">
        <f t="shared" si="49"/>
        <v>1</v>
      </c>
      <c r="P235" s="673"/>
      <c r="Q235" s="21">
        <f t="shared" si="50"/>
        <v>1</v>
      </c>
      <c r="R235" s="669">
        <f t="shared" si="51"/>
        <v>0</v>
      </c>
      <c r="S235" s="319">
        <f t="shared" si="52"/>
        <v>0</v>
      </c>
    </row>
    <row r="236" spans="1:19">
      <c r="A236" s="152"/>
      <c r="B236" s="54"/>
      <c r="C236" s="21">
        <f t="shared" si="43"/>
        <v>1</v>
      </c>
      <c r="D236" s="673"/>
      <c r="E236" s="21">
        <f t="shared" si="44"/>
        <v>1</v>
      </c>
      <c r="F236" s="673"/>
      <c r="G236" s="21">
        <f t="shared" si="45"/>
        <v>1</v>
      </c>
      <c r="H236" s="673"/>
      <c r="I236" s="21">
        <f t="shared" si="46"/>
        <v>1</v>
      </c>
      <c r="J236" s="673"/>
      <c r="K236" s="21">
        <f t="shared" si="47"/>
        <v>1</v>
      </c>
      <c r="L236" s="673"/>
      <c r="M236" s="21">
        <f t="shared" si="48"/>
        <v>1</v>
      </c>
      <c r="N236" s="673"/>
      <c r="O236" s="21">
        <f t="shared" si="49"/>
        <v>1</v>
      </c>
      <c r="P236" s="673"/>
      <c r="Q236" s="21">
        <f t="shared" si="50"/>
        <v>1</v>
      </c>
      <c r="R236" s="669">
        <f t="shared" si="51"/>
        <v>0</v>
      </c>
      <c r="S236" s="319">
        <f t="shared" si="52"/>
        <v>0</v>
      </c>
    </row>
    <row r="237" spans="1:19">
      <c r="A237" s="152"/>
      <c r="B237" s="54"/>
      <c r="C237" s="21">
        <f t="shared" si="43"/>
        <v>1</v>
      </c>
      <c r="D237" s="673"/>
      <c r="E237" s="21">
        <f t="shared" si="44"/>
        <v>1</v>
      </c>
      <c r="F237" s="673"/>
      <c r="G237" s="21">
        <f t="shared" si="45"/>
        <v>1</v>
      </c>
      <c r="H237" s="673"/>
      <c r="I237" s="21">
        <f t="shared" si="46"/>
        <v>1</v>
      </c>
      <c r="J237" s="673"/>
      <c r="K237" s="21">
        <f t="shared" si="47"/>
        <v>1</v>
      </c>
      <c r="L237" s="673"/>
      <c r="M237" s="21">
        <f t="shared" si="48"/>
        <v>1</v>
      </c>
      <c r="N237" s="673"/>
      <c r="O237" s="21">
        <f t="shared" si="49"/>
        <v>1</v>
      </c>
      <c r="P237" s="673"/>
      <c r="Q237" s="21">
        <f t="shared" si="50"/>
        <v>1</v>
      </c>
      <c r="R237" s="669">
        <f t="shared" si="51"/>
        <v>0</v>
      </c>
      <c r="S237" s="319">
        <f t="shared" si="52"/>
        <v>0</v>
      </c>
    </row>
    <row r="238" spans="1:19">
      <c r="A238" s="152"/>
      <c r="B238" s="54"/>
      <c r="C238" s="21">
        <f t="shared" si="43"/>
        <v>1</v>
      </c>
      <c r="D238" s="673"/>
      <c r="E238" s="21">
        <f t="shared" si="44"/>
        <v>1</v>
      </c>
      <c r="F238" s="673"/>
      <c r="G238" s="21">
        <f t="shared" si="45"/>
        <v>1</v>
      </c>
      <c r="H238" s="673"/>
      <c r="I238" s="21">
        <f t="shared" si="46"/>
        <v>1</v>
      </c>
      <c r="J238" s="673"/>
      <c r="K238" s="21">
        <f t="shared" si="47"/>
        <v>1</v>
      </c>
      <c r="L238" s="673"/>
      <c r="M238" s="21">
        <f t="shared" si="48"/>
        <v>1</v>
      </c>
      <c r="N238" s="673"/>
      <c r="O238" s="21">
        <f t="shared" si="49"/>
        <v>1</v>
      </c>
      <c r="P238" s="673"/>
      <c r="Q238" s="21">
        <f t="shared" si="50"/>
        <v>1</v>
      </c>
      <c r="R238" s="669">
        <f t="shared" si="51"/>
        <v>0</v>
      </c>
      <c r="S238" s="319">
        <f t="shared" si="52"/>
        <v>0</v>
      </c>
    </row>
    <row r="239" spans="1:19">
      <c r="A239" s="152"/>
      <c r="B239" s="54"/>
      <c r="C239" s="21">
        <f t="shared" si="43"/>
        <v>1</v>
      </c>
      <c r="D239" s="673"/>
      <c r="E239" s="21">
        <f t="shared" si="44"/>
        <v>1</v>
      </c>
      <c r="F239" s="673"/>
      <c r="G239" s="21">
        <f t="shared" si="45"/>
        <v>1</v>
      </c>
      <c r="H239" s="673"/>
      <c r="I239" s="21">
        <f t="shared" si="46"/>
        <v>1</v>
      </c>
      <c r="J239" s="673"/>
      <c r="K239" s="21">
        <f t="shared" si="47"/>
        <v>1</v>
      </c>
      <c r="L239" s="673"/>
      <c r="M239" s="21">
        <f t="shared" si="48"/>
        <v>1</v>
      </c>
      <c r="N239" s="673"/>
      <c r="O239" s="21">
        <f t="shared" si="49"/>
        <v>1</v>
      </c>
      <c r="P239" s="673"/>
      <c r="Q239" s="21">
        <f t="shared" si="50"/>
        <v>1</v>
      </c>
      <c r="R239" s="669">
        <f t="shared" si="51"/>
        <v>0</v>
      </c>
      <c r="S239" s="319">
        <f t="shared" si="52"/>
        <v>0</v>
      </c>
    </row>
    <row r="240" spans="1:19">
      <c r="A240" s="152"/>
      <c r="B240" s="54"/>
      <c r="C240" s="21">
        <f t="shared" si="43"/>
        <v>1</v>
      </c>
      <c r="D240" s="673"/>
      <c r="E240" s="21">
        <f t="shared" si="44"/>
        <v>1</v>
      </c>
      <c r="F240" s="673"/>
      <c r="G240" s="21">
        <f t="shared" si="45"/>
        <v>1</v>
      </c>
      <c r="H240" s="673"/>
      <c r="I240" s="21">
        <f t="shared" si="46"/>
        <v>1</v>
      </c>
      <c r="J240" s="673"/>
      <c r="K240" s="21">
        <f t="shared" si="47"/>
        <v>1</v>
      </c>
      <c r="L240" s="673"/>
      <c r="M240" s="21">
        <f t="shared" si="48"/>
        <v>1</v>
      </c>
      <c r="N240" s="673"/>
      <c r="O240" s="21">
        <f t="shared" si="49"/>
        <v>1</v>
      </c>
      <c r="P240" s="673"/>
      <c r="Q240" s="21">
        <f t="shared" si="50"/>
        <v>1</v>
      </c>
      <c r="R240" s="669">
        <f t="shared" si="51"/>
        <v>0</v>
      </c>
      <c r="S240" s="319">
        <f t="shared" si="52"/>
        <v>0</v>
      </c>
    </row>
    <row r="241" spans="1:19">
      <c r="A241" s="152"/>
      <c r="B241" s="54"/>
      <c r="C241" s="21">
        <f t="shared" si="43"/>
        <v>1</v>
      </c>
      <c r="D241" s="673"/>
      <c r="E241" s="21">
        <f t="shared" si="44"/>
        <v>1</v>
      </c>
      <c r="F241" s="673"/>
      <c r="G241" s="21">
        <f t="shared" si="45"/>
        <v>1</v>
      </c>
      <c r="H241" s="673"/>
      <c r="I241" s="21">
        <f t="shared" si="46"/>
        <v>1</v>
      </c>
      <c r="J241" s="673"/>
      <c r="K241" s="21">
        <f t="shared" si="47"/>
        <v>1</v>
      </c>
      <c r="L241" s="673"/>
      <c r="M241" s="21">
        <f t="shared" si="48"/>
        <v>1</v>
      </c>
      <c r="N241" s="673"/>
      <c r="O241" s="21">
        <f t="shared" si="49"/>
        <v>1</v>
      </c>
      <c r="P241" s="673"/>
      <c r="Q241" s="21">
        <f t="shared" si="50"/>
        <v>1</v>
      </c>
      <c r="R241" s="669">
        <f t="shared" si="51"/>
        <v>0</v>
      </c>
      <c r="S241" s="319">
        <f t="shared" si="52"/>
        <v>0</v>
      </c>
    </row>
    <row r="242" spans="1:19">
      <c r="A242" s="152"/>
      <c r="B242" s="54"/>
      <c r="C242" s="21">
        <f t="shared" si="43"/>
        <v>1</v>
      </c>
      <c r="D242" s="673"/>
      <c r="E242" s="21">
        <f t="shared" si="44"/>
        <v>1</v>
      </c>
      <c r="F242" s="673"/>
      <c r="G242" s="21">
        <f t="shared" si="45"/>
        <v>1</v>
      </c>
      <c r="H242" s="673"/>
      <c r="I242" s="21">
        <f t="shared" si="46"/>
        <v>1</v>
      </c>
      <c r="J242" s="673"/>
      <c r="K242" s="21">
        <f t="shared" si="47"/>
        <v>1</v>
      </c>
      <c r="L242" s="673"/>
      <c r="M242" s="21">
        <f t="shared" si="48"/>
        <v>1</v>
      </c>
      <c r="N242" s="673"/>
      <c r="O242" s="21">
        <f t="shared" si="49"/>
        <v>1</v>
      </c>
      <c r="P242" s="673"/>
      <c r="Q242" s="21">
        <f t="shared" si="50"/>
        <v>1</v>
      </c>
      <c r="R242" s="669">
        <f t="shared" si="51"/>
        <v>0</v>
      </c>
      <c r="S242" s="319">
        <f t="shared" si="52"/>
        <v>0</v>
      </c>
    </row>
    <row r="243" spans="1:19">
      <c r="A243" s="152"/>
      <c r="B243" s="54"/>
      <c r="C243" s="21">
        <f t="shared" si="43"/>
        <v>1</v>
      </c>
      <c r="D243" s="673"/>
      <c r="E243" s="21">
        <f t="shared" si="44"/>
        <v>1</v>
      </c>
      <c r="F243" s="673"/>
      <c r="G243" s="21">
        <f t="shared" si="45"/>
        <v>1</v>
      </c>
      <c r="H243" s="673"/>
      <c r="I243" s="21">
        <f t="shared" si="46"/>
        <v>1</v>
      </c>
      <c r="J243" s="673"/>
      <c r="K243" s="21">
        <f t="shared" si="47"/>
        <v>1</v>
      </c>
      <c r="L243" s="673"/>
      <c r="M243" s="21">
        <f t="shared" si="48"/>
        <v>1</v>
      </c>
      <c r="N243" s="673"/>
      <c r="O243" s="21">
        <f t="shared" si="49"/>
        <v>1</v>
      </c>
      <c r="P243" s="673"/>
      <c r="Q243" s="21">
        <f t="shared" si="50"/>
        <v>1</v>
      </c>
      <c r="R243" s="669">
        <f t="shared" si="51"/>
        <v>0</v>
      </c>
      <c r="S243" s="319">
        <f t="shared" si="52"/>
        <v>0</v>
      </c>
    </row>
    <row r="244" spans="1:19">
      <c r="A244" s="152"/>
      <c r="B244" s="54"/>
      <c r="C244" s="21">
        <f t="shared" si="43"/>
        <v>1</v>
      </c>
      <c r="D244" s="673"/>
      <c r="E244" s="21">
        <f t="shared" si="44"/>
        <v>1</v>
      </c>
      <c r="F244" s="673"/>
      <c r="G244" s="21">
        <f t="shared" si="45"/>
        <v>1</v>
      </c>
      <c r="H244" s="673"/>
      <c r="I244" s="21">
        <f t="shared" si="46"/>
        <v>1</v>
      </c>
      <c r="J244" s="673"/>
      <c r="K244" s="21">
        <f t="shared" si="47"/>
        <v>1</v>
      </c>
      <c r="L244" s="673"/>
      <c r="M244" s="21">
        <f t="shared" si="48"/>
        <v>1</v>
      </c>
      <c r="N244" s="673"/>
      <c r="O244" s="21">
        <f t="shared" si="49"/>
        <v>1</v>
      </c>
      <c r="P244" s="673"/>
      <c r="Q244" s="21">
        <f t="shared" si="50"/>
        <v>1</v>
      </c>
      <c r="R244" s="669">
        <f t="shared" si="51"/>
        <v>0</v>
      </c>
      <c r="S244" s="319">
        <f t="shared" si="52"/>
        <v>0</v>
      </c>
    </row>
    <row r="245" spans="1:19">
      <c r="A245" s="152"/>
      <c r="B245" s="54"/>
      <c r="C245" s="21">
        <f t="shared" si="43"/>
        <v>1</v>
      </c>
      <c r="D245" s="673"/>
      <c r="E245" s="21">
        <f t="shared" si="44"/>
        <v>1</v>
      </c>
      <c r="F245" s="673"/>
      <c r="G245" s="21">
        <f t="shared" si="45"/>
        <v>1</v>
      </c>
      <c r="H245" s="673"/>
      <c r="I245" s="21">
        <f t="shared" si="46"/>
        <v>1</v>
      </c>
      <c r="J245" s="673"/>
      <c r="K245" s="21">
        <f t="shared" si="47"/>
        <v>1</v>
      </c>
      <c r="L245" s="673"/>
      <c r="M245" s="21">
        <f t="shared" si="48"/>
        <v>1</v>
      </c>
      <c r="N245" s="673"/>
      <c r="O245" s="21">
        <f t="shared" si="49"/>
        <v>1</v>
      </c>
      <c r="P245" s="673"/>
      <c r="Q245" s="21">
        <f t="shared" si="50"/>
        <v>1</v>
      </c>
      <c r="R245" s="669">
        <f t="shared" si="51"/>
        <v>0</v>
      </c>
      <c r="S245" s="319">
        <f t="shared" si="52"/>
        <v>0</v>
      </c>
    </row>
    <row r="246" spans="1:19">
      <c r="A246" s="152"/>
      <c r="B246" s="54"/>
      <c r="C246" s="21">
        <f t="shared" si="43"/>
        <v>1</v>
      </c>
      <c r="D246" s="673"/>
      <c r="E246" s="21">
        <f t="shared" si="44"/>
        <v>1</v>
      </c>
      <c r="F246" s="673"/>
      <c r="G246" s="21">
        <f t="shared" si="45"/>
        <v>1</v>
      </c>
      <c r="H246" s="673"/>
      <c r="I246" s="21">
        <f t="shared" si="46"/>
        <v>1</v>
      </c>
      <c r="J246" s="673"/>
      <c r="K246" s="21">
        <f t="shared" si="47"/>
        <v>1</v>
      </c>
      <c r="L246" s="673"/>
      <c r="M246" s="21">
        <f t="shared" si="48"/>
        <v>1</v>
      </c>
      <c r="N246" s="673"/>
      <c r="O246" s="21">
        <f t="shared" si="49"/>
        <v>1</v>
      </c>
      <c r="P246" s="673"/>
      <c r="Q246" s="21">
        <f t="shared" si="50"/>
        <v>1</v>
      </c>
      <c r="R246" s="669">
        <f t="shared" si="51"/>
        <v>0</v>
      </c>
      <c r="S246" s="319">
        <f t="shared" si="52"/>
        <v>0</v>
      </c>
    </row>
    <row r="247" spans="1:19">
      <c r="A247" s="152"/>
      <c r="B247" s="54"/>
      <c r="C247" s="21">
        <f t="shared" si="43"/>
        <v>1</v>
      </c>
      <c r="D247" s="673"/>
      <c r="E247" s="21">
        <f t="shared" si="44"/>
        <v>1</v>
      </c>
      <c r="F247" s="673"/>
      <c r="G247" s="21">
        <f t="shared" si="45"/>
        <v>1</v>
      </c>
      <c r="H247" s="673"/>
      <c r="I247" s="21">
        <f t="shared" si="46"/>
        <v>1</v>
      </c>
      <c r="J247" s="673"/>
      <c r="K247" s="21">
        <f t="shared" si="47"/>
        <v>1</v>
      </c>
      <c r="L247" s="673"/>
      <c r="M247" s="21">
        <f t="shared" si="48"/>
        <v>1</v>
      </c>
      <c r="N247" s="673"/>
      <c r="O247" s="21">
        <f t="shared" si="49"/>
        <v>1</v>
      </c>
      <c r="P247" s="673"/>
      <c r="Q247" s="21">
        <f t="shared" si="50"/>
        <v>1</v>
      </c>
      <c r="R247" s="669">
        <f t="shared" si="51"/>
        <v>0</v>
      </c>
      <c r="S247" s="319">
        <f t="shared" si="52"/>
        <v>0</v>
      </c>
    </row>
    <row r="248" spans="1:19">
      <c r="A248" s="152"/>
      <c r="B248" s="54"/>
      <c r="C248" s="21">
        <f t="shared" si="43"/>
        <v>1</v>
      </c>
      <c r="D248" s="673"/>
      <c r="E248" s="21">
        <f t="shared" si="44"/>
        <v>1</v>
      </c>
      <c r="F248" s="673"/>
      <c r="G248" s="21">
        <f t="shared" si="45"/>
        <v>1</v>
      </c>
      <c r="H248" s="673"/>
      <c r="I248" s="21">
        <f t="shared" si="46"/>
        <v>1</v>
      </c>
      <c r="J248" s="673"/>
      <c r="K248" s="21">
        <f t="shared" si="47"/>
        <v>1</v>
      </c>
      <c r="L248" s="673"/>
      <c r="M248" s="21">
        <f t="shared" si="48"/>
        <v>1</v>
      </c>
      <c r="N248" s="673"/>
      <c r="O248" s="21">
        <f t="shared" si="49"/>
        <v>1</v>
      </c>
      <c r="P248" s="673"/>
      <c r="Q248" s="21">
        <f t="shared" si="50"/>
        <v>1</v>
      </c>
      <c r="R248" s="669">
        <f t="shared" si="51"/>
        <v>0</v>
      </c>
      <c r="S248" s="319">
        <f t="shared" si="52"/>
        <v>0</v>
      </c>
    </row>
    <row r="249" spans="1:19">
      <c r="A249" s="152"/>
      <c r="B249" s="54"/>
      <c r="C249" s="21">
        <f t="shared" si="43"/>
        <v>1</v>
      </c>
      <c r="D249" s="673"/>
      <c r="E249" s="21">
        <f t="shared" si="44"/>
        <v>1</v>
      </c>
      <c r="F249" s="673"/>
      <c r="G249" s="21">
        <f t="shared" si="45"/>
        <v>1</v>
      </c>
      <c r="H249" s="673"/>
      <c r="I249" s="21">
        <f t="shared" si="46"/>
        <v>1</v>
      </c>
      <c r="J249" s="673"/>
      <c r="K249" s="21">
        <f t="shared" si="47"/>
        <v>1</v>
      </c>
      <c r="L249" s="673"/>
      <c r="M249" s="21">
        <f t="shared" si="48"/>
        <v>1</v>
      </c>
      <c r="N249" s="673"/>
      <c r="O249" s="21">
        <f t="shared" si="49"/>
        <v>1</v>
      </c>
      <c r="P249" s="673"/>
      <c r="Q249" s="21">
        <f t="shared" si="50"/>
        <v>1</v>
      </c>
      <c r="R249" s="669">
        <f t="shared" si="51"/>
        <v>0</v>
      </c>
      <c r="S249" s="319">
        <f t="shared" si="52"/>
        <v>0</v>
      </c>
    </row>
    <row r="250" spans="1:19">
      <c r="A250" s="152"/>
      <c r="B250" s="54"/>
      <c r="C250" s="21">
        <f t="shared" si="43"/>
        <v>1</v>
      </c>
      <c r="D250" s="673"/>
      <c r="E250" s="21">
        <f t="shared" si="44"/>
        <v>1</v>
      </c>
      <c r="F250" s="673"/>
      <c r="G250" s="21">
        <f t="shared" si="45"/>
        <v>1</v>
      </c>
      <c r="H250" s="673"/>
      <c r="I250" s="21">
        <f t="shared" si="46"/>
        <v>1</v>
      </c>
      <c r="J250" s="673"/>
      <c r="K250" s="21">
        <f t="shared" si="47"/>
        <v>1</v>
      </c>
      <c r="L250" s="673"/>
      <c r="M250" s="21">
        <f t="shared" si="48"/>
        <v>1</v>
      </c>
      <c r="N250" s="673"/>
      <c r="O250" s="21">
        <f t="shared" si="49"/>
        <v>1</v>
      </c>
      <c r="P250" s="673"/>
      <c r="Q250" s="21">
        <f t="shared" si="50"/>
        <v>1</v>
      </c>
      <c r="R250" s="669">
        <f t="shared" si="51"/>
        <v>0</v>
      </c>
      <c r="S250" s="319">
        <f t="shared" si="52"/>
        <v>0</v>
      </c>
    </row>
    <row r="251" spans="1:19">
      <c r="A251" s="152"/>
      <c r="B251" s="54"/>
      <c r="C251" s="21">
        <f t="shared" si="43"/>
        <v>1</v>
      </c>
      <c r="D251" s="673"/>
      <c r="E251" s="21">
        <f t="shared" si="44"/>
        <v>1</v>
      </c>
      <c r="F251" s="673"/>
      <c r="G251" s="21">
        <f t="shared" si="45"/>
        <v>1</v>
      </c>
      <c r="H251" s="673"/>
      <c r="I251" s="21">
        <f t="shared" si="46"/>
        <v>1</v>
      </c>
      <c r="J251" s="673"/>
      <c r="K251" s="21">
        <f t="shared" si="47"/>
        <v>1</v>
      </c>
      <c r="L251" s="673"/>
      <c r="M251" s="21">
        <f t="shared" si="48"/>
        <v>1</v>
      </c>
      <c r="N251" s="673"/>
      <c r="O251" s="21">
        <f t="shared" si="49"/>
        <v>1</v>
      </c>
      <c r="P251" s="673"/>
      <c r="Q251" s="21">
        <f t="shared" si="50"/>
        <v>1</v>
      </c>
      <c r="R251" s="669">
        <f t="shared" si="51"/>
        <v>0</v>
      </c>
      <c r="S251" s="319">
        <f t="shared" si="52"/>
        <v>0</v>
      </c>
    </row>
    <row r="252" spans="1:19">
      <c r="A252" s="152"/>
      <c r="B252" s="54"/>
      <c r="C252" s="21">
        <f t="shared" si="43"/>
        <v>1</v>
      </c>
      <c r="D252" s="673"/>
      <c r="E252" s="21">
        <f t="shared" si="44"/>
        <v>1</v>
      </c>
      <c r="F252" s="673"/>
      <c r="G252" s="21">
        <f t="shared" si="45"/>
        <v>1</v>
      </c>
      <c r="H252" s="673"/>
      <c r="I252" s="21">
        <f t="shared" si="46"/>
        <v>1</v>
      </c>
      <c r="J252" s="673"/>
      <c r="K252" s="21">
        <f t="shared" si="47"/>
        <v>1</v>
      </c>
      <c r="L252" s="673"/>
      <c r="M252" s="21">
        <f t="shared" si="48"/>
        <v>1</v>
      </c>
      <c r="N252" s="673"/>
      <c r="O252" s="21">
        <f t="shared" si="49"/>
        <v>1</v>
      </c>
      <c r="P252" s="673"/>
      <c r="Q252" s="21">
        <f t="shared" si="50"/>
        <v>1</v>
      </c>
      <c r="R252" s="669">
        <f t="shared" si="51"/>
        <v>0</v>
      </c>
      <c r="S252" s="319">
        <f t="shared" si="52"/>
        <v>0</v>
      </c>
    </row>
    <row r="253" spans="1:19">
      <c r="A253" s="152"/>
      <c r="B253" s="54"/>
      <c r="C253" s="21">
        <f t="shared" si="43"/>
        <v>1</v>
      </c>
      <c r="D253" s="673"/>
      <c r="E253" s="21">
        <f t="shared" si="44"/>
        <v>1</v>
      </c>
      <c r="F253" s="673"/>
      <c r="G253" s="21">
        <f t="shared" si="45"/>
        <v>1</v>
      </c>
      <c r="H253" s="673"/>
      <c r="I253" s="21">
        <f t="shared" si="46"/>
        <v>1</v>
      </c>
      <c r="J253" s="673"/>
      <c r="K253" s="21">
        <f t="shared" si="47"/>
        <v>1</v>
      </c>
      <c r="L253" s="673"/>
      <c r="M253" s="21">
        <f t="shared" si="48"/>
        <v>1</v>
      </c>
      <c r="N253" s="673"/>
      <c r="O253" s="21">
        <f t="shared" si="49"/>
        <v>1</v>
      </c>
      <c r="P253" s="673"/>
      <c r="Q253" s="21">
        <f t="shared" si="50"/>
        <v>1</v>
      </c>
      <c r="R253" s="669">
        <f t="shared" si="51"/>
        <v>0</v>
      </c>
      <c r="S253" s="319">
        <f t="shared" si="52"/>
        <v>0</v>
      </c>
    </row>
    <row r="254" spans="1:19">
      <c r="A254" s="152"/>
      <c r="B254" s="54"/>
      <c r="C254" s="21">
        <f t="shared" si="43"/>
        <v>1</v>
      </c>
      <c r="D254" s="673"/>
      <c r="E254" s="21">
        <f t="shared" si="44"/>
        <v>1</v>
      </c>
      <c r="F254" s="673"/>
      <c r="G254" s="21">
        <f t="shared" si="45"/>
        <v>1</v>
      </c>
      <c r="H254" s="673"/>
      <c r="I254" s="21">
        <f t="shared" si="46"/>
        <v>1</v>
      </c>
      <c r="J254" s="673"/>
      <c r="K254" s="21">
        <f t="shared" si="47"/>
        <v>1</v>
      </c>
      <c r="L254" s="673"/>
      <c r="M254" s="21">
        <f t="shared" si="48"/>
        <v>1</v>
      </c>
      <c r="N254" s="673"/>
      <c r="O254" s="21">
        <f t="shared" si="49"/>
        <v>1</v>
      </c>
      <c r="P254" s="673"/>
      <c r="Q254" s="21">
        <f t="shared" si="50"/>
        <v>1</v>
      </c>
      <c r="R254" s="669">
        <f t="shared" si="51"/>
        <v>0</v>
      </c>
      <c r="S254" s="319">
        <f t="shared" si="52"/>
        <v>0</v>
      </c>
    </row>
    <row r="255" spans="1:19">
      <c r="A255" s="152"/>
      <c r="B255" s="54"/>
      <c r="C255" s="21">
        <f t="shared" si="43"/>
        <v>1</v>
      </c>
      <c r="D255" s="673"/>
      <c r="E255" s="21">
        <f t="shared" si="44"/>
        <v>1</v>
      </c>
      <c r="F255" s="673"/>
      <c r="G255" s="21">
        <f t="shared" si="45"/>
        <v>1</v>
      </c>
      <c r="H255" s="673"/>
      <c r="I255" s="21">
        <f t="shared" si="46"/>
        <v>1</v>
      </c>
      <c r="J255" s="673"/>
      <c r="K255" s="21">
        <f t="shared" si="47"/>
        <v>1</v>
      </c>
      <c r="L255" s="673"/>
      <c r="M255" s="21">
        <f t="shared" si="48"/>
        <v>1</v>
      </c>
      <c r="N255" s="673"/>
      <c r="O255" s="21">
        <f t="shared" si="49"/>
        <v>1</v>
      </c>
      <c r="P255" s="673"/>
      <c r="Q255" s="21">
        <f t="shared" si="50"/>
        <v>1</v>
      </c>
      <c r="R255" s="669">
        <f t="shared" si="51"/>
        <v>0</v>
      </c>
      <c r="S255" s="319">
        <f t="shared" si="52"/>
        <v>0</v>
      </c>
    </row>
    <row r="256" spans="1:19">
      <c r="A256" s="152"/>
      <c r="B256" s="54"/>
      <c r="C256" s="21">
        <f t="shared" si="43"/>
        <v>1</v>
      </c>
      <c r="D256" s="673"/>
      <c r="E256" s="21">
        <f t="shared" si="44"/>
        <v>1</v>
      </c>
      <c r="F256" s="673"/>
      <c r="G256" s="21">
        <f t="shared" si="45"/>
        <v>1</v>
      </c>
      <c r="H256" s="673"/>
      <c r="I256" s="21">
        <f t="shared" si="46"/>
        <v>1</v>
      </c>
      <c r="J256" s="673"/>
      <c r="K256" s="21">
        <f t="shared" si="47"/>
        <v>1</v>
      </c>
      <c r="L256" s="673"/>
      <c r="M256" s="21">
        <f t="shared" si="48"/>
        <v>1</v>
      </c>
      <c r="N256" s="673"/>
      <c r="O256" s="21">
        <f t="shared" si="49"/>
        <v>1</v>
      </c>
      <c r="P256" s="673"/>
      <c r="Q256" s="21">
        <f t="shared" si="50"/>
        <v>1</v>
      </c>
      <c r="R256" s="669">
        <f t="shared" si="51"/>
        <v>0</v>
      </c>
      <c r="S256" s="319">
        <f t="shared" si="52"/>
        <v>0</v>
      </c>
    </row>
    <row r="257" spans="1:19">
      <c r="A257" s="152"/>
      <c r="B257" s="54"/>
      <c r="C257" s="21">
        <f t="shared" si="43"/>
        <v>1</v>
      </c>
      <c r="D257" s="673"/>
      <c r="E257" s="21">
        <f t="shared" si="44"/>
        <v>1</v>
      </c>
      <c r="F257" s="673"/>
      <c r="G257" s="21">
        <f t="shared" si="45"/>
        <v>1</v>
      </c>
      <c r="H257" s="673"/>
      <c r="I257" s="21">
        <f t="shared" si="46"/>
        <v>1</v>
      </c>
      <c r="J257" s="673"/>
      <c r="K257" s="21">
        <f t="shared" si="47"/>
        <v>1</v>
      </c>
      <c r="L257" s="673"/>
      <c r="M257" s="21">
        <f t="shared" si="48"/>
        <v>1</v>
      </c>
      <c r="N257" s="673"/>
      <c r="O257" s="21">
        <f t="shared" si="49"/>
        <v>1</v>
      </c>
      <c r="P257" s="673"/>
      <c r="Q257" s="21">
        <f t="shared" si="50"/>
        <v>1</v>
      </c>
      <c r="R257" s="669">
        <f t="shared" si="51"/>
        <v>0</v>
      </c>
      <c r="S257" s="319">
        <f t="shared" si="52"/>
        <v>0</v>
      </c>
    </row>
    <row r="258" spans="1:19">
      <c r="A258" s="152"/>
      <c r="B258" s="54"/>
      <c r="C258" s="21">
        <f t="shared" si="43"/>
        <v>1</v>
      </c>
      <c r="D258" s="673"/>
      <c r="E258" s="21">
        <f t="shared" si="44"/>
        <v>1</v>
      </c>
      <c r="F258" s="673"/>
      <c r="G258" s="21">
        <f t="shared" si="45"/>
        <v>1</v>
      </c>
      <c r="H258" s="673"/>
      <c r="I258" s="21">
        <f t="shared" si="46"/>
        <v>1</v>
      </c>
      <c r="J258" s="673"/>
      <c r="K258" s="21">
        <f t="shared" si="47"/>
        <v>1</v>
      </c>
      <c r="L258" s="673"/>
      <c r="M258" s="21">
        <f t="shared" si="48"/>
        <v>1</v>
      </c>
      <c r="N258" s="673"/>
      <c r="O258" s="21">
        <f t="shared" si="49"/>
        <v>1</v>
      </c>
      <c r="P258" s="673"/>
      <c r="Q258" s="21">
        <f t="shared" si="50"/>
        <v>1</v>
      </c>
      <c r="R258" s="669">
        <f t="shared" si="51"/>
        <v>0</v>
      </c>
      <c r="S258" s="319">
        <f t="shared" si="52"/>
        <v>0</v>
      </c>
    </row>
    <row r="259" spans="1:19">
      <c r="A259" s="152"/>
      <c r="B259" s="54"/>
      <c r="C259" s="21">
        <f t="shared" si="43"/>
        <v>1</v>
      </c>
      <c r="D259" s="673"/>
      <c r="E259" s="21">
        <f t="shared" si="44"/>
        <v>1</v>
      </c>
      <c r="F259" s="673"/>
      <c r="G259" s="21">
        <f t="shared" si="45"/>
        <v>1</v>
      </c>
      <c r="H259" s="673"/>
      <c r="I259" s="21">
        <f t="shared" si="46"/>
        <v>1</v>
      </c>
      <c r="J259" s="673"/>
      <c r="K259" s="21">
        <f t="shared" si="47"/>
        <v>1</v>
      </c>
      <c r="L259" s="673"/>
      <c r="M259" s="21">
        <f t="shared" si="48"/>
        <v>1</v>
      </c>
      <c r="N259" s="673"/>
      <c r="O259" s="21">
        <f t="shared" si="49"/>
        <v>1</v>
      </c>
      <c r="P259" s="673"/>
      <c r="Q259" s="21">
        <f t="shared" si="50"/>
        <v>1</v>
      </c>
      <c r="R259" s="669">
        <f t="shared" si="51"/>
        <v>0</v>
      </c>
      <c r="S259" s="319">
        <f t="shared" si="52"/>
        <v>0</v>
      </c>
    </row>
    <row r="260" spans="1:19">
      <c r="A260" s="152"/>
      <c r="B260" s="54"/>
      <c r="C260" s="21">
        <f t="shared" si="43"/>
        <v>1</v>
      </c>
      <c r="D260" s="673"/>
      <c r="E260" s="21">
        <f t="shared" si="44"/>
        <v>1</v>
      </c>
      <c r="F260" s="673"/>
      <c r="G260" s="21">
        <f t="shared" si="45"/>
        <v>1</v>
      </c>
      <c r="H260" s="673"/>
      <c r="I260" s="21">
        <f t="shared" si="46"/>
        <v>1</v>
      </c>
      <c r="J260" s="673"/>
      <c r="K260" s="21">
        <f t="shared" si="47"/>
        <v>1</v>
      </c>
      <c r="L260" s="673"/>
      <c r="M260" s="21">
        <f t="shared" si="48"/>
        <v>1</v>
      </c>
      <c r="N260" s="673"/>
      <c r="O260" s="21">
        <f t="shared" si="49"/>
        <v>1</v>
      </c>
      <c r="P260" s="673"/>
      <c r="Q260" s="21">
        <f t="shared" si="50"/>
        <v>1</v>
      </c>
      <c r="R260" s="669">
        <f t="shared" si="51"/>
        <v>0</v>
      </c>
      <c r="S260" s="319">
        <f t="shared" si="52"/>
        <v>0</v>
      </c>
    </row>
    <row r="261" spans="1:19">
      <c r="A261" s="152"/>
      <c r="B261" s="54"/>
      <c r="C261" s="21">
        <f t="shared" si="43"/>
        <v>1</v>
      </c>
      <c r="D261" s="673"/>
      <c r="E261" s="21">
        <f t="shared" si="44"/>
        <v>1</v>
      </c>
      <c r="F261" s="673"/>
      <c r="G261" s="21">
        <f t="shared" si="45"/>
        <v>1</v>
      </c>
      <c r="H261" s="673"/>
      <c r="I261" s="21">
        <f t="shared" si="46"/>
        <v>1</v>
      </c>
      <c r="J261" s="673"/>
      <c r="K261" s="21">
        <f t="shared" si="47"/>
        <v>1</v>
      </c>
      <c r="L261" s="673"/>
      <c r="M261" s="21">
        <f t="shared" si="48"/>
        <v>1</v>
      </c>
      <c r="N261" s="673"/>
      <c r="O261" s="21">
        <f t="shared" si="49"/>
        <v>1</v>
      </c>
      <c r="P261" s="673"/>
      <c r="Q261" s="21">
        <f t="shared" si="50"/>
        <v>1</v>
      </c>
      <c r="R261" s="669">
        <f t="shared" si="51"/>
        <v>0</v>
      </c>
      <c r="S261" s="319">
        <f t="shared" si="52"/>
        <v>0</v>
      </c>
    </row>
    <row r="262" spans="1:19">
      <c r="A262" s="152"/>
      <c r="B262" s="54"/>
      <c r="C262" s="21">
        <f t="shared" si="43"/>
        <v>1</v>
      </c>
      <c r="D262" s="673"/>
      <c r="E262" s="21">
        <f t="shared" si="44"/>
        <v>1</v>
      </c>
      <c r="F262" s="673"/>
      <c r="G262" s="21">
        <f t="shared" si="45"/>
        <v>1</v>
      </c>
      <c r="H262" s="673"/>
      <c r="I262" s="21">
        <f t="shared" si="46"/>
        <v>1</v>
      </c>
      <c r="J262" s="673"/>
      <c r="K262" s="21">
        <f t="shared" si="47"/>
        <v>1</v>
      </c>
      <c r="L262" s="673"/>
      <c r="M262" s="21">
        <f t="shared" si="48"/>
        <v>1</v>
      </c>
      <c r="N262" s="673"/>
      <c r="O262" s="21">
        <f t="shared" si="49"/>
        <v>1</v>
      </c>
      <c r="P262" s="673"/>
      <c r="Q262" s="21">
        <f t="shared" si="50"/>
        <v>1</v>
      </c>
      <c r="R262" s="669">
        <f t="shared" si="51"/>
        <v>0</v>
      </c>
      <c r="S262" s="319">
        <f t="shared" si="52"/>
        <v>0</v>
      </c>
    </row>
    <row r="263" spans="1:19">
      <c r="A263" s="152"/>
      <c r="B263" s="54"/>
      <c r="C263" s="21">
        <f t="shared" si="43"/>
        <v>1</v>
      </c>
      <c r="D263" s="673"/>
      <c r="E263" s="21">
        <f t="shared" si="44"/>
        <v>1</v>
      </c>
      <c r="F263" s="673"/>
      <c r="G263" s="21">
        <f t="shared" si="45"/>
        <v>1</v>
      </c>
      <c r="H263" s="673"/>
      <c r="I263" s="21">
        <f t="shared" si="46"/>
        <v>1</v>
      </c>
      <c r="J263" s="673"/>
      <c r="K263" s="21">
        <f t="shared" si="47"/>
        <v>1</v>
      </c>
      <c r="L263" s="673"/>
      <c r="M263" s="21">
        <f t="shared" si="48"/>
        <v>1</v>
      </c>
      <c r="N263" s="673"/>
      <c r="O263" s="21">
        <f t="shared" si="49"/>
        <v>1</v>
      </c>
      <c r="P263" s="673"/>
      <c r="Q263" s="21">
        <f t="shared" si="50"/>
        <v>1</v>
      </c>
      <c r="R263" s="669">
        <f t="shared" si="51"/>
        <v>0</v>
      </c>
      <c r="S263" s="319">
        <f t="shared" si="52"/>
        <v>0</v>
      </c>
    </row>
    <row r="264" spans="1:19">
      <c r="A264" s="152"/>
      <c r="B264" s="54"/>
      <c r="C264" s="21">
        <f t="shared" si="43"/>
        <v>1</v>
      </c>
      <c r="D264" s="673"/>
      <c r="E264" s="21">
        <f t="shared" si="44"/>
        <v>1</v>
      </c>
      <c r="F264" s="673"/>
      <c r="G264" s="21">
        <f t="shared" si="45"/>
        <v>1</v>
      </c>
      <c r="H264" s="673"/>
      <c r="I264" s="21">
        <f t="shared" si="46"/>
        <v>1</v>
      </c>
      <c r="J264" s="673"/>
      <c r="K264" s="21">
        <f t="shared" si="47"/>
        <v>1</v>
      </c>
      <c r="L264" s="673"/>
      <c r="M264" s="21">
        <f t="shared" si="48"/>
        <v>1</v>
      </c>
      <c r="N264" s="673"/>
      <c r="O264" s="21">
        <f t="shared" si="49"/>
        <v>1</v>
      </c>
      <c r="P264" s="673"/>
      <c r="Q264" s="21">
        <f t="shared" si="50"/>
        <v>1</v>
      </c>
      <c r="R264" s="669">
        <f t="shared" si="51"/>
        <v>0</v>
      </c>
      <c r="S264" s="319">
        <f t="shared" si="52"/>
        <v>0</v>
      </c>
    </row>
    <row r="265" spans="1:19">
      <c r="A265" s="152"/>
      <c r="B265" s="54"/>
      <c r="C265" s="21">
        <f t="shared" si="43"/>
        <v>1</v>
      </c>
      <c r="D265" s="673"/>
      <c r="E265" s="21">
        <f t="shared" si="44"/>
        <v>1</v>
      </c>
      <c r="F265" s="673"/>
      <c r="G265" s="21">
        <f t="shared" si="45"/>
        <v>1</v>
      </c>
      <c r="H265" s="673"/>
      <c r="I265" s="21">
        <f t="shared" si="46"/>
        <v>1</v>
      </c>
      <c r="J265" s="673"/>
      <c r="K265" s="21">
        <f t="shared" si="47"/>
        <v>1</v>
      </c>
      <c r="L265" s="673"/>
      <c r="M265" s="21">
        <f t="shared" si="48"/>
        <v>1</v>
      </c>
      <c r="N265" s="673"/>
      <c r="O265" s="21">
        <f t="shared" si="49"/>
        <v>1</v>
      </c>
      <c r="P265" s="673"/>
      <c r="Q265" s="21">
        <f t="shared" si="50"/>
        <v>1</v>
      </c>
      <c r="R265" s="669">
        <f t="shared" si="51"/>
        <v>0</v>
      </c>
      <c r="S265" s="319">
        <f t="shared" si="52"/>
        <v>0</v>
      </c>
    </row>
    <row r="266" spans="1:19">
      <c r="A266" s="152"/>
      <c r="B266" s="54"/>
      <c r="C266" s="21">
        <f t="shared" si="43"/>
        <v>1</v>
      </c>
      <c r="D266" s="673"/>
      <c r="E266" s="21">
        <f t="shared" si="44"/>
        <v>1</v>
      </c>
      <c r="F266" s="673"/>
      <c r="G266" s="21">
        <f t="shared" si="45"/>
        <v>1</v>
      </c>
      <c r="H266" s="673"/>
      <c r="I266" s="21">
        <f t="shared" si="46"/>
        <v>1</v>
      </c>
      <c r="J266" s="673"/>
      <c r="K266" s="21">
        <f t="shared" si="47"/>
        <v>1</v>
      </c>
      <c r="L266" s="673"/>
      <c r="M266" s="21">
        <f t="shared" si="48"/>
        <v>1</v>
      </c>
      <c r="N266" s="673"/>
      <c r="O266" s="21">
        <f t="shared" si="49"/>
        <v>1</v>
      </c>
      <c r="P266" s="673"/>
      <c r="Q266" s="21">
        <f t="shared" si="50"/>
        <v>1</v>
      </c>
      <c r="R266" s="669">
        <f t="shared" si="51"/>
        <v>0</v>
      </c>
      <c r="S266" s="319">
        <f t="shared" si="52"/>
        <v>0</v>
      </c>
    </row>
    <row r="267" spans="1:19">
      <c r="A267" s="152"/>
      <c r="B267" s="54"/>
      <c r="C267" s="21">
        <f t="shared" si="43"/>
        <v>1</v>
      </c>
      <c r="D267" s="673"/>
      <c r="E267" s="21">
        <f t="shared" si="44"/>
        <v>1</v>
      </c>
      <c r="F267" s="673"/>
      <c r="G267" s="21">
        <f t="shared" si="45"/>
        <v>1</v>
      </c>
      <c r="H267" s="673"/>
      <c r="I267" s="21">
        <f t="shared" si="46"/>
        <v>1</v>
      </c>
      <c r="J267" s="673"/>
      <c r="K267" s="21">
        <f t="shared" si="47"/>
        <v>1</v>
      </c>
      <c r="L267" s="673"/>
      <c r="M267" s="21">
        <f t="shared" si="48"/>
        <v>1</v>
      </c>
      <c r="N267" s="673"/>
      <c r="O267" s="21">
        <f t="shared" si="49"/>
        <v>1</v>
      </c>
      <c r="P267" s="673"/>
      <c r="Q267" s="21">
        <f t="shared" si="50"/>
        <v>1</v>
      </c>
      <c r="R267" s="669">
        <f t="shared" si="51"/>
        <v>0</v>
      </c>
      <c r="S267" s="319">
        <f t="shared" si="52"/>
        <v>0</v>
      </c>
    </row>
    <row r="268" spans="1:19">
      <c r="A268" s="152"/>
      <c r="B268" s="54"/>
      <c r="C268" s="21">
        <f t="shared" si="43"/>
        <v>1</v>
      </c>
      <c r="D268" s="673"/>
      <c r="E268" s="21">
        <f t="shared" si="44"/>
        <v>1</v>
      </c>
      <c r="F268" s="673"/>
      <c r="G268" s="21">
        <f t="shared" si="45"/>
        <v>1</v>
      </c>
      <c r="H268" s="673"/>
      <c r="I268" s="21">
        <f t="shared" si="46"/>
        <v>1</v>
      </c>
      <c r="J268" s="673"/>
      <c r="K268" s="21">
        <f t="shared" si="47"/>
        <v>1</v>
      </c>
      <c r="L268" s="673"/>
      <c r="M268" s="21">
        <f t="shared" si="48"/>
        <v>1</v>
      </c>
      <c r="N268" s="673"/>
      <c r="O268" s="21">
        <f t="shared" si="49"/>
        <v>1</v>
      </c>
      <c r="P268" s="673"/>
      <c r="Q268" s="21">
        <f t="shared" si="50"/>
        <v>1</v>
      </c>
      <c r="R268" s="669">
        <f t="shared" si="51"/>
        <v>0</v>
      </c>
      <c r="S268" s="319">
        <f t="shared" si="52"/>
        <v>0</v>
      </c>
    </row>
    <row r="269" spans="1:19">
      <c r="A269" s="152"/>
      <c r="B269" s="54"/>
      <c r="C269" s="21">
        <f t="shared" si="43"/>
        <v>1</v>
      </c>
      <c r="D269" s="673"/>
      <c r="E269" s="21">
        <f t="shared" si="44"/>
        <v>1</v>
      </c>
      <c r="F269" s="673"/>
      <c r="G269" s="21">
        <f t="shared" si="45"/>
        <v>1</v>
      </c>
      <c r="H269" s="673"/>
      <c r="I269" s="21">
        <f t="shared" si="46"/>
        <v>1</v>
      </c>
      <c r="J269" s="673"/>
      <c r="K269" s="21">
        <f t="shared" si="47"/>
        <v>1</v>
      </c>
      <c r="L269" s="673"/>
      <c r="M269" s="21">
        <f t="shared" si="48"/>
        <v>1</v>
      </c>
      <c r="N269" s="673"/>
      <c r="O269" s="21">
        <f t="shared" si="49"/>
        <v>1</v>
      </c>
      <c r="P269" s="673"/>
      <c r="Q269" s="21">
        <f t="shared" si="50"/>
        <v>1</v>
      </c>
      <c r="R269" s="669">
        <f t="shared" si="51"/>
        <v>0</v>
      </c>
      <c r="S269" s="319">
        <f t="shared" si="52"/>
        <v>0</v>
      </c>
    </row>
    <row r="270" spans="1:19">
      <c r="A270" s="152"/>
      <c r="B270" s="54"/>
      <c r="C270" s="21">
        <f t="shared" si="43"/>
        <v>1</v>
      </c>
      <c r="D270" s="673"/>
      <c r="E270" s="21">
        <f t="shared" si="44"/>
        <v>1</v>
      </c>
      <c r="F270" s="673"/>
      <c r="G270" s="21">
        <f t="shared" si="45"/>
        <v>1</v>
      </c>
      <c r="H270" s="673"/>
      <c r="I270" s="21">
        <f t="shared" si="46"/>
        <v>1</v>
      </c>
      <c r="J270" s="673"/>
      <c r="K270" s="21">
        <f t="shared" si="47"/>
        <v>1</v>
      </c>
      <c r="L270" s="673"/>
      <c r="M270" s="21">
        <f t="shared" si="48"/>
        <v>1</v>
      </c>
      <c r="N270" s="673"/>
      <c r="O270" s="21">
        <f t="shared" si="49"/>
        <v>1</v>
      </c>
      <c r="P270" s="673"/>
      <c r="Q270" s="21">
        <f t="shared" si="50"/>
        <v>1</v>
      </c>
      <c r="R270" s="669">
        <f t="shared" si="51"/>
        <v>0</v>
      </c>
      <c r="S270" s="319">
        <f t="shared" si="52"/>
        <v>0</v>
      </c>
    </row>
    <row r="271" spans="1:19">
      <c r="A271" s="152"/>
      <c r="B271" s="54"/>
      <c r="C271" s="21">
        <f t="shared" si="43"/>
        <v>1</v>
      </c>
      <c r="D271" s="673"/>
      <c r="E271" s="21">
        <f t="shared" si="44"/>
        <v>1</v>
      </c>
      <c r="F271" s="673"/>
      <c r="G271" s="21">
        <f t="shared" si="45"/>
        <v>1</v>
      </c>
      <c r="H271" s="673"/>
      <c r="I271" s="21">
        <f t="shared" si="46"/>
        <v>1</v>
      </c>
      <c r="J271" s="673"/>
      <c r="K271" s="21">
        <f t="shared" si="47"/>
        <v>1</v>
      </c>
      <c r="L271" s="673"/>
      <c r="M271" s="21">
        <f t="shared" si="48"/>
        <v>1</v>
      </c>
      <c r="N271" s="673"/>
      <c r="O271" s="21">
        <f t="shared" si="49"/>
        <v>1</v>
      </c>
      <c r="P271" s="673"/>
      <c r="Q271" s="21">
        <f t="shared" si="50"/>
        <v>1</v>
      </c>
      <c r="R271" s="669">
        <f t="shared" si="51"/>
        <v>0</v>
      </c>
      <c r="S271" s="319">
        <f t="shared" si="52"/>
        <v>0</v>
      </c>
    </row>
    <row r="272" spans="1:19">
      <c r="A272" s="152"/>
      <c r="B272" s="54"/>
      <c r="C272" s="21">
        <f t="shared" si="43"/>
        <v>1</v>
      </c>
      <c r="D272" s="673"/>
      <c r="E272" s="21">
        <f t="shared" si="44"/>
        <v>1</v>
      </c>
      <c r="F272" s="673"/>
      <c r="G272" s="21">
        <f t="shared" si="45"/>
        <v>1</v>
      </c>
      <c r="H272" s="673"/>
      <c r="I272" s="21">
        <f t="shared" si="46"/>
        <v>1</v>
      </c>
      <c r="J272" s="673"/>
      <c r="K272" s="21">
        <f t="shared" si="47"/>
        <v>1</v>
      </c>
      <c r="L272" s="673"/>
      <c r="M272" s="21">
        <f t="shared" si="48"/>
        <v>1</v>
      </c>
      <c r="N272" s="673"/>
      <c r="O272" s="21">
        <f t="shared" si="49"/>
        <v>1</v>
      </c>
      <c r="P272" s="673"/>
      <c r="Q272" s="21">
        <f t="shared" si="50"/>
        <v>1</v>
      </c>
      <c r="R272" s="669">
        <f t="shared" si="51"/>
        <v>0</v>
      </c>
      <c r="S272" s="319">
        <f t="shared" si="52"/>
        <v>0</v>
      </c>
    </row>
    <row r="273" spans="1:19">
      <c r="A273" s="152"/>
      <c r="B273" s="54"/>
      <c r="C273" s="21">
        <f t="shared" si="43"/>
        <v>1</v>
      </c>
      <c r="D273" s="673"/>
      <c r="E273" s="21">
        <f t="shared" si="44"/>
        <v>1</v>
      </c>
      <c r="F273" s="673"/>
      <c r="G273" s="21">
        <f t="shared" si="45"/>
        <v>1</v>
      </c>
      <c r="H273" s="673"/>
      <c r="I273" s="21">
        <f t="shared" si="46"/>
        <v>1</v>
      </c>
      <c r="J273" s="673"/>
      <c r="K273" s="21">
        <f t="shared" si="47"/>
        <v>1</v>
      </c>
      <c r="L273" s="673"/>
      <c r="M273" s="21">
        <f t="shared" si="48"/>
        <v>1</v>
      </c>
      <c r="N273" s="673"/>
      <c r="O273" s="21">
        <f t="shared" si="49"/>
        <v>1</v>
      </c>
      <c r="P273" s="673"/>
      <c r="Q273" s="21">
        <f t="shared" si="50"/>
        <v>1</v>
      </c>
      <c r="R273" s="669">
        <f t="shared" si="51"/>
        <v>0</v>
      </c>
      <c r="S273" s="319">
        <f t="shared" si="52"/>
        <v>0</v>
      </c>
    </row>
    <row r="274" spans="1:19">
      <c r="A274" s="152"/>
      <c r="B274" s="54"/>
      <c r="C274" s="21">
        <f t="shared" si="43"/>
        <v>1</v>
      </c>
      <c r="D274" s="673"/>
      <c r="E274" s="21">
        <f t="shared" si="44"/>
        <v>1</v>
      </c>
      <c r="F274" s="673"/>
      <c r="G274" s="21">
        <f t="shared" si="45"/>
        <v>1</v>
      </c>
      <c r="H274" s="673"/>
      <c r="I274" s="21">
        <f t="shared" si="46"/>
        <v>1</v>
      </c>
      <c r="J274" s="673"/>
      <c r="K274" s="21">
        <f t="shared" si="47"/>
        <v>1</v>
      </c>
      <c r="L274" s="673"/>
      <c r="M274" s="21">
        <f t="shared" si="48"/>
        <v>1</v>
      </c>
      <c r="N274" s="673"/>
      <c r="O274" s="21">
        <f t="shared" si="49"/>
        <v>1</v>
      </c>
      <c r="P274" s="673"/>
      <c r="Q274" s="21">
        <f t="shared" si="50"/>
        <v>1</v>
      </c>
      <c r="R274" s="669">
        <f t="shared" si="51"/>
        <v>0</v>
      </c>
      <c r="S274" s="319">
        <f t="shared" si="52"/>
        <v>0</v>
      </c>
    </row>
    <row r="275" spans="1:19">
      <c r="A275" s="152"/>
      <c r="B275" s="54"/>
      <c r="C275" s="21">
        <f t="shared" si="43"/>
        <v>1</v>
      </c>
      <c r="D275" s="673"/>
      <c r="E275" s="21">
        <f t="shared" si="44"/>
        <v>1</v>
      </c>
      <c r="F275" s="673"/>
      <c r="G275" s="21">
        <f t="shared" si="45"/>
        <v>1</v>
      </c>
      <c r="H275" s="673"/>
      <c r="I275" s="21">
        <f t="shared" si="46"/>
        <v>1</v>
      </c>
      <c r="J275" s="673"/>
      <c r="K275" s="21">
        <f t="shared" si="47"/>
        <v>1</v>
      </c>
      <c r="L275" s="673"/>
      <c r="M275" s="21">
        <f t="shared" si="48"/>
        <v>1</v>
      </c>
      <c r="N275" s="673"/>
      <c r="O275" s="21">
        <f t="shared" si="49"/>
        <v>1</v>
      </c>
      <c r="P275" s="673"/>
      <c r="Q275" s="21">
        <f t="shared" si="50"/>
        <v>1</v>
      </c>
      <c r="R275" s="669">
        <f t="shared" si="51"/>
        <v>0</v>
      </c>
      <c r="S275" s="319">
        <f t="shared" si="52"/>
        <v>0</v>
      </c>
    </row>
    <row r="276" spans="1:19">
      <c r="A276" s="152"/>
      <c r="B276" s="54"/>
      <c r="C276" s="21">
        <f t="shared" si="43"/>
        <v>1</v>
      </c>
      <c r="D276" s="673"/>
      <c r="E276" s="21">
        <f t="shared" si="44"/>
        <v>1</v>
      </c>
      <c r="F276" s="673"/>
      <c r="G276" s="21">
        <f t="shared" si="45"/>
        <v>1</v>
      </c>
      <c r="H276" s="673"/>
      <c r="I276" s="21">
        <f t="shared" si="46"/>
        <v>1</v>
      </c>
      <c r="J276" s="673"/>
      <c r="K276" s="21">
        <f t="shared" si="47"/>
        <v>1</v>
      </c>
      <c r="L276" s="673"/>
      <c r="M276" s="21">
        <f t="shared" si="48"/>
        <v>1</v>
      </c>
      <c r="N276" s="673"/>
      <c r="O276" s="21">
        <f t="shared" si="49"/>
        <v>1</v>
      </c>
      <c r="P276" s="673"/>
      <c r="Q276" s="21">
        <f t="shared" si="50"/>
        <v>1</v>
      </c>
      <c r="R276" s="669">
        <f t="shared" si="51"/>
        <v>0</v>
      </c>
      <c r="S276" s="319">
        <f t="shared" si="52"/>
        <v>0</v>
      </c>
    </row>
    <row r="277" spans="1:19">
      <c r="A277" s="152"/>
      <c r="B277" s="54"/>
      <c r="C277" s="21">
        <f t="shared" si="43"/>
        <v>1</v>
      </c>
      <c r="D277" s="673"/>
      <c r="E277" s="21">
        <f t="shared" si="44"/>
        <v>1</v>
      </c>
      <c r="F277" s="673"/>
      <c r="G277" s="21">
        <f t="shared" si="45"/>
        <v>1</v>
      </c>
      <c r="H277" s="673"/>
      <c r="I277" s="21">
        <f t="shared" si="46"/>
        <v>1</v>
      </c>
      <c r="J277" s="673"/>
      <c r="K277" s="21">
        <f t="shared" si="47"/>
        <v>1</v>
      </c>
      <c r="L277" s="673"/>
      <c r="M277" s="21">
        <f t="shared" si="48"/>
        <v>1</v>
      </c>
      <c r="N277" s="673"/>
      <c r="O277" s="21">
        <f t="shared" si="49"/>
        <v>1</v>
      </c>
      <c r="P277" s="673"/>
      <c r="Q277" s="21">
        <f t="shared" si="50"/>
        <v>1</v>
      </c>
      <c r="R277" s="669">
        <f t="shared" si="51"/>
        <v>0</v>
      </c>
      <c r="S277" s="319">
        <f t="shared" si="52"/>
        <v>0</v>
      </c>
    </row>
    <row r="278" spans="1:19">
      <c r="A278" s="152"/>
      <c r="B278" s="54"/>
      <c r="C278" s="21">
        <f t="shared" si="43"/>
        <v>1</v>
      </c>
      <c r="D278" s="673"/>
      <c r="E278" s="21">
        <f t="shared" si="44"/>
        <v>1</v>
      </c>
      <c r="F278" s="673"/>
      <c r="G278" s="21">
        <f t="shared" si="45"/>
        <v>1</v>
      </c>
      <c r="H278" s="673"/>
      <c r="I278" s="21">
        <f t="shared" si="46"/>
        <v>1</v>
      </c>
      <c r="J278" s="673"/>
      <c r="K278" s="21">
        <f t="shared" si="47"/>
        <v>1</v>
      </c>
      <c r="L278" s="673"/>
      <c r="M278" s="21">
        <f t="shared" si="48"/>
        <v>1</v>
      </c>
      <c r="N278" s="673"/>
      <c r="O278" s="21">
        <f t="shared" si="49"/>
        <v>1</v>
      </c>
      <c r="P278" s="673"/>
      <c r="Q278" s="21">
        <f t="shared" si="50"/>
        <v>1</v>
      </c>
      <c r="R278" s="669">
        <f t="shared" si="51"/>
        <v>0</v>
      </c>
      <c r="S278" s="319">
        <f t="shared" si="52"/>
        <v>0</v>
      </c>
    </row>
    <row r="279" spans="1:19">
      <c r="A279" s="152"/>
      <c r="B279" s="54"/>
      <c r="C279" s="21">
        <f t="shared" si="43"/>
        <v>1</v>
      </c>
      <c r="D279" s="673"/>
      <c r="E279" s="21">
        <f t="shared" si="44"/>
        <v>1</v>
      </c>
      <c r="F279" s="673"/>
      <c r="G279" s="21">
        <f t="shared" si="45"/>
        <v>1</v>
      </c>
      <c r="H279" s="673"/>
      <c r="I279" s="21">
        <f t="shared" si="46"/>
        <v>1</v>
      </c>
      <c r="J279" s="673"/>
      <c r="K279" s="21">
        <f t="shared" si="47"/>
        <v>1</v>
      </c>
      <c r="L279" s="673"/>
      <c r="M279" s="21">
        <f t="shared" si="48"/>
        <v>1</v>
      </c>
      <c r="N279" s="673"/>
      <c r="O279" s="21">
        <f t="shared" si="49"/>
        <v>1</v>
      </c>
      <c r="P279" s="673"/>
      <c r="Q279" s="21">
        <f t="shared" si="50"/>
        <v>1</v>
      </c>
      <c r="R279" s="669">
        <f t="shared" si="51"/>
        <v>0</v>
      </c>
      <c r="S279" s="319">
        <f t="shared" si="52"/>
        <v>0</v>
      </c>
    </row>
    <row r="280" spans="1:19">
      <c r="A280" s="152"/>
      <c r="B280" s="54"/>
      <c r="C280" s="21">
        <f t="shared" si="43"/>
        <v>1</v>
      </c>
      <c r="D280" s="673"/>
      <c r="E280" s="21">
        <f t="shared" si="44"/>
        <v>1</v>
      </c>
      <c r="F280" s="673"/>
      <c r="G280" s="21">
        <f t="shared" si="45"/>
        <v>1</v>
      </c>
      <c r="H280" s="673"/>
      <c r="I280" s="21">
        <f t="shared" si="46"/>
        <v>1</v>
      </c>
      <c r="J280" s="673"/>
      <c r="K280" s="21">
        <f t="shared" si="47"/>
        <v>1</v>
      </c>
      <c r="L280" s="673"/>
      <c r="M280" s="21">
        <f t="shared" si="48"/>
        <v>1</v>
      </c>
      <c r="N280" s="673"/>
      <c r="O280" s="21">
        <f t="shared" si="49"/>
        <v>1</v>
      </c>
      <c r="P280" s="673"/>
      <c r="Q280" s="21">
        <f t="shared" si="50"/>
        <v>1</v>
      </c>
      <c r="R280" s="669">
        <f t="shared" si="51"/>
        <v>0</v>
      </c>
      <c r="S280" s="319">
        <f t="shared" si="52"/>
        <v>0</v>
      </c>
    </row>
    <row r="281" spans="1:19">
      <c r="A281" s="152"/>
      <c r="B281" s="54"/>
      <c r="C281" s="21">
        <f t="shared" si="43"/>
        <v>1</v>
      </c>
      <c r="D281" s="673"/>
      <c r="E281" s="21">
        <f t="shared" si="44"/>
        <v>1</v>
      </c>
      <c r="F281" s="673"/>
      <c r="G281" s="21">
        <f t="shared" si="45"/>
        <v>1</v>
      </c>
      <c r="H281" s="673"/>
      <c r="I281" s="21">
        <f t="shared" si="46"/>
        <v>1</v>
      </c>
      <c r="J281" s="673"/>
      <c r="K281" s="21">
        <f t="shared" si="47"/>
        <v>1</v>
      </c>
      <c r="L281" s="673"/>
      <c r="M281" s="21">
        <f t="shared" si="48"/>
        <v>1</v>
      </c>
      <c r="N281" s="673"/>
      <c r="O281" s="21">
        <f t="shared" si="49"/>
        <v>1</v>
      </c>
      <c r="P281" s="673"/>
      <c r="Q281" s="21">
        <f t="shared" si="50"/>
        <v>1</v>
      </c>
      <c r="R281" s="669">
        <f t="shared" si="51"/>
        <v>0</v>
      </c>
      <c r="S281" s="319">
        <f t="shared" si="52"/>
        <v>0</v>
      </c>
    </row>
    <row r="282" spans="1:19">
      <c r="A282" s="152"/>
      <c r="B282" s="54"/>
      <c r="C282" s="21">
        <f t="shared" ref="C282:C345" si="53">IF(B282="",1,(LOOKUP(B282,$3:$3,$4:$4)-LOOKUP($B$24,$3:$3,$4:$4)+100)/100)</f>
        <v>1</v>
      </c>
      <c r="D282" s="673"/>
      <c r="E282" s="21">
        <f t="shared" ref="E282:E345" si="54">(SUMIF($5:$5,D282,$6:$6)-SUMIF($5:$5,$D$24,$6:$6)+100)/100</f>
        <v>1</v>
      </c>
      <c r="F282" s="673"/>
      <c r="G282" s="21">
        <f t="shared" ref="G282:G345" si="55">(SUMIF($7:$7,F282,$8:$8)-SUMIF($7:$7,$F$24,$8:$8)+100)/100</f>
        <v>1</v>
      </c>
      <c r="H282" s="673"/>
      <c r="I282" s="21">
        <f t="shared" ref="I282:I345" si="56">(SUMIF($9:$9,H282,$10:$10)-SUMIF($9:$9,$H$24,$10:$10)+100)/100</f>
        <v>1</v>
      </c>
      <c r="J282" s="673"/>
      <c r="K282" s="21">
        <f t="shared" ref="K282:K345" si="57">(SUMIF($11:$11,J282,$12:$12)-SUMIF($11:$11,$J$24,$12:$12)+100)/100</f>
        <v>1</v>
      </c>
      <c r="L282" s="673"/>
      <c r="M282" s="21">
        <f t="shared" ref="M282:M345" si="58">(SUMIF($13:$13,L282,$14:$14)-SUMIF($13:$13,$L$24,$14:$14)+100)/100</f>
        <v>1</v>
      </c>
      <c r="N282" s="673"/>
      <c r="O282" s="21">
        <f t="shared" ref="O282:O345" si="59">(SUMIF($15:$15,N282,$16:$16)-SUMIF($15:$15,$N$24,$16:$16)+100)/100</f>
        <v>1</v>
      </c>
      <c r="P282" s="673"/>
      <c r="Q282" s="21">
        <f t="shared" ref="Q282:Q345" si="60">(SUMIF($17:$17,P282,$18:$18)-SUMIF($17:$17,$P$24,$18:$18)+100)/100</f>
        <v>1</v>
      </c>
      <c r="R282" s="669">
        <f t="shared" ref="R282:R345" si="61">IF(B282="",0,ROUND($R$24*C282*E282*G282*I282*K282*M282*O282*Q282,0))</f>
        <v>0</v>
      </c>
      <c r="S282" s="319">
        <f t="shared" si="52"/>
        <v>0</v>
      </c>
    </row>
    <row r="283" spans="1:19">
      <c r="A283" s="152"/>
      <c r="B283" s="54"/>
      <c r="C283" s="21">
        <f t="shared" si="53"/>
        <v>1</v>
      </c>
      <c r="D283" s="673"/>
      <c r="E283" s="21">
        <f t="shared" si="54"/>
        <v>1</v>
      </c>
      <c r="F283" s="673"/>
      <c r="G283" s="21">
        <f t="shared" si="55"/>
        <v>1</v>
      </c>
      <c r="H283" s="673"/>
      <c r="I283" s="21">
        <f t="shared" si="56"/>
        <v>1</v>
      </c>
      <c r="J283" s="673"/>
      <c r="K283" s="21">
        <f t="shared" si="57"/>
        <v>1</v>
      </c>
      <c r="L283" s="673"/>
      <c r="M283" s="21">
        <f t="shared" si="58"/>
        <v>1</v>
      </c>
      <c r="N283" s="673"/>
      <c r="O283" s="21">
        <f t="shared" si="59"/>
        <v>1</v>
      </c>
      <c r="P283" s="673"/>
      <c r="Q283" s="21">
        <f t="shared" si="60"/>
        <v>1</v>
      </c>
      <c r="R283" s="669">
        <f t="shared" si="61"/>
        <v>0</v>
      </c>
      <c r="S283" s="319">
        <f t="shared" si="52"/>
        <v>0</v>
      </c>
    </row>
    <row r="284" spans="1:19">
      <c r="A284" s="152"/>
      <c r="B284" s="54"/>
      <c r="C284" s="21">
        <f t="shared" si="53"/>
        <v>1</v>
      </c>
      <c r="D284" s="673"/>
      <c r="E284" s="21">
        <f t="shared" si="54"/>
        <v>1</v>
      </c>
      <c r="F284" s="673"/>
      <c r="G284" s="21">
        <f t="shared" si="55"/>
        <v>1</v>
      </c>
      <c r="H284" s="673"/>
      <c r="I284" s="21">
        <f t="shared" si="56"/>
        <v>1</v>
      </c>
      <c r="J284" s="673"/>
      <c r="K284" s="21">
        <f t="shared" si="57"/>
        <v>1</v>
      </c>
      <c r="L284" s="673"/>
      <c r="M284" s="21">
        <f t="shared" si="58"/>
        <v>1</v>
      </c>
      <c r="N284" s="673"/>
      <c r="O284" s="21">
        <f t="shared" si="59"/>
        <v>1</v>
      </c>
      <c r="P284" s="673"/>
      <c r="Q284" s="21">
        <f t="shared" si="60"/>
        <v>1</v>
      </c>
      <c r="R284" s="669">
        <f t="shared" si="61"/>
        <v>0</v>
      </c>
      <c r="S284" s="319">
        <f t="shared" si="52"/>
        <v>0</v>
      </c>
    </row>
    <row r="285" spans="1:19">
      <c r="A285" s="152"/>
      <c r="B285" s="54"/>
      <c r="C285" s="21">
        <f t="shared" si="53"/>
        <v>1</v>
      </c>
      <c r="D285" s="673"/>
      <c r="E285" s="21">
        <f t="shared" si="54"/>
        <v>1</v>
      </c>
      <c r="F285" s="673"/>
      <c r="G285" s="21">
        <f t="shared" si="55"/>
        <v>1</v>
      </c>
      <c r="H285" s="673"/>
      <c r="I285" s="21">
        <f t="shared" si="56"/>
        <v>1</v>
      </c>
      <c r="J285" s="673"/>
      <c r="K285" s="21">
        <f t="shared" si="57"/>
        <v>1</v>
      </c>
      <c r="L285" s="673"/>
      <c r="M285" s="21">
        <f t="shared" si="58"/>
        <v>1</v>
      </c>
      <c r="N285" s="673"/>
      <c r="O285" s="21">
        <f t="shared" si="59"/>
        <v>1</v>
      </c>
      <c r="P285" s="673"/>
      <c r="Q285" s="21">
        <f t="shared" si="60"/>
        <v>1</v>
      </c>
      <c r="R285" s="669">
        <f t="shared" si="61"/>
        <v>0</v>
      </c>
      <c r="S285" s="319">
        <f t="shared" si="52"/>
        <v>0</v>
      </c>
    </row>
    <row r="286" spans="1:19">
      <c r="A286" s="152"/>
      <c r="B286" s="54"/>
      <c r="C286" s="21">
        <f t="shared" si="53"/>
        <v>1</v>
      </c>
      <c r="D286" s="673"/>
      <c r="E286" s="21">
        <f t="shared" si="54"/>
        <v>1</v>
      </c>
      <c r="F286" s="673"/>
      <c r="G286" s="21">
        <f t="shared" si="55"/>
        <v>1</v>
      </c>
      <c r="H286" s="673"/>
      <c r="I286" s="21">
        <f t="shared" si="56"/>
        <v>1</v>
      </c>
      <c r="J286" s="673"/>
      <c r="K286" s="21">
        <f t="shared" si="57"/>
        <v>1</v>
      </c>
      <c r="L286" s="673"/>
      <c r="M286" s="21">
        <f t="shared" si="58"/>
        <v>1</v>
      </c>
      <c r="N286" s="673"/>
      <c r="O286" s="21">
        <f t="shared" si="59"/>
        <v>1</v>
      </c>
      <c r="P286" s="673"/>
      <c r="Q286" s="21">
        <f t="shared" si="60"/>
        <v>1</v>
      </c>
      <c r="R286" s="669">
        <f t="shared" si="61"/>
        <v>0</v>
      </c>
      <c r="S286" s="319">
        <f t="shared" si="52"/>
        <v>0</v>
      </c>
    </row>
    <row r="287" spans="1:19">
      <c r="A287" s="152"/>
      <c r="B287" s="54"/>
      <c r="C287" s="21">
        <f t="shared" si="53"/>
        <v>1</v>
      </c>
      <c r="D287" s="673"/>
      <c r="E287" s="21">
        <f t="shared" si="54"/>
        <v>1</v>
      </c>
      <c r="F287" s="673"/>
      <c r="G287" s="21">
        <f t="shared" si="55"/>
        <v>1</v>
      </c>
      <c r="H287" s="673"/>
      <c r="I287" s="21">
        <f t="shared" si="56"/>
        <v>1</v>
      </c>
      <c r="J287" s="673"/>
      <c r="K287" s="21">
        <f t="shared" si="57"/>
        <v>1</v>
      </c>
      <c r="L287" s="673"/>
      <c r="M287" s="21">
        <f t="shared" si="58"/>
        <v>1</v>
      </c>
      <c r="N287" s="673"/>
      <c r="O287" s="21">
        <f t="shared" si="59"/>
        <v>1</v>
      </c>
      <c r="P287" s="673"/>
      <c r="Q287" s="21">
        <f t="shared" si="60"/>
        <v>1</v>
      </c>
      <c r="R287" s="669">
        <f t="shared" si="61"/>
        <v>0</v>
      </c>
      <c r="S287" s="319">
        <f t="shared" ref="S287:S320" si="62">ROUND(R287*B287/10000,0)</f>
        <v>0</v>
      </c>
    </row>
    <row r="288" spans="1:19">
      <c r="A288" s="152"/>
      <c r="B288" s="54"/>
      <c r="C288" s="21">
        <f t="shared" si="53"/>
        <v>1</v>
      </c>
      <c r="D288" s="673"/>
      <c r="E288" s="21">
        <f t="shared" si="54"/>
        <v>1</v>
      </c>
      <c r="F288" s="673"/>
      <c r="G288" s="21">
        <f t="shared" si="55"/>
        <v>1</v>
      </c>
      <c r="H288" s="673"/>
      <c r="I288" s="21">
        <f t="shared" si="56"/>
        <v>1</v>
      </c>
      <c r="J288" s="673"/>
      <c r="K288" s="21">
        <f t="shared" si="57"/>
        <v>1</v>
      </c>
      <c r="L288" s="673"/>
      <c r="M288" s="21">
        <f t="shared" si="58"/>
        <v>1</v>
      </c>
      <c r="N288" s="673"/>
      <c r="O288" s="21">
        <f t="shared" si="59"/>
        <v>1</v>
      </c>
      <c r="P288" s="673"/>
      <c r="Q288" s="21">
        <f t="shared" si="60"/>
        <v>1</v>
      </c>
      <c r="R288" s="669">
        <f t="shared" si="61"/>
        <v>0</v>
      </c>
      <c r="S288" s="319">
        <f t="shared" si="62"/>
        <v>0</v>
      </c>
    </row>
    <row r="289" spans="1:19">
      <c r="A289" s="152"/>
      <c r="B289" s="54"/>
      <c r="C289" s="21">
        <f t="shared" si="53"/>
        <v>1</v>
      </c>
      <c r="D289" s="673"/>
      <c r="E289" s="21">
        <f t="shared" si="54"/>
        <v>1</v>
      </c>
      <c r="F289" s="673"/>
      <c r="G289" s="21">
        <f t="shared" si="55"/>
        <v>1</v>
      </c>
      <c r="H289" s="673"/>
      <c r="I289" s="21">
        <f t="shared" si="56"/>
        <v>1</v>
      </c>
      <c r="J289" s="673"/>
      <c r="K289" s="21">
        <f t="shared" si="57"/>
        <v>1</v>
      </c>
      <c r="L289" s="673"/>
      <c r="M289" s="21">
        <f t="shared" si="58"/>
        <v>1</v>
      </c>
      <c r="N289" s="673"/>
      <c r="O289" s="21">
        <f t="shared" si="59"/>
        <v>1</v>
      </c>
      <c r="P289" s="673"/>
      <c r="Q289" s="21">
        <f t="shared" si="60"/>
        <v>1</v>
      </c>
      <c r="R289" s="669">
        <f t="shared" si="61"/>
        <v>0</v>
      </c>
      <c r="S289" s="319">
        <f t="shared" si="62"/>
        <v>0</v>
      </c>
    </row>
    <row r="290" spans="1:19">
      <c r="A290" s="152"/>
      <c r="B290" s="54"/>
      <c r="C290" s="21">
        <f t="shared" si="53"/>
        <v>1</v>
      </c>
      <c r="D290" s="673"/>
      <c r="E290" s="21">
        <f t="shared" si="54"/>
        <v>1</v>
      </c>
      <c r="F290" s="673"/>
      <c r="G290" s="21">
        <f t="shared" si="55"/>
        <v>1</v>
      </c>
      <c r="H290" s="673"/>
      <c r="I290" s="21">
        <f t="shared" si="56"/>
        <v>1</v>
      </c>
      <c r="J290" s="673"/>
      <c r="K290" s="21">
        <f t="shared" si="57"/>
        <v>1</v>
      </c>
      <c r="L290" s="673"/>
      <c r="M290" s="21">
        <f t="shared" si="58"/>
        <v>1</v>
      </c>
      <c r="N290" s="673"/>
      <c r="O290" s="21">
        <f t="shared" si="59"/>
        <v>1</v>
      </c>
      <c r="P290" s="673"/>
      <c r="Q290" s="21">
        <f t="shared" si="60"/>
        <v>1</v>
      </c>
      <c r="R290" s="669">
        <f t="shared" si="61"/>
        <v>0</v>
      </c>
      <c r="S290" s="319">
        <f t="shared" si="62"/>
        <v>0</v>
      </c>
    </row>
    <row r="291" spans="1:19">
      <c r="A291" s="152"/>
      <c r="B291" s="54"/>
      <c r="C291" s="21">
        <f t="shared" si="53"/>
        <v>1</v>
      </c>
      <c r="D291" s="673"/>
      <c r="E291" s="21">
        <f t="shared" si="54"/>
        <v>1</v>
      </c>
      <c r="F291" s="673"/>
      <c r="G291" s="21">
        <f t="shared" si="55"/>
        <v>1</v>
      </c>
      <c r="H291" s="673"/>
      <c r="I291" s="21">
        <f t="shared" si="56"/>
        <v>1</v>
      </c>
      <c r="J291" s="673"/>
      <c r="K291" s="21">
        <f t="shared" si="57"/>
        <v>1</v>
      </c>
      <c r="L291" s="673"/>
      <c r="M291" s="21">
        <f t="shared" si="58"/>
        <v>1</v>
      </c>
      <c r="N291" s="673"/>
      <c r="O291" s="21">
        <f t="shared" si="59"/>
        <v>1</v>
      </c>
      <c r="P291" s="673"/>
      <c r="Q291" s="21">
        <f t="shared" si="60"/>
        <v>1</v>
      </c>
      <c r="R291" s="669">
        <f t="shared" si="61"/>
        <v>0</v>
      </c>
      <c r="S291" s="319">
        <f t="shared" si="62"/>
        <v>0</v>
      </c>
    </row>
    <row r="292" spans="1:19">
      <c r="A292" s="152"/>
      <c r="B292" s="54"/>
      <c r="C292" s="21">
        <f t="shared" si="53"/>
        <v>1</v>
      </c>
      <c r="D292" s="673"/>
      <c r="E292" s="21">
        <f t="shared" si="54"/>
        <v>1</v>
      </c>
      <c r="F292" s="673"/>
      <c r="G292" s="21">
        <f t="shared" si="55"/>
        <v>1</v>
      </c>
      <c r="H292" s="673"/>
      <c r="I292" s="21">
        <f t="shared" si="56"/>
        <v>1</v>
      </c>
      <c r="J292" s="673"/>
      <c r="K292" s="21">
        <f t="shared" si="57"/>
        <v>1</v>
      </c>
      <c r="L292" s="673"/>
      <c r="M292" s="21">
        <f t="shared" si="58"/>
        <v>1</v>
      </c>
      <c r="N292" s="673"/>
      <c r="O292" s="21">
        <f t="shared" si="59"/>
        <v>1</v>
      </c>
      <c r="P292" s="673"/>
      <c r="Q292" s="21">
        <f t="shared" si="60"/>
        <v>1</v>
      </c>
      <c r="R292" s="669">
        <f t="shared" si="61"/>
        <v>0</v>
      </c>
      <c r="S292" s="319">
        <f t="shared" si="62"/>
        <v>0</v>
      </c>
    </row>
    <row r="293" spans="1:19">
      <c r="A293" s="152"/>
      <c r="B293" s="54"/>
      <c r="C293" s="21">
        <f t="shared" si="53"/>
        <v>1</v>
      </c>
      <c r="D293" s="673"/>
      <c r="E293" s="21">
        <f t="shared" si="54"/>
        <v>1</v>
      </c>
      <c r="F293" s="673"/>
      <c r="G293" s="21">
        <f t="shared" si="55"/>
        <v>1</v>
      </c>
      <c r="H293" s="673"/>
      <c r="I293" s="21">
        <f t="shared" si="56"/>
        <v>1</v>
      </c>
      <c r="J293" s="673"/>
      <c r="K293" s="21">
        <f t="shared" si="57"/>
        <v>1</v>
      </c>
      <c r="L293" s="673"/>
      <c r="M293" s="21">
        <f t="shared" si="58"/>
        <v>1</v>
      </c>
      <c r="N293" s="673"/>
      <c r="O293" s="21">
        <f t="shared" si="59"/>
        <v>1</v>
      </c>
      <c r="P293" s="673"/>
      <c r="Q293" s="21">
        <f t="shared" si="60"/>
        <v>1</v>
      </c>
      <c r="R293" s="669">
        <f t="shared" si="61"/>
        <v>0</v>
      </c>
      <c r="S293" s="319">
        <f t="shared" si="62"/>
        <v>0</v>
      </c>
    </row>
    <row r="294" spans="1:19">
      <c r="A294" s="152"/>
      <c r="B294" s="54"/>
      <c r="C294" s="21">
        <f t="shared" si="53"/>
        <v>1</v>
      </c>
      <c r="D294" s="673"/>
      <c r="E294" s="21">
        <f t="shared" si="54"/>
        <v>1</v>
      </c>
      <c r="F294" s="673"/>
      <c r="G294" s="21">
        <f t="shared" si="55"/>
        <v>1</v>
      </c>
      <c r="H294" s="673"/>
      <c r="I294" s="21">
        <f t="shared" si="56"/>
        <v>1</v>
      </c>
      <c r="J294" s="673"/>
      <c r="K294" s="21">
        <f t="shared" si="57"/>
        <v>1</v>
      </c>
      <c r="L294" s="673"/>
      <c r="M294" s="21">
        <f t="shared" si="58"/>
        <v>1</v>
      </c>
      <c r="N294" s="673"/>
      <c r="O294" s="21">
        <f t="shared" si="59"/>
        <v>1</v>
      </c>
      <c r="P294" s="673"/>
      <c r="Q294" s="21">
        <f t="shared" si="60"/>
        <v>1</v>
      </c>
      <c r="R294" s="669">
        <f t="shared" si="61"/>
        <v>0</v>
      </c>
      <c r="S294" s="319">
        <f t="shared" si="62"/>
        <v>0</v>
      </c>
    </row>
    <row r="295" spans="1:19">
      <c r="A295" s="152"/>
      <c r="B295" s="54"/>
      <c r="C295" s="21">
        <f t="shared" si="53"/>
        <v>1</v>
      </c>
      <c r="D295" s="673"/>
      <c r="E295" s="21">
        <f t="shared" si="54"/>
        <v>1</v>
      </c>
      <c r="F295" s="673"/>
      <c r="G295" s="21">
        <f t="shared" si="55"/>
        <v>1</v>
      </c>
      <c r="H295" s="673"/>
      <c r="I295" s="21">
        <f t="shared" si="56"/>
        <v>1</v>
      </c>
      <c r="J295" s="673"/>
      <c r="K295" s="21">
        <f t="shared" si="57"/>
        <v>1</v>
      </c>
      <c r="L295" s="673"/>
      <c r="M295" s="21">
        <f t="shared" si="58"/>
        <v>1</v>
      </c>
      <c r="N295" s="673"/>
      <c r="O295" s="21">
        <f t="shared" si="59"/>
        <v>1</v>
      </c>
      <c r="P295" s="673"/>
      <c r="Q295" s="21">
        <f t="shared" si="60"/>
        <v>1</v>
      </c>
      <c r="R295" s="669">
        <f t="shared" si="61"/>
        <v>0</v>
      </c>
      <c r="S295" s="319">
        <f t="shared" si="62"/>
        <v>0</v>
      </c>
    </row>
    <row r="296" spans="1:19">
      <c r="A296" s="152"/>
      <c r="B296" s="54"/>
      <c r="C296" s="21">
        <f t="shared" si="53"/>
        <v>1</v>
      </c>
      <c r="D296" s="673"/>
      <c r="E296" s="21">
        <f t="shared" si="54"/>
        <v>1</v>
      </c>
      <c r="F296" s="673"/>
      <c r="G296" s="21">
        <f t="shared" si="55"/>
        <v>1</v>
      </c>
      <c r="H296" s="673"/>
      <c r="I296" s="21">
        <f t="shared" si="56"/>
        <v>1</v>
      </c>
      <c r="J296" s="673"/>
      <c r="K296" s="21">
        <f t="shared" si="57"/>
        <v>1</v>
      </c>
      <c r="L296" s="673"/>
      <c r="M296" s="21">
        <f t="shared" si="58"/>
        <v>1</v>
      </c>
      <c r="N296" s="673"/>
      <c r="O296" s="21">
        <f t="shared" si="59"/>
        <v>1</v>
      </c>
      <c r="P296" s="673"/>
      <c r="Q296" s="21">
        <f t="shared" si="60"/>
        <v>1</v>
      </c>
      <c r="R296" s="669">
        <f t="shared" si="61"/>
        <v>0</v>
      </c>
      <c r="S296" s="319">
        <f t="shared" si="62"/>
        <v>0</v>
      </c>
    </row>
    <row r="297" spans="1:19">
      <c r="A297" s="152"/>
      <c r="B297" s="54"/>
      <c r="C297" s="21">
        <f t="shared" si="53"/>
        <v>1</v>
      </c>
      <c r="D297" s="673"/>
      <c r="E297" s="21">
        <f t="shared" si="54"/>
        <v>1</v>
      </c>
      <c r="F297" s="673"/>
      <c r="G297" s="21">
        <f t="shared" si="55"/>
        <v>1</v>
      </c>
      <c r="H297" s="673"/>
      <c r="I297" s="21">
        <f t="shared" si="56"/>
        <v>1</v>
      </c>
      <c r="J297" s="673"/>
      <c r="K297" s="21">
        <f t="shared" si="57"/>
        <v>1</v>
      </c>
      <c r="L297" s="673"/>
      <c r="M297" s="21">
        <f t="shared" si="58"/>
        <v>1</v>
      </c>
      <c r="N297" s="673"/>
      <c r="O297" s="21">
        <f t="shared" si="59"/>
        <v>1</v>
      </c>
      <c r="P297" s="673"/>
      <c r="Q297" s="21">
        <f t="shared" si="60"/>
        <v>1</v>
      </c>
      <c r="R297" s="669">
        <f t="shared" si="61"/>
        <v>0</v>
      </c>
      <c r="S297" s="319">
        <f t="shared" si="62"/>
        <v>0</v>
      </c>
    </row>
    <row r="298" spans="1:19">
      <c r="A298" s="152"/>
      <c r="B298" s="54"/>
      <c r="C298" s="21">
        <f t="shared" si="53"/>
        <v>1</v>
      </c>
      <c r="D298" s="673"/>
      <c r="E298" s="21">
        <f t="shared" si="54"/>
        <v>1</v>
      </c>
      <c r="F298" s="673"/>
      <c r="G298" s="21">
        <f t="shared" si="55"/>
        <v>1</v>
      </c>
      <c r="H298" s="673"/>
      <c r="I298" s="21">
        <f t="shared" si="56"/>
        <v>1</v>
      </c>
      <c r="J298" s="673"/>
      <c r="K298" s="21">
        <f t="shared" si="57"/>
        <v>1</v>
      </c>
      <c r="L298" s="673"/>
      <c r="M298" s="21">
        <f t="shared" si="58"/>
        <v>1</v>
      </c>
      <c r="N298" s="673"/>
      <c r="O298" s="21">
        <f t="shared" si="59"/>
        <v>1</v>
      </c>
      <c r="P298" s="673"/>
      <c r="Q298" s="21">
        <f t="shared" si="60"/>
        <v>1</v>
      </c>
      <c r="R298" s="669">
        <f t="shared" si="61"/>
        <v>0</v>
      </c>
      <c r="S298" s="319">
        <f t="shared" si="62"/>
        <v>0</v>
      </c>
    </row>
    <row r="299" spans="1:19">
      <c r="A299" s="152"/>
      <c r="B299" s="54"/>
      <c r="C299" s="21">
        <f t="shared" si="53"/>
        <v>1</v>
      </c>
      <c r="D299" s="673"/>
      <c r="E299" s="21">
        <f t="shared" si="54"/>
        <v>1</v>
      </c>
      <c r="F299" s="673"/>
      <c r="G299" s="21">
        <f t="shared" si="55"/>
        <v>1</v>
      </c>
      <c r="H299" s="673"/>
      <c r="I299" s="21">
        <f t="shared" si="56"/>
        <v>1</v>
      </c>
      <c r="J299" s="673"/>
      <c r="K299" s="21">
        <f t="shared" si="57"/>
        <v>1</v>
      </c>
      <c r="L299" s="673"/>
      <c r="M299" s="21">
        <f t="shared" si="58"/>
        <v>1</v>
      </c>
      <c r="N299" s="673"/>
      <c r="O299" s="21">
        <f t="shared" si="59"/>
        <v>1</v>
      </c>
      <c r="P299" s="673"/>
      <c r="Q299" s="21">
        <f t="shared" si="60"/>
        <v>1</v>
      </c>
      <c r="R299" s="669">
        <f t="shared" si="61"/>
        <v>0</v>
      </c>
      <c r="S299" s="319">
        <f t="shared" si="62"/>
        <v>0</v>
      </c>
    </row>
    <row r="300" spans="1:19">
      <c r="A300" s="152"/>
      <c r="B300" s="54"/>
      <c r="C300" s="21">
        <f t="shared" si="53"/>
        <v>1</v>
      </c>
      <c r="D300" s="673"/>
      <c r="E300" s="21">
        <f t="shared" si="54"/>
        <v>1</v>
      </c>
      <c r="F300" s="673"/>
      <c r="G300" s="21">
        <f t="shared" si="55"/>
        <v>1</v>
      </c>
      <c r="H300" s="673"/>
      <c r="I300" s="21">
        <f t="shared" si="56"/>
        <v>1</v>
      </c>
      <c r="J300" s="673"/>
      <c r="K300" s="21">
        <f t="shared" si="57"/>
        <v>1</v>
      </c>
      <c r="L300" s="673"/>
      <c r="M300" s="21">
        <f t="shared" si="58"/>
        <v>1</v>
      </c>
      <c r="N300" s="673"/>
      <c r="O300" s="21">
        <f t="shared" si="59"/>
        <v>1</v>
      </c>
      <c r="P300" s="673"/>
      <c r="Q300" s="21">
        <f t="shared" si="60"/>
        <v>1</v>
      </c>
      <c r="R300" s="669">
        <f t="shared" si="61"/>
        <v>0</v>
      </c>
      <c r="S300" s="319">
        <f t="shared" si="62"/>
        <v>0</v>
      </c>
    </row>
    <row r="301" spans="1:19">
      <c r="A301" s="152"/>
      <c r="B301" s="54"/>
      <c r="C301" s="21">
        <f t="shared" si="53"/>
        <v>1</v>
      </c>
      <c r="D301" s="673"/>
      <c r="E301" s="21">
        <f t="shared" si="54"/>
        <v>1</v>
      </c>
      <c r="F301" s="673"/>
      <c r="G301" s="21">
        <f t="shared" si="55"/>
        <v>1</v>
      </c>
      <c r="H301" s="673"/>
      <c r="I301" s="21">
        <f t="shared" si="56"/>
        <v>1</v>
      </c>
      <c r="J301" s="673"/>
      <c r="K301" s="21">
        <f t="shared" si="57"/>
        <v>1</v>
      </c>
      <c r="L301" s="673"/>
      <c r="M301" s="21">
        <f t="shared" si="58"/>
        <v>1</v>
      </c>
      <c r="N301" s="673"/>
      <c r="O301" s="21">
        <f t="shared" si="59"/>
        <v>1</v>
      </c>
      <c r="P301" s="673"/>
      <c r="Q301" s="21">
        <f t="shared" si="60"/>
        <v>1</v>
      </c>
      <c r="R301" s="669">
        <f t="shared" si="61"/>
        <v>0</v>
      </c>
      <c r="S301" s="319">
        <f t="shared" si="62"/>
        <v>0</v>
      </c>
    </row>
    <row r="302" spans="1:19">
      <c r="A302" s="152"/>
      <c r="B302" s="54"/>
      <c r="C302" s="21">
        <f t="shared" si="53"/>
        <v>1</v>
      </c>
      <c r="D302" s="673"/>
      <c r="E302" s="21">
        <f t="shared" si="54"/>
        <v>1</v>
      </c>
      <c r="F302" s="673"/>
      <c r="G302" s="21">
        <f t="shared" si="55"/>
        <v>1</v>
      </c>
      <c r="H302" s="673"/>
      <c r="I302" s="21">
        <f t="shared" si="56"/>
        <v>1</v>
      </c>
      <c r="J302" s="673"/>
      <c r="K302" s="21">
        <f t="shared" si="57"/>
        <v>1</v>
      </c>
      <c r="L302" s="673"/>
      <c r="M302" s="21">
        <f t="shared" si="58"/>
        <v>1</v>
      </c>
      <c r="N302" s="673"/>
      <c r="O302" s="21">
        <f t="shared" si="59"/>
        <v>1</v>
      </c>
      <c r="P302" s="673"/>
      <c r="Q302" s="21">
        <f t="shared" si="60"/>
        <v>1</v>
      </c>
      <c r="R302" s="669">
        <f t="shared" si="61"/>
        <v>0</v>
      </c>
      <c r="S302" s="319">
        <f t="shared" si="62"/>
        <v>0</v>
      </c>
    </row>
    <row r="303" spans="1:19">
      <c r="A303" s="152"/>
      <c r="B303" s="54"/>
      <c r="C303" s="21">
        <f t="shared" si="53"/>
        <v>1</v>
      </c>
      <c r="D303" s="673"/>
      <c r="E303" s="21">
        <f t="shared" si="54"/>
        <v>1</v>
      </c>
      <c r="F303" s="673"/>
      <c r="G303" s="21">
        <f t="shared" si="55"/>
        <v>1</v>
      </c>
      <c r="H303" s="673"/>
      <c r="I303" s="21">
        <f t="shared" si="56"/>
        <v>1</v>
      </c>
      <c r="J303" s="673"/>
      <c r="K303" s="21">
        <f t="shared" si="57"/>
        <v>1</v>
      </c>
      <c r="L303" s="673"/>
      <c r="M303" s="21">
        <f t="shared" si="58"/>
        <v>1</v>
      </c>
      <c r="N303" s="673"/>
      <c r="O303" s="21">
        <f t="shared" si="59"/>
        <v>1</v>
      </c>
      <c r="P303" s="673"/>
      <c r="Q303" s="21">
        <f t="shared" si="60"/>
        <v>1</v>
      </c>
      <c r="R303" s="669">
        <f t="shared" si="61"/>
        <v>0</v>
      </c>
      <c r="S303" s="319">
        <f t="shared" si="62"/>
        <v>0</v>
      </c>
    </row>
    <row r="304" spans="1:19">
      <c r="A304" s="152"/>
      <c r="B304" s="54"/>
      <c r="C304" s="21">
        <f t="shared" si="53"/>
        <v>1</v>
      </c>
      <c r="D304" s="673"/>
      <c r="E304" s="21">
        <f t="shared" si="54"/>
        <v>1</v>
      </c>
      <c r="F304" s="673"/>
      <c r="G304" s="21">
        <f t="shared" si="55"/>
        <v>1</v>
      </c>
      <c r="H304" s="673"/>
      <c r="I304" s="21">
        <f t="shared" si="56"/>
        <v>1</v>
      </c>
      <c r="J304" s="673"/>
      <c r="K304" s="21">
        <f t="shared" si="57"/>
        <v>1</v>
      </c>
      <c r="L304" s="673"/>
      <c r="M304" s="21">
        <f t="shared" si="58"/>
        <v>1</v>
      </c>
      <c r="N304" s="673"/>
      <c r="O304" s="21">
        <f t="shared" si="59"/>
        <v>1</v>
      </c>
      <c r="P304" s="673"/>
      <c r="Q304" s="21">
        <f t="shared" si="60"/>
        <v>1</v>
      </c>
      <c r="R304" s="669">
        <f t="shared" si="61"/>
        <v>0</v>
      </c>
      <c r="S304" s="319">
        <f t="shared" si="62"/>
        <v>0</v>
      </c>
    </row>
    <row r="305" spans="1:19">
      <c r="A305" s="152"/>
      <c r="B305" s="54"/>
      <c r="C305" s="21">
        <f t="shared" si="53"/>
        <v>1</v>
      </c>
      <c r="D305" s="673"/>
      <c r="E305" s="21">
        <f t="shared" si="54"/>
        <v>1</v>
      </c>
      <c r="F305" s="673"/>
      <c r="G305" s="21">
        <f t="shared" si="55"/>
        <v>1</v>
      </c>
      <c r="H305" s="673"/>
      <c r="I305" s="21">
        <f t="shared" si="56"/>
        <v>1</v>
      </c>
      <c r="J305" s="673"/>
      <c r="K305" s="21">
        <f t="shared" si="57"/>
        <v>1</v>
      </c>
      <c r="L305" s="673"/>
      <c r="M305" s="21">
        <f t="shared" si="58"/>
        <v>1</v>
      </c>
      <c r="N305" s="673"/>
      <c r="O305" s="21">
        <f t="shared" si="59"/>
        <v>1</v>
      </c>
      <c r="P305" s="673"/>
      <c r="Q305" s="21">
        <f t="shared" si="60"/>
        <v>1</v>
      </c>
      <c r="R305" s="669">
        <f t="shared" si="61"/>
        <v>0</v>
      </c>
      <c r="S305" s="319">
        <f t="shared" si="62"/>
        <v>0</v>
      </c>
    </row>
    <row r="306" spans="1:19">
      <c r="A306" s="152"/>
      <c r="B306" s="54"/>
      <c r="C306" s="21">
        <f t="shared" si="53"/>
        <v>1</v>
      </c>
      <c r="D306" s="673"/>
      <c r="E306" s="21">
        <f t="shared" si="54"/>
        <v>1</v>
      </c>
      <c r="F306" s="673"/>
      <c r="G306" s="21">
        <f t="shared" si="55"/>
        <v>1</v>
      </c>
      <c r="H306" s="673"/>
      <c r="I306" s="21">
        <f t="shared" si="56"/>
        <v>1</v>
      </c>
      <c r="J306" s="673"/>
      <c r="K306" s="21">
        <f t="shared" si="57"/>
        <v>1</v>
      </c>
      <c r="L306" s="673"/>
      <c r="M306" s="21">
        <f t="shared" si="58"/>
        <v>1</v>
      </c>
      <c r="N306" s="673"/>
      <c r="O306" s="21">
        <f t="shared" si="59"/>
        <v>1</v>
      </c>
      <c r="P306" s="673"/>
      <c r="Q306" s="21">
        <f t="shared" si="60"/>
        <v>1</v>
      </c>
      <c r="R306" s="669">
        <f t="shared" si="61"/>
        <v>0</v>
      </c>
      <c r="S306" s="319">
        <f t="shared" si="62"/>
        <v>0</v>
      </c>
    </row>
    <row r="307" spans="1:19">
      <c r="A307" s="152"/>
      <c r="B307" s="54"/>
      <c r="C307" s="21">
        <f t="shared" si="53"/>
        <v>1</v>
      </c>
      <c r="D307" s="673"/>
      <c r="E307" s="21">
        <f t="shared" si="54"/>
        <v>1</v>
      </c>
      <c r="F307" s="673"/>
      <c r="G307" s="21">
        <f t="shared" si="55"/>
        <v>1</v>
      </c>
      <c r="H307" s="673"/>
      <c r="I307" s="21">
        <f t="shared" si="56"/>
        <v>1</v>
      </c>
      <c r="J307" s="673"/>
      <c r="K307" s="21">
        <f t="shared" si="57"/>
        <v>1</v>
      </c>
      <c r="L307" s="673"/>
      <c r="M307" s="21">
        <f t="shared" si="58"/>
        <v>1</v>
      </c>
      <c r="N307" s="673"/>
      <c r="O307" s="21">
        <f t="shared" si="59"/>
        <v>1</v>
      </c>
      <c r="P307" s="673"/>
      <c r="Q307" s="21">
        <f t="shared" si="60"/>
        <v>1</v>
      </c>
      <c r="R307" s="669">
        <f t="shared" si="61"/>
        <v>0</v>
      </c>
      <c r="S307" s="319">
        <f t="shared" si="62"/>
        <v>0</v>
      </c>
    </row>
    <row r="308" spans="1:19">
      <c r="A308" s="152"/>
      <c r="B308" s="54"/>
      <c r="C308" s="21">
        <f t="shared" si="53"/>
        <v>1</v>
      </c>
      <c r="D308" s="673"/>
      <c r="E308" s="21">
        <f t="shared" si="54"/>
        <v>1</v>
      </c>
      <c r="F308" s="673"/>
      <c r="G308" s="21">
        <f t="shared" si="55"/>
        <v>1</v>
      </c>
      <c r="H308" s="673"/>
      <c r="I308" s="21">
        <f t="shared" si="56"/>
        <v>1</v>
      </c>
      <c r="J308" s="673"/>
      <c r="K308" s="21">
        <f t="shared" si="57"/>
        <v>1</v>
      </c>
      <c r="L308" s="673"/>
      <c r="M308" s="21">
        <f t="shared" si="58"/>
        <v>1</v>
      </c>
      <c r="N308" s="673"/>
      <c r="O308" s="21">
        <f t="shared" si="59"/>
        <v>1</v>
      </c>
      <c r="P308" s="673"/>
      <c r="Q308" s="21">
        <f t="shared" si="60"/>
        <v>1</v>
      </c>
      <c r="R308" s="669">
        <f t="shared" si="61"/>
        <v>0</v>
      </c>
      <c r="S308" s="319">
        <f t="shared" si="62"/>
        <v>0</v>
      </c>
    </row>
    <row r="309" spans="1:19">
      <c r="A309" s="152"/>
      <c r="B309" s="54"/>
      <c r="C309" s="21">
        <f t="shared" si="53"/>
        <v>1</v>
      </c>
      <c r="D309" s="673"/>
      <c r="E309" s="21">
        <f t="shared" si="54"/>
        <v>1</v>
      </c>
      <c r="F309" s="673"/>
      <c r="G309" s="21">
        <f t="shared" si="55"/>
        <v>1</v>
      </c>
      <c r="H309" s="673"/>
      <c r="I309" s="21">
        <f t="shared" si="56"/>
        <v>1</v>
      </c>
      <c r="J309" s="673"/>
      <c r="K309" s="21">
        <f t="shared" si="57"/>
        <v>1</v>
      </c>
      <c r="L309" s="673"/>
      <c r="M309" s="21">
        <f t="shared" si="58"/>
        <v>1</v>
      </c>
      <c r="N309" s="673"/>
      <c r="O309" s="21">
        <f t="shared" si="59"/>
        <v>1</v>
      </c>
      <c r="P309" s="673"/>
      <c r="Q309" s="21">
        <f t="shared" si="60"/>
        <v>1</v>
      </c>
      <c r="R309" s="669">
        <f t="shared" si="61"/>
        <v>0</v>
      </c>
      <c r="S309" s="319">
        <f t="shared" si="62"/>
        <v>0</v>
      </c>
    </row>
    <row r="310" spans="1:19">
      <c r="A310" s="152"/>
      <c r="B310" s="54"/>
      <c r="C310" s="21">
        <f t="shared" si="53"/>
        <v>1</v>
      </c>
      <c r="D310" s="673"/>
      <c r="E310" s="21">
        <f t="shared" si="54"/>
        <v>1</v>
      </c>
      <c r="F310" s="673"/>
      <c r="G310" s="21">
        <f t="shared" si="55"/>
        <v>1</v>
      </c>
      <c r="H310" s="673"/>
      <c r="I310" s="21">
        <f t="shared" si="56"/>
        <v>1</v>
      </c>
      <c r="J310" s="673"/>
      <c r="K310" s="21">
        <f t="shared" si="57"/>
        <v>1</v>
      </c>
      <c r="L310" s="673"/>
      <c r="M310" s="21">
        <f t="shared" si="58"/>
        <v>1</v>
      </c>
      <c r="N310" s="673"/>
      <c r="O310" s="21">
        <f t="shared" si="59"/>
        <v>1</v>
      </c>
      <c r="P310" s="673"/>
      <c r="Q310" s="21">
        <f t="shared" si="60"/>
        <v>1</v>
      </c>
      <c r="R310" s="669">
        <f t="shared" si="61"/>
        <v>0</v>
      </c>
      <c r="S310" s="319">
        <f t="shared" si="62"/>
        <v>0</v>
      </c>
    </row>
    <row r="311" spans="1:19">
      <c r="A311" s="152"/>
      <c r="B311" s="54"/>
      <c r="C311" s="21">
        <f t="shared" si="53"/>
        <v>1</v>
      </c>
      <c r="D311" s="673"/>
      <c r="E311" s="21">
        <f t="shared" si="54"/>
        <v>1</v>
      </c>
      <c r="F311" s="673"/>
      <c r="G311" s="21">
        <f t="shared" si="55"/>
        <v>1</v>
      </c>
      <c r="H311" s="673"/>
      <c r="I311" s="21">
        <f t="shared" si="56"/>
        <v>1</v>
      </c>
      <c r="J311" s="673"/>
      <c r="K311" s="21">
        <f t="shared" si="57"/>
        <v>1</v>
      </c>
      <c r="L311" s="673"/>
      <c r="M311" s="21">
        <f t="shared" si="58"/>
        <v>1</v>
      </c>
      <c r="N311" s="673"/>
      <c r="O311" s="21">
        <f t="shared" si="59"/>
        <v>1</v>
      </c>
      <c r="P311" s="673"/>
      <c r="Q311" s="21">
        <f t="shared" si="60"/>
        <v>1</v>
      </c>
      <c r="R311" s="669">
        <f t="shared" si="61"/>
        <v>0</v>
      </c>
      <c r="S311" s="319">
        <f t="shared" si="62"/>
        <v>0</v>
      </c>
    </row>
    <row r="312" spans="1:19">
      <c r="A312" s="152"/>
      <c r="B312" s="54"/>
      <c r="C312" s="21">
        <f t="shared" si="53"/>
        <v>1</v>
      </c>
      <c r="D312" s="673"/>
      <c r="E312" s="21">
        <f t="shared" si="54"/>
        <v>1</v>
      </c>
      <c r="F312" s="673"/>
      <c r="G312" s="21">
        <f t="shared" si="55"/>
        <v>1</v>
      </c>
      <c r="H312" s="673"/>
      <c r="I312" s="21">
        <f t="shared" si="56"/>
        <v>1</v>
      </c>
      <c r="J312" s="673"/>
      <c r="K312" s="21">
        <f t="shared" si="57"/>
        <v>1</v>
      </c>
      <c r="L312" s="673"/>
      <c r="M312" s="21">
        <f t="shared" si="58"/>
        <v>1</v>
      </c>
      <c r="N312" s="673"/>
      <c r="O312" s="21">
        <f t="shared" si="59"/>
        <v>1</v>
      </c>
      <c r="P312" s="673"/>
      <c r="Q312" s="21">
        <f t="shared" si="60"/>
        <v>1</v>
      </c>
      <c r="R312" s="669">
        <f t="shared" si="61"/>
        <v>0</v>
      </c>
      <c r="S312" s="319">
        <f t="shared" si="62"/>
        <v>0</v>
      </c>
    </row>
    <row r="313" spans="1:19">
      <c r="A313" s="152"/>
      <c r="B313" s="54"/>
      <c r="C313" s="21">
        <f t="shared" si="53"/>
        <v>1</v>
      </c>
      <c r="D313" s="673"/>
      <c r="E313" s="21">
        <f t="shared" si="54"/>
        <v>1</v>
      </c>
      <c r="F313" s="673"/>
      <c r="G313" s="21">
        <f t="shared" si="55"/>
        <v>1</v>
      </c>
      <c r="H313" s="673"/>
      <c r="I313" s="21">
        <f t="shared" si="56"/>
        <v>1</v>
      </c>
      <c r="J313" s="673"/>
      <c r="K313" s="21">
        <f t="shared" si="57"/>
        <v>1</v>
      </c>
      <c r="L313" s="673"/>
      <c r="M313" s="21">
        <f t="shared" si="58"/>
        <v>1</v>
      </c>
      <c r="N313" s="673"/>
      <c r="O313" s="21">
        <f t="shared" si="59"/>
        <v>1</v>
      </c>
      <c r="P313" s="673"/>
      <c r="Q313" s="21">
        <f t="shared" si="60"/>
        <v>1</v>
      </c>
      <c r="R313" s="669">
        <f t="shared" si="61"/>
        <v>0</v>
      </c>
      <c r="S313" s="319">
        <f t="shared" si="62"/>
        <v>0</v>
      </c>
    </row>
    <row r="314" spans="1:19">
      <c r="A314" s="152"/>
      <c r="B314" s="54"/>
      <c r="C314" s="21">
        <f t="shared" si="53"/>
        <v>1</v>
      </c>
      <c r="D314" s="673"/>
      <c r="E314" s="21">
        <f t="shared" si="54"/>
        <v>1</v>
      </c>
      <c r="F314" s="673"/>
      <c r="G314" s="21">
        <f t="shared" si="55"/>
        <v>1</v>
      </c>
      <c r="H314" s="673"/>
      <c r="I314" s="21">
        <f t="shared" si="56"/>
        <v>1</v>
      </c>
      <c r="J314" s="673"/>
      <c r="K314" s="21">
        <f t="shared" si="57"/>
        <v>1</v>
      </c>
      <c r="L314" s="673"/>
      <c r="M314" s="21">
        <f t="shared" si="58"/>
        <v>1</v>
      </c>
      <c r="N314" s="673"/>
      <c r="O314" s="21">
        <f t="shared" si="59"/>
        <v>1</v>
      </c>
      <c r="P314" s="673"/>
      <c r="Q314" s="21">
        <f t="shared" si="60"/>
        <v>1</v>
      </c>
      <c r="R314" s="669">
        <f t="shared" si="61"/>
        <v>0</v>
      </c>
      <c r="S314" s="319">
        <f t="shared" si="62"/>
        <v>0</v>
      </c>
    </row>
    <row r="315" spans="1:19">
      <c r="A315" s="152"/>
      <c r="B315" s="54"/>
      <c r="C315" s="21">
        <f t="shared" si="53"/>
        <v>1</v>
      </c>
      <c r="D315" s="673"/>
      <c r="E315" s="21">
        <f t="shared" si="54"/>
        <v>1</v>
      </c>
      <c r="F315" s="673"/>
      <c r="G315" s="21">
        <f t="shared" si="55"/>
        <v>1</v>
      </c>
      <c r="H315" s="673"/>
      <c r="I315" s="21">
        <f t="shared" si="56"/>
        <v>1</v>
      </c>
      <c r="J315" s="673"/>
      <c r="K315" s="21">
        <f t="shared" si="57"/>
        <v>1</v>
      </c>
      <c r="L315" s="673"/>
      <c r="M315" s="21">
        <f t="shared" si="58"/>
        <v>1</v>
      </c>
      <c r="N315" s="673"/>
      <c r="O315" s="21">
        <f t="shared" si="59"/>
        <v>1</v>
      </c>
      <c r="P315" s="673"/>
      <c r="Q315" s="21">
        <f t="shared" si="60"/>
        <v>1</v>
      </c>
      <c r="R315" s="669">
        <f t="shared" si="61"/>
        <v>0</v>
      </c>
      <c r="S315" s="319">
        <f t="shared" si="62"/>
        <v>0</v>
      </c>
    </row>
    <row r="316" spans="1:19">
      <c r="A316" s="152"/>
      <c r="B316" s="54"/>
      <c r="C316" s="21">
        <f t="shared" si="53"/>
        <v>1</v>
      </c>
      <c r="D316" s="673"/>
      <c r="E316" s="21">
        <f t="shared" si="54"/>
        <v>1</v>
      </c>
      <c r="F316" s="673"/>
      <c r="G316" s="21">
        <f t="shared" si="55"/>
        <v>1</v>
      </c>
      <c r="H316" s="673"/>
      <c r="I316" s="21">
        <f t="shared" si="56"/>
        <v>1</v>
      </c>
      <c r="J316" s="673"/>
      <c r="K316" s="21">
        <f t="shared" si="57"/>
        <v>1</v>
      </c>
      <c r="L316" s="673"/>
      <c r="M316" s="21">
        <f t="shared" si="58"/>
        <v>1</v>
      </c>
      <c r="N316" s="673"/>
      <c r="O316" s="21">
        <f t="shared" si="59"/>
        <v>1</v>
      </c>
      <c r="P316" s="673"/>
      <c r="Q316" s="21">
        <f t="shared" si="60"/>
        <v>1</v>
      </c>
      <c r="R316" s="669">
        <f t="shared" si="61"/>
        <v>0</v>
      </c>
      <c r="S316" s="319">
        <f t="shared" si="62"/>
        <v>0</v>
      </c>
    </row>
    <row r="317" spans="1:19">
      <c r="A317" s="152"/>
      <c r="B317" s="54"/>
      <c r="C317" s="21">
        <f t="shared" si="53"/>
        <v>1</v>
      </c>
      <c r="D317" s="673"/>
      <c r="E317" s="21">
        <f t="shared" si="54"/>
        <v>1</v>
      </c>
      <c r="F317" s="673"/>
      <c r="G317" s="21">
        <f t="shared" si="55"/>
        <v>1</v>
      </c>
      <c r="H317" s="673"/>
      <c r="I317" s="21">
        <f t="shared" si="56"/>
        <v>1</v>
      </c>
      <c r="J317" s="673"/>
      <c r="K317" s="21">
        <f t="shared" si="57"/>
        <v>1</v>
      </c>
      <c r="L317" s="673"/>
      <c r="M317" s="21">
        <f t="shared" si="58"/>
        <v>1</v>
      </c>
      <c r="N317" s="673"/>
      <c r="O317" s="21">
        <f t="shared" si="59"/>
        <v>1</v>
      </c>
      <c r="P317" s="673"/>
      <c r="Q317" s="21">
        <f t="shared" si="60"/>
        <v>1</v>
      </c>
      <c r="R317" s="669">
        <f t="shared" si="61"/>
        <v>0</v>
      </c>
      <c r="S317" s="319">
        <f t="shared" si="62"/>
        <v>0</v>
      </c>
    </row>
    <row r="318" spans="1:19">
      <c r="A318" s="152"/>
      <c r="B318" s="54"/>
      <c r="C318" s="21">
        <f t="shared" si="53"/>
        <v>1</v>
      </c>
      <c r="D318" s="673"/>
      <c r="E318" s="21">
        <f t="shared" si="54"/>
        <v>1</v>
      </c>
      <c r="F318" s="673"/>
      <c r="G318" s="21">
        <f t="shared" si="55"/>
        <v>1</v>
      </c>
      <c r="H318" s="673"/>
      <c r="I318" s="21">
        <f t="shared" si="56"/>
        <v>1</v>
      </c>
      <c r="J318" s="673"/>
      <c r="K318" s="21">
        <f t="shared" si="57"/>
        <v>1</v>
      </c>
      <c r="L318" s="673"/>
      <c r="M318" s="21">
        <f t="shared" si="58"/>
        <v>1</v>
      </c>
      <c r="N318" s="673"/>
      <c r="O318" s="21">
        <f t="shared" si="59"/>
        <v>1</v>
      </c>
      <c r="P318" s="673"/>
      <c r="Q318" s="21">
        <f t="shared" si="60"/>
        <v>1</v>
      </c>
      <c r="R318" s="669">
        <f t="shared" si="61"/>
        <v>0</v>
      </c>
      <c r="S318" s="319">
        <f t="shared" si="62"/>
        <v>0</v>
      </c>
    </row>
    <row r="319" spans="1:19">
      <c r="A319" s="152"/>
      <c r="B319" s="54"/>
      <c r="C319" s="21">
        <f t="shared" si="53"/>
        <v>1</v>
      </c>
      <c r="D319" s="673"/>
      <c r="E319" s="21">
        <f t="shared" si="54"/>
        <v>1</v>
      </c>
      <c r="F319" s="673"/>
      <c r="G319" s="21">
        <f t="shared" si="55"/>
        <v>1</v>
      </c>
      <c r="H319" s="673"/>
      <c r="I319" s="21">
        <f t="shared" si="56"/>
        <v>1</v>
      </c>
      <c r="J319" s="673"/>
      <c r="K319" s="21">
        <f t="shared" si="57"/>
        <v>1</v>
      </c>
      <c r="L319" s="673"/>
      <c r="M319" s="21">
        <f t="shared" si="58"/>
        <v>1</v>
      </c>
      <c r="N319" s="673"/>
      <c r="O319" s="21">
        <f t="shared" si="59"/>
        <v>1</v>
      </c>
      <c r="P319" s="673"/>
      <c r="Q319" s="21">
        <f t="shared" si="60"/>
        <v>1</v>
      </c>
      <c r="R319" s="669">
        <f t="shared" si="61"/>
        <v>0</v>
      </c>
      <c r="S319" s="319">
        <f t="shared" si="62"/>
        <v>0</v>
      </c>
    </row>
    <row r="320" spans="1:19">
      <c r="A320" s="152"/>
      <c r="B320" s="54"/>
      <c r="C320" s="21">
        <f t="shared" si="53"/>
        <v>1</v>
      </c>
      <c r="D320" s="673"/>
      <c r="E320" s="21">
        <f t="shared" si="54"/>
        <v>1</v>
      </c>
      <c r="F320" s="673"/>
      <c r="G320" s="21">
        <f t="shared" si="55"/>
        <v>1</v>
      </c>
      <c r="H320" s="673"/>
      <c r="I320" s="21">
        <f t="shared" si="56"/>
        <v>1</v>
      </c>
      <c r="J320" s="673"/>
      <c r="K320" s="21">
        <f t="shared" si="57"/>
        <v>1</v>
      </c>
      <c r="L320" s="673"/>
      <c r="M320" s="21">
        <f t="shared" si="58"/>
        <v>1</v>
      </c>
      <c r="N320" s="673"/>
      <c r="O320" s="21">
        <f t="shared" si="59"/>
        <v>1</v>
      </c>
      <c r="P320" s="673"/>
      <c r="Q320" s="21">
        <f t="shared" si="60"/>
        <v>1</v>
      </c>
      <c r="R320" s="669">
        <f t="shared" si="61"/>
        <v>0</v>
      </c>
      <c r="S320" s="319">
        <f t="shared" si="62"/>
        <v>0</v>
      </c>
    </row>
    <row r="321" spans="1:19">
      <c r="A321" s="152"/>
      <c r="B321" s="54"/>
      <c r="C321" s="21">
        <f t="shared" si="53"/>
        <v>1</v>
      </c>
      <c r="D321" s="673"/>
      <c r="E321" s="21">
        <f t="shared" si="54"/>
        <v>1</v>
      </c>
      <c r="F321" s="673"/>
      <c r="G321" s="21">
        <f t="shared" si="55"/>
        <v>1</v>
      </c>
      <c r="H321" s="673"/>
      <c r="I321" s="21">
        <f t="shared" si="56"/>
        <v>1</v>
      </c>
      <c r="J321" s="673"/>
      <c r="K321" s="21">
        <f t="shared" si="57"/>
        <v>1</v>
      </c>
      <c r="L321" s="673"/>
      <c r="M321" s="21">
        <f t="shared" si="58"/>
        <v>1</v>
      </c>
      <c r="N321" s="673"/>
      <c r="O321" s="21">
        <f t="shared" si="59"/>
        <v>1</v>
      </c>
      <c r="P321" s="673"/>
      <c r="Q321" s="21">
        <f t="shared" si="60"/>
        <v>1</v>
      </c>
      <c r="R321" s="669">
        <f t="shared" si="61"/>
        <v>0</v>
      </c>
      <c r="S321" s="319">
        <f t="shared" ref="S321:S384" si="63">ROUND(R321*B321/10000,0)</f>
        <v>0</v>
      </c>
    </row>
    <row r="322" spans="1:19">
      <c r="A322" s="152"/>
      <c r="B322" s="54"/>
      <c r="C322" s="21">
        <f t="shared" si="53"/>
        <v>1</v>
      </c>
      <c r="D322" s="673"/>
      <c r="E322" s="21">
        <f t="shared" si="54"/>
        <v>1</v>
      </c>
      <c r="F322" s="673"/>
      <c r="G322" s="21">
        <f t="shared" si="55"/>
        <v>1</v>
      </c>
      <c r="H322" s="673"/>
      <c r="I322" s="21">
        <f t="shared" si="56"/>
        <v>1</v>
      </c>
      <c r="J322" s="673"/>
      <c r="K322" s="21">
        <f t="shared" si="57"/>
        <v>1</v>
      </c>
      <c r="L322" s="673"/>
      <c r="M322" s="21">
        <f t="shared" si="58"/>
        <v>1</v>
      </c>
      <c r="N322" s="673"/>
      <c r="O322" s="21">
        <f t="shared" si="59"/>
        <v>1</v>
      </c>
      <c r="P322" s="673"/>
      <c r="Q322" s="21">
        <f t="shared" si="60"/>
        <v>1</v>
      </c>
      <c r="R322" s="669">
        <f t="shared" si="61"/>
        <v>0</v>
      </c>
      <c r="S322" s="319">
        <f t="shared" si="63"/>
        <v>0</v>
      </c>
    </row>
    <row r="323" spans="1:19">
      <c r="A323" s="152"/>
      <c r="B323" s="54"/>
      <c r="C323" s="21">
        <f t="shared" si="53"/>
        <v>1</v>
      </c>
      <c r="D323" s="673"/>
      <c r="E323" s="21">
        <f t="shared" si="54"/>
        <v>1</v>
      </c>
      <c r="F323" s="673"/>
      <c r="G323" s="21">
        <f t="shared" si="55"/>
        <v>1</v>
      </c>
      <c r="H323" s="673"/>
      <c r="I323" s="21">
        <f t="shared" si="56"/>
        <v>1</v>
      </c>
      <c r="J323" s="673"/>
      <c r="K323" s="21">
        <f t="shared" si="57"/>
        <v>1</v>
      </c>
      <c r="L323" s="673"/>
      <c r="M323" s="21">
        <f t="shared" si="58"/>
        <v>1</v>
      </c>
      <c r="N323" s="673"/>
      <c r="O323" s="21">
        <f t="shared" si="59"/>
        <v>1</v>
      </c>
      <c r="P323" s="673"/>
      <c r="Q323" s="21">
        <f t="shared" si="60"/>
        <v>1</v>
      </c>
      <c r="R323" s="669">
        <f t="shared" si="61"/>
        <v>0</v>
      </c>
      <c r="S323" s="319">
        <f t="shared" si="63"/>
        <v>0</v>
      </c>
    </row>
    <row r="324" spans="1:19">
      <c r="A324" s="152"/>
      <c r="B324" s="54"/>
      <c r="C324" s="21">
        <f t="shared" si="53"/>
        <v>1</v>
      </c>
      <c r="D324" s="673"/>
      <c r="E324" s="21">
        <f t="shared" si="54"/>
        <v>1</v>
      </c>
      <c r="F324" s="673"/>
      <c r="G324" s="21">
        <f t="shared" si="55"/>
        <v>1</v>
      </c>
      <c r="H324" s="673"/>
      <c r="I324" s="21">
        <f t="shared" si="56"/>
        <v>1</v>
      </c>
      <c r="J324" s="673"/>
      <c r="K324" s="21">
        <f t="shared" si="57"/>
        <v>1</v>
      </c>
      <c r="L324" s="673"/>
      <c r="M324" s="21">
        <f t="shared" si="58"/>
        <v>1</v>
      </c>
      <c r="N324" s="673"/>
      <c r="O324" s="21">
        <f t="shared" si="59"/>
        <v>1</v>
      </c>
      <c r="P324" s="673"/>
      <c r="Q324" s="21">
        <f t="shared" si="60"/>
        <v>1</v>
      </c>
      <c r="R324" s="669">
        <f t="shared" si="61"/>
        <v>0</v>
      </c>
      <c r="S324" s="319">
        <f t="shared" si="63"/>
        <v>0</v>
      </c>
    </row>
    <row r="325" spans="1:19">
      <c r="A325" s="152"/>
      <c r="B325" s="54"/>
      <c r="C325" s="21">
        <f t="shared" si="53"/>
        <v>1</v>
      </c>
      <c r="D325" s="673"/>
      <c r="E325" s="21">
        <f t="shared" si="54"/>
        <v>1</v>
      </c>
      <c r="F325" s="673"/>
      <c r="G325" s="21">
        <f t="shared" si="55"/>
        <v>1</v>
      </c>
      <c r="H325" s="673"/>
      <c r="I325" s="21">
        <f t="shared" si="56"/>
        <v>1</v>
      </c>
      <c r="J325" s="673"/>
      <c r="K325" s="21">
        <f t="shared" si="57"/>
        <v>1</v>
      </c>
      <c r="L325" s="673"/>
      <c r="M325" s="21">
        <f t="shared" si="58"/>
        <v>1</v>
      </c>
      <c r="N325" s="673"/>
      <c r="O325" s="21">
        <f t="shared" si="59"/>
        <v>1</v>
      </c>
      <c r="P325" s="673"/>
      <c r="Q325" s="21">
        <f t="shared" si="60"/>
        <v>1</v>
      </c>
      <c r="R325" s="669">
        <f t="shared" si="61"/>
        <v>0</v>
      </c>
      <c r="S325" s="319">
        <f t="shared" si="63"/>
        <v>0</v>
      </c>
    </row>
    <row r="326" spans="1:19">
      <c r="A326" s="152"/>
      <c r="B326" s="54"/>
      <c r="C326" s="21">
        <f t="shared" si="53"/>
        <v>1</v>
      </c>
      <c r="D326" s="673"/>
      <c r="E326" s="21">
        <f t="shared" si="54"/>
        <v>1</v>
      </c>
      <c r="F326" s="673"/>
      <c r="G326" s="21">
        <f t="shared" si="55"/>
        <v>1</v>
      </c>
      <c r="H326" s="673"/>
      <c r="I326" s="21">
        <f t="shared" si="56"/>
        <v>1</v>
      </c>
      <c r="J326" s="673"/>
      <c r="K326" s="21">
        <f t="shared" si="57"/>
        <v>1</v>
      </c>
      <c r="L326" s="673"/>
      <c r="M326" s="21">
        <f t="shared" si="58"/>
        <v>1</v>
      </c>
      <c r="N326" s="673"/>
      <c r="O326" s="21">
        <f t="shared" si="59"/>
        <v>1</v>
      </c>
      <c r="P326" s="673"/>
      <c r="Q326" s="21">
        <f t="shared" si="60"/>
        <v>1</v>
      </c>
      <c r="R326" s="669">
        <f t="shared" si="61"/>
        <v>0</v>
      </c>
      <c r="S326" s="319">
        <f t="shared" si="63"/>
        <v>0</v>
      </c>
    </row>
    <row r="327" spans="1:19">
      <c r="A327" s="152"/>
      <c r="B327" s="54"/>
      <c r="C327" s="21">
        <f t="shared" si="53"/>
        <v>1</v>
      </c>
      <c r="D327" s="673"/>
      <c r="E327" s="21">
        <f t="shared" si="54"/>
        <v>1</v>
      </c>
      <c r="F327" s="673"/>
      <c r="G327" s="21">
        <f t="shared" si="55"/>
        <v>1</v>
      </c>
      <c r="H327" s="673"/>
      <c r="I327" s="21">
        <f t="shared" si="56"/>
        <v>1</v>
      </c>
      <c r="J327" s="673"/>
      <c r="K327" s="21">
        <f t="shared" si="57"/>
        <v>1</v>
      </c>
      <c r="L327" s="673"/>
      <c r="M327" s="21">
        <f t="shared" si="58"/>
        <v>1</v>
      </c>
      <c r="N327" s="673"/>
      <c r="O327" s="21">
        <f t="shared" si="59"/>
        <v>1</v>
      </c>
      <c r="P327" s="673"/>
      <c r="Q327" s="21">
        <f t="shared" si="60"/>
        <v>1</v>
      </c>
      <c r="R327" s="669">
        <f t="shared" si="61"/>
        <v>0</v>
      </c>
      <c r="S327" s="319">
        <f t="shared" si="63"/>
        <v>0</v>
      </c>
    </row>
    <row r="328" spans="1:19">
      <c r="A328" s="152"/>
      <c r="B328" s="54"/>
      <c r="C328" s="21">
        <f t="shared" si="53"/>
        <v>1</v>
      </c>
      <c r="D328" s="673"/>
      <c r="E328" s="21">
        <f t="shared" si="54"/>
        <v>1</v>
      </c>
      <c r="F328" s="673"/>
      <c r="G328" s="21">
        <f t="shared" si="55"/>
        <v>1</v>
      </c>
      <c r="H328" s="673"/>
      <c r="I328" s="21">
        <f t="shared" si="56"/>
        <v>1</v>
      </c>
      <c r="J328" s="673"/>
      <c r="K328" s="21">
        <f t="shared" si="57"/>
        <v>1</v>
      </c>
      <c r="L328" s="673"/>
      <c r="M328" s="21">
        <f t="shared" si="58"/>
        <v>1</v>
      </c>
      <c r="N328" s="673"/>
      <c r="O328" s="21">
        <f t="shared" si="59"/>
        <v>1</v>
      </c>
      <c r="P328" s="673"/>
      <c r="Q328" s="21">
        <f t="shared" si="60"/>
        <v>1</v>
      </c>
      <c r="R328" s="669">
        <f t="shared" si="61"/>
        <v>0</v>
      </c>
      <c r="S328" s="319">
        <f t="shared" si="63"/>
        <v>0</v>
      </c>
    </row>
    <row r="329" spans="1:19">
      <c r="A329" s="152"/>
      <c r="B329" s="54"/>
      <c r="C329" s="21">
        <f t="shared" si="53"/>
        <v>1</v>
      </c>
      <c r="D329" s="673"/>
      <c r="E329" s="21">
        <f t="shared" si="54"/>
        <v>1</v>
      </c>
      <c r="F329" s="673"/>
      <c r="G329" s="21">
        <f t="shared" si="55"/>
        <v>1</v>
      </c>
      <c r="H329" s="673"/>
      <c r="I329" s="21">
        <f t="shared" si="56"/>
        <v>1</v>
      </c>
      <c r="J329" s="673"/>
      <c r="K329" s="21">
        <f t="shared" si="57"/>
        <v>1</v>
      </c>
      <c r="L329" s="673"/>
      <c r="M329" s="21">
        <f t="shared" si="58"/>
        <v>1</v>
      </c>
      <c r="N329" s="673"/>
      <c r="O329" s="21">
        <f t="shared" si="59"/>
        <v>1</v>
      </c>
      <c r="P329" s="673"/>
      <c r="Q329" s="21">
        <f t="shared" si="60"/>
        <v>1</v>
      </c>
      <c r="R329" s="669">
        <f t="shared" si="61"/>
        <v>0</v>
      </c>
      <c r="S329" s="319">
        <f t="shared" si="63"/>
        <v>0</v>
      </c>
    </row>
    <row r="330" spans="1:19">
      <c r="A330" s="152"/>
      <c r="B330" s="54"/>
      <c r="C330" s="21">
        <f t="shared" si="53"/>
        <v>1</v>
      </c>
      <c r="D330" s="673"/>
      <c r="E330" s="21">
        <f t="shared" si="54"/>
        <v>1</v>
      </c>
      <c r="F330" s="673"/>
      <c r="G330" s="21">
        <f t="shared" si="55"/>
        <v>1</v>
      </c>
      <c r="H330" s="673"/>
      <c r="I330" s="21">
        <f t="shared" si="56"/>
        <v>1</v>
      </c>
      <c r="J330" s="673"/>
      <c r="K330" s="21">
        <f t="shared" si="57"/>
        <v>1</v>
      </c>
      <c r="L330" s="673"/>
      <c r="M330" s="21">
        <f t="shared" si="58"/>
        <v>1</v>
      </c>
      <c r="N330" s="673"/>
      <c r="O330" s="21">
        <f t="shared" si="59"/>
        <v>1</v>
      </c>
      <c r="P330" s="673"/>
      <c r="Q330" s="21">
        <f t="shared" si="60"/>
        <v>1</v>
      </c>
      <c r="R330" s="669">
        <f t="shared" si="61"/>
        <v>0</v>
      </c>
      <c r="S330" s="319">
        <f t="shared" si="63"/>
        <v>0</v>
      </c>
    </row>
    <row r="331" spans="1:19">
      <c r="A331" s="152"/>
      <c r="B331" s="54"/>
      <c r="C331" s="21">
        <f t="shared" si="53"/>
        <v>1</v>
      </c>
      <c r="D331" s="673"/>
      <c r="E331" s="21">
        <f t="shared" si="54"/>
        <v>1</v>
      </c>
      <c r="F331" s="673"/>
      <c r="G331" s="21">
        <f t="shared" si="55"/>
        <v>1</v>
      </c>
      <c r="H331" s="673"/>
      <c r="I331" s="21">
        <f t="shared" si="56"/>
        <v>1</v>
      </c>
      <c r="J331" s="673"/>
      <c r="K331" s="21">
        <f t="shared" si="57"/>
        <v>1</v>
      </c>
      <c r="L331" s="673"/>
      <c r="M331" s="21">
        <f t="shared" si="58"/>
        <v>1</v>
      </c>
      <c r="N331" s="673"/>
      <c r="O331" s="21">
        <f t="shared" si="59"/>
        <v>1</v>
      </c>
      <c r="P331" s="673"/>
      <c r="Q331" s="21">
        <f t="shared" si="60"/>
        <v>1</v>
      </c>
      <c r="R331" s="669">
        <f t="shared" si="61"/>
        <v>0</v>
      </c>
      <c r="S331" s="319">
        <f t="shared" si="63"/>
        <v>0</v>
      </c>
    </row>
    <row r="332" spans="1:19">
      <c r="A332" s="152"/>
      <c r="B332" s="54"/>
      <c r="C332" s="21">
        <f t="shared" si="53"/>
        <v>1</v>
      </c>
      <c r="D332" s="673"/>
      <c r="E332" s="21">
        <f t="shared" si="54"/>
        <v>1</v>
      </c>
      <c r="F332" s="673"/>
      <c r="G332" s="21">
        <f t="shared" si="55"/>
        <v>1</v>
      </c>
      <c r="H332" s="673"/>
      <c r="I332" s="21">
        <f t="shared" si="56"/>
        <v>1</v>
      </c>
      <c r="J332" s="673"/>
      <c r="K332" s="21">
        <f t="shared" si="57"/>
        <v>1</v>
      </c>
      <c r="L332" s="673"/>
      <c r="M332" s="21">
        <f t="shared" si="58"/>
        <v>1</v>
      </c>
      <c r="N332" s="673"/>
      <c r="O332" s="21">
        <f t="shared" si="59"/>
        <v>1</v>
      </c>
      <c r="P332" s="673"/>
      <c r="Q332" s="21">
        <f t="shared" si="60"/>
        <v>1</v>
      </c>
      <c r="R332" s="669">
        <f t="shared" si="61"/>
        <v>0</v>
      </c>
      <c r="S332" s="319">
        <f t="shared" si="63"/>
        <v>0</v>
      </c>
    </row>
    <row r="333" spans="1:19">
      <c r="A333" s="152"/>
      <c r="B333" s="54"/>
      <c r="C333" s="21">
        <f t="shared" si="53"/>
        <v>1</v>
      </c>
      <c r="D333" s="673"/>
      <c r="E333" s="21">
        <f t="shared" si="54"/>
        <v>1</v>
      </c>
      <c r="F333" s="673"/>
      <c r="G333" s="21">
        <f t="shared" si="55"/>
        <v>1</v>
      </c>
      <c r="H333" s="673"/>
      <c r="I333" s="21">
        <f t="shared" si="56"/>
        <v>1</v>
      </c>
      <c r="J333" s="673"/>
      <c r="K333" s="21">
        <f t="shared" si="57"/>
        <v>1</v>
      </c>
      <c r="L333" s="673"/>
      <c r="M333" s="21">
        <f t="shared" si="58"/>
        <v>1</v>
      </c>
      <c r="N333" s="673"/>
      <c r="O333" s="21">
        <f t="shared" si="59"/>
        <v>1</v>
      </c>
      <c r="P333" s="673"/>
      <c r="Q333" s="21">
        <f t="shared" si="60"/>
        <v>1</v>
      </c>
      <c r="R333" s="669">
        <f t="shared" si="61"/>
        <v>0</v>
      </c>
      <c r="S333" s="319">
        <f t="shared" si="63"/>
        <v>0</v>
      </c>
    </row>
    <row r="334" spans="1:19">
      <c r="A334" s="152"/>
      <c r="B334" s="54"/>
      <c r="C334" s="21">
        <f t="shared" si="53"/>
        <v>1</v>
      </c>
      <c r="D334" s="673"/>
      <c r="E334" s="21">
        <f t="shared" si="54"/>
        <v>1</v>
      </c>
      <c r="F334" s="673"/>
      <c r="G334" s="21">
        <f t="shared" si="55"/>
        <v>1</v>
      </c>
      <c r="H334" s="673"/>
      <c r="I334" s="21">
        <f t="shared" si="56"/>
        <v>1</v>
      </c>
      <c r="J334" s="673"/>
      <c r="K334" s="21">
        <f t="shared" si="57"/>
        <v>1</v>
      </c>
      <c r="L334" s="673"/>
      <c r="M334" s="21">
        <f t="shared" si="58"/>
        <v>1</v>
      </c>
      <c r="N334" s="673"/>
      <c r="O334" s="21">
        <f t="shared" si="59"/>
        <v>1</v>
      </c>
      <c r="P334" s="673"/>
      <c r="Q334" s="21">
        <f t="shared" si="60"/>
        <v>1</v>
      </c>
      <c r="R334" s="669">
        <f t="shared" si="61"/>
        <v>0</v>
      </c>
      <c r="S334" s="319">
        <f t="shared" si="63"/>
        <v>0</v>
      </c>
    </row>
    <row r="335" spans="1:19">
      <c r="A335" s="152"/>
      <c r="B335" s="54"/>
      <c r="C335" s="21">
        <f t="shared" si="53"/>
        <v>1</v>
      </c>
      <c r="D335" s="673"/>
      <c r="E335" s="21">
        <f t="shared" si="54"/>
        <v>1</v>
      </c>
      <c r="F335" s="673"/>
      <c r="G335" s="21">
        <f t="shared" si="55"/>
        <v>1</v>
      </c>
      <c r="H335" s="673"/>
      <c r="I335" s="21">
        <f t="shared" si="56"/>
        <v>1</v>
      </c>
      <c r="J335" s="673"/>
      <c r="K335" s="21">
        <f t="shared" si="57"/>
        <v>1</v>
      </c>
      <c r="L335" s="673"/>
      <c r="M335" s="21">
        <f t="shared" si="58"/>
        <v>1</v>
      </c>
      <c r="N335" s="673"/>
      <c r="O335" s="21">
        <f t="shared" si="59"/>
        <v>1</v>
      </c>
      <c r="P335" s="673"/>
      <c r="Q335" s="21">
        <f t="shared" si="60"/>
        <v>1</v>
      </c>
      <c r="R335" s="669">
        <f t="shared" si="61"/>
        <v>0</v>
      </c>
      <c r="S335" s="319">
        <f t="shared" si="63"/>
        <v>0</v>
      </c>
    </row>
    <row r="336" spans="1:19">
      <c r="A336" s="152"/>
      <c r="B336" s="54"/>
      <c r="C336" s="21">
        <f t="shared" si="53"/>
        <v>1</v>
      </c>
      <c r="D336" s="673"/>
      <c r="E336" s="21">
        <f t="shared" si="54"/>
        <v>1</v>
      </c>
      <c r="F336" s="673"/>
      <c r="G336" s="21">
        <f t="shared" si="55"/>
        <v>1</v>
      </c>
      <c r="H336" s="673"/>
      <c r="I336" s="21">
        <f t="shared" si="56"/>
        <v>1</v>
      </c>
      <c r="J336" s="673"/>
      <c r="K336" s="21">
        <f t="shared" si="57"/>
        <v>1</v>
      </c>
      <c r="L336" s="673"/>
      <c r="M336" s="21">
        <f t="shared" si="58"/>
        <v>1</v>
      </c>
      <c r="N336" s="673"/>
      <c r="O336" s="21">
        <f t="shared" si="59"/>
        <v>1</v>
      </c>
      <c r="P336" s="673"/>
      <c r="Q336" s="21">
        <f t="shared" si="60"/>
        <v>1</v>
      </c>
      <c r="R336" s="669">
        <f t="shared" si="61"/>
        <v>0</v>
      </c>
      <c r="S336" s="319">
        <f t="shared" si="63"/>
        <v>0</v>
      </c>
    </row>
    <row r="337" spans="1:19">
      <c r="A337" s="152"/>
      <c r="B337" s="54"/>
      <c r="C337" s="21">
        <f t="shared" si="53"/>
        <v>1</v>
      </c>
      <c r="D337" s="673"/>
      <c r="E337" s="21">
        <f t="shared" si="54"/>
        <v>1</v>
      </c>
      <c r="F337" s="673"/>
      <c r="G337" s="21">
        <f t="shared" si="55"/>
        <v>1</v>
      </c>
      <c r="H337" s="673"/>
      <c r="I337" s="21">
        <f t="shared" si="56"/>
        <v>1</v>
      </c>
      <c r="J337" s="673"/>
      <c r="K337" s="21">
        <f t="shared" si="57"/>
        <v>1</v>
      </c>
      <c r="L337" s="673"/>
      <c r="M337" s="21">
        <f t="shared" si="58"/>
        <v>1</v>
      </c>
      <c r="N337" s="673"/>
      <c r="O337" s="21">
        <f t="shared" si="59"/>
        <v>1</v>
      </c>
      <c r="P337" s="673"/>
      <c r="Q337" s="21">
        <f t="shared" si="60"/>
        <v>1</v>
      </c>
      <c r="R337" s="669">
        <f t="shared" si="61"/>
        <v>0</v>
      </c>
      <c r="S337" s="319">
        <f t="shared" si="63"/>
        <v>0</v>
      </c>
    </row>
    <row r="338" spans="1:19">
      <c r="A338" s="152"/>
      <c r="B338" s="54"/>
      <c r="C338" s="21">
        <f t="shared" si="53"/>
        <v>1</v>
      </c>
      <c r="D338" s="673"/>
      <c r="E338" s="21">
        <f t="shared" si="54"/>
        <v>1</v>
      </c>
      <c r="F338" s="673"/>
      <c r="G338" s="21">
        <f t="shared" si="55"/>
        <v>1</v>
      </c>
      <c r="H338" s="673"/>
      <c r="I338" s="21">
        <f t="shared" si="56"/>
        <v>1</v>
      </c>
      <c r="J338" s="673"/>
      <c r="K338" s="21">
        <f t="shared" si="57"/>
        <v>1</v>
      </c>
      <c r="L338" s="673"/>
      <c r="M338" s="21">
        <f t="shared" si="58"/>
        <v>1</v>
      </c>
      <c r="N338" s="673"/>
      <c r="O338" s="21">
        <f t="shared" si="59"/>
        <v>1</v>
      </c>
      <c r="P338" s="673"/>
      <c r="Q338" s="21">
        <f t="shared" si="60"/>
        <v>1</v>
      </c>
      <c r="R338" s="669">
        <f t="shared" si="61"/>
        <v>0</v>
      </c>
      <c r="S338" s="319">
        <f t="shared" si="63"/>
        <v>0</v>
      </c>
    </row>
    <row r="339" spans="1:19">
      <c r="A339" s="152"/>
      <c r="B339" s="54"/>
      <c r="C339" s="21">
        <f t="shared" si="53"/>
        <v>1</v>
      </c>
      <c r="D339" s="673"/>
      <c r="E339" s="21">
        <f t="shared" si="54"/>
        <v>1</v>
      </c>
      <c r="F339" s="673"/>
      <c r="G339" s="21">
        <f t="shared" si="55"/>
        <v>1</v>
      </c>
      <c r="H339" s="673"/>
      <c r="I339" s="21">
        <f t="shared" si="56"/>
        <v>1</v>
      </c>
      <c r="J339" s="673"/>
      <c r="K339" s="21">
        <f t="shared" si="57"/>
        <v>1</v>
      </c>
      <c r="L339" s="673"/>
      <c r="M339" s="21">
        <f t="shared" si="58"/>
        <v>1</v>
      </c>
      <c r="N339" s="673"/>
      <c r="O339" s="21">
        <f t="shared" si="59"/>
        <v>1</v>
      </c>
      <c r="P339" s="673"/>
      <c r="Q339" s="21">
        <f t="shared" si="60"/>
        <v>1</v>
      </c>
      <c r="R339" s="669">
        <f t="shared" si="61"/>
        <v>0</v>
      </c>
      <c r="S339" s="319">
        <f t="shared" si="63"/>
        <v>0</v>
      </c>
    </row>
    <row r="340" spans="1:19">
      <c r="A340" s="152"/>
      <c r="B340" s="54"/>
      <c r="C340" s="21">
        <f t="shared" si="53"/>
        <v>1</v>
      </c>
      <c r="D340" s="673"/>
      <c r="E340" s="21">
        <f t="shared" si="54"/>
        <v>1</v>
      </c>
      <c r="F340" s="673"/>
      <c r="G340" s="21">
        <f t="shared" si="55"/>
        <v>1</v>
      </c>
      <c r="H340" s="673"/>
      <c r="I340" s="21">
        <f t="shared" si="56"/>
        <v>1</v>
      </c>
      <c r="J340" s="673"/>
      <c r="K340" s="21">
        <f t="shared" si="57"/>
        <v>1</v>
      </c>
      <c r="L340" s="673"/>
      <c r="M340" s="21">
        <f t="shared" si="58"/>
        <v>1</v>
      </c>
      <c r="N340" s="673"/>
      <c r="O340" s="21">
        <f t="shared" si="59"/>
        <v>1</v>
      </c>
      <c r="P340" s="673"/>
      <c r="Q340" s="21">
        <f t="shared" si="60"/>
        <v>1</v>
      </c>
      <c r="R340" s="669">
        <f t="shared" si="61"/>
        <v>0</v>
      </c>
      <c r="S340" s="319">
        <f t="shared" si="63"/>
        <v>0</v>
      </c>
    </row>
    <row r="341" spans="1:19">
      <c r="A341" s="152"/>
      <c r="B341" s="54"/>
      <c r="C341" s="21">
        <f t="shared" si="53"/>
        <v>1</v>
      </c>
      <c r="D341" s="673"/>
      <c r="E341" s="21">
        <f t="shared" si="54"/>
        <v>1</v>
      </c>
      <c r="F341" s="673"/>
      <c r="G341" s="21">
        <f t="shared" si="55"/>
        <v>1</v>
      </c>
      <c r="H341" s="673"/>
      <c r="I341" s="21">
        <f t="shared" si="56"/>
        <v>1</v>
      </c>
      <c r="J341" s="673"/>
      <c r="K341" s="21">
        <f t="shared" si="57"/>
        <v>1</v>
      </c>
      <c r="L341" s="673"/>
      <c r="M341" s="21">
        <f t="shared" si="58"/>
        <v>1</v>
      </c>
      <c r="N341" s="673"/>
      <c r="O341" s="21">
        <f t="shared" si="59"/>
        <v>1</v>
      </c>
      <c r="P341" s="673"/>
      <c r="Q341" s="21">
        <f t="shared" si="60"/>
        <v>1</v>
      </c>
      <c r="R341" s="669">
        <f t="shared" si="61"/>
        <v>0</v>
      </c>
      <c r="S341" s="319">
        <f t="shared" si="63"/>
        <v>0</v>
      </c>
    </row>
    <row r="342" spans="1:19">
      <c r="A342" s="152"/>
      <c r="B342" s="54"/>
      <c r="C342" s="21">
        <f t="shared" si="53"/>
        <v>1</v>
      </c>
      <c r="D342" s="673"/>
      <c r="E342" s="21">
        <f t="shared" si="54"/>
        <v>1</v>
      </c>
      <c r="F342" s="673"/>
      <c r="G342" s="21">
        <f t="shared" si="55"/>
        <v>1</v>
      </c>
      <c r="H342" s="673"/>
      <c r="I342" s="21">
        <f t="shared" si="56"/>
        <v>1</v>
      </c>
      <c r="J342" s="673"/>
      <c r="K342" s="21">
        <f t="shared" si="57"/>
        <v>1</v>
      </c>
      <c r="L342" s="673"/>
      <c r="M342" s="21">
        <f t="shared" si="58"/>
        <v>1</v>
      </c>
      <c r="N342" s="673"/>
      <c r="O342" s="21">
        <f t="shared" si="59"/>
        <v>1</v>
      </c>
      <c r="P342" s="673"/>
      <c r="Q342" s="21">
        <f t="shared" si="60"/>
        <v>1</v>
      </c>
      <c r="R342" s="669">
        <f t="shared" si="61"/>
        <v>0</v>
      </c>
      <c r="S342" s="319">
        <f t="shared" si="63"/>
        <v>0</v>
      </c>
    </row>
    <row r="343" spans="1:19">
      <c r="A343" s="152"/>
      <c r="B343" s="54"/>
      <c r="C343" s="21">
        <f t="shared" si="53"/>
        <v>1</v>
      </c>
      <c r="D343" s="673"/>
      <c r="E343" s="21">
        <f t="shared" si="54"/>
        <v>1</v>
      </c>
      <c r="F343" s="673"/>
      <c r="G343" s="21">
        <f t="shared" si="55"/>
        <v>1</v>
      </c>
      <c r="H343" s="673"/>
      <c r="I343" s="21">
        <f t="shared" si="56"/>
        <v>1</v>
      </c>
      <c r="J343" s="673"/>
      <c r="K343" s="21">
        <f t="shared" si="57"/>
        <v>1</v>
      </c>
      <c r="L343" s="673"/>
      <c r="M343" s="21">
        <f t="shared" si="58"/>
        <v>1</v>
      </c>
      <c r="N343" s="673"/>
      <c r="O343" s="21">
        <f t="shared" si="59"/>
        <v>1</v>
      </c>
      <c r="P343" s="673"/>
      <c r="Q343" s="21">
        <f t="shared" si="60"/>
        <v>1</v>
      </c>
      <c r="R343" s="669">
        <f t="shared" si="61"/>
        <v>0</v>
      </c>
      <c r="S343" s="319">
        <f t="shared" si="63"/>
        <v>0</v>
      </c>
    </row>
    <row r="344" spans="1:19">
      <c r="A344" s="152"/>
      <c r="B344" s="54"/>
      <c r="C344" s="21">
        <f t="shared" si="53"/>
        <v>1</v>
      </c>
      <c r="D344" s="673"/>
      <c r="E344" s="21">
        <f t="shared" si="54"/>
        <v>1</v>
      </c>
      <c r="F344" s="673"/>
      <c r="G344" s="21">
        <f t="shared" si="55"/>
        <v>1</v>
      </c>
      <c r="H344" s="673"/>
      <c r="I344" s="21">
        <f t="shared" si="56"/>
        <v>1</v>
      </c>
      <c r="J344" s="673"/>
      <c r="K344" s="21">
        <f t="shared" si="57"/>
        <v>1</v>
      </c>
      <c r="L344" s="673"/>
      <c r="M344" s="21">
        <f t="shared" si="58"/>
        <v>1</v>
      </c>
      <c r="N344" s="673"/>
      <c r="O344" s="21">
        <f t="shared" si="59"/>
        <v>1</v>
      </c>
      <c r="P344" s="673"/>
      <c r="Q344" s="21">
        <f t="shared" si="60"/>
        <v>1</v>
      </c>
      <c r="R344" s="669">
        <f t="shared" si="61"/>
        <v>0</v>
      </c>
      <c r="S344" s="319">
        <f t="shared" si="63"/>
        <v>0</v>
      </c>
    </row>
    <row r="345" spans="1:19">
      <c r="A345" s="152"/>
      <c r="B345" s="54"/>
      <c r="C345" s="21">
        <f t="shared" si="53"/>
        <v>1</v>
      </c>
      <c r="D345" s="673"/>
      <c r="E345" s="21">
        <f t="shared" si="54"/>
        <v>1</v>
      </c>
      <c r="F345" s="673"/>
      <c r="G345" s="21">
        <f t="shared" si="55"/>
        <v>1</v>
      </c>
      <c r="H345" s="673"/>
      <c r="I345" s="21">
        <f t="shared" si="56"/>
        <v>1</v>
      </c>
      <c r="J345" s="673"/>
      <c r="K345" s="21">
        <f t="shared" si="57"/>
        <v>1</v>
      </c>
      <c r="L345" s="673"/>
      <c r="M345" s="21">
        <f t="shared" si="58"/>
        <v>1</v>
      </c>
      <c r="N345" s="673"/>
      <c r="O345" s="21">
        <f t="shared" si="59"/>
        <v>1</v>
      </c>
      <c r="P345" s="673"/>
      <c r="Q345" s="21">
        <f t="shared" si="60"/>
        <v>1</v>
      </c>
      <c r="R345" s="669">
        <f t="shared" si="61"/>
        <v>0</v>
      </c>
      <c r="S345" s="319">
        <f t="shared" si="63"/>
        <v>0</v>
      </c>
    </row>
    <row r="346" spans="1:19">
      <c r="A346" s="152"/>
      <c r="B346" s="54"/>
      <c r="C346" s="21">
        <f t="shared" ref="C346:C409" si="64">IF(B346="",1,(LOOKUP(B346,$3:$3,$4:$4)-LOOKUP($B$24,$3:$3,$4:$4)+100)/100)</f>
        <v>1</v>
      </c>
      <c r="D346" s="673"/>
      <c r="E346" s="21">
        <f t="shared" ref="E346:E409" si="65">(SUMIF($5:$5,D346,$6:$6)-SUMIF($5:$5,$D$24,$6:$6)+100)/100</f>
        <v>1</v>
      </c>
      <c r="F346" s="673"/>
      <c r="G346" s="21">
        <f t="shared" ref="G346:G409" si="66">(SUMIF($7:$7,F346,$8:$8)-SUMIF($7:$7,$F$24,$8:$8)+100)/100</f>
        <v>1</v>
      </c>
      <c r="H346" s="673"/>
      <c r="I346" s="21">
        <f t="shared" ref="I346:I409" si="67">(SUMIF($9:$9,H346,$10:$10)-SUMIF($9:$9,$H$24,$10:$10)+100)/100</f>
        <v>1</v>
      </c>
      <c r="J346" s="673"/>
      <c r="K346" s="21">
        <f t="shared" ref="K346:K409" si="68">(SUMIF($11:$11,J346,$12:$12)-SUMIF($11:$11,$J$24,$12:$12)+100)/100</f>
        <v>1</v>
      </c>
      <c r="L346" s="673"/>
      <c r="M346" s="21">
        <f t="shared" ref="M346:M409" si="69">(SUMIF($13:$13,L346,$14:$14)-SUMIF($13:$13,$L$24,$14:$14)+100)/100</f>
        <v>1</v>
      </c>
      <c r="N346" s="673"/>
      <c r="O346" s="21">
        <f t="shared" ref="O346:O409" si="70">(SUMIF($15:$15,N346,$16:$16)-SUMIF($15:$15,$N$24,$16:$16)+100)/100</f>
        <v>1</v>
      </c>
      <c r="P346" s="673"/>
      <c r="Q346" s="21">
        <f t="shared" ref="Q346:Q409" si="71">(SUMIF($17:$17,P346,$18:$18)-SUMIF($17:$17,$P$24,$18:$18)+100)/100</f>
        <v>1</v>
      </c>
      <c r="R346" s="669">
        <f t="shared" ref="R346:R409" si="72">IF(B346="",0,ROUND($R$24*C346*E346*G346*I346*K346*M346*O346*Q346,0))</f>
        <v>0</v>
      </c>
      <c r="S346" s="319">
        <f t="shared" si="63"/>
        <v>0</v>
      </c>
    </row>
    <row r="347" spans="1:19">
      <c r="A347" s="152"/>
      <c r="B347" s="54"/>
      <c r="C347" s="21">
        <f t="shared" si="64"/>
        <v>1</v>
      </c>
      <c r="D347" s="673"/>
      <c r="E347" s="21">
        <f t="shared" si="65"/>
        <v>1</v>
      </c>
      <c r="F347" s="673"/>
      <c r="G347" s="21">
        <f t="shared" si="66"/>
        <v>1</v>
      </c>
      <c r="H347" s="673"/>
      <c r="I347" s="21">
        <f t="shared" si="67"/>
        <v>1</v>
      </c>
      <c r="J347" s="673"/>
      <c r="K347" s="21">
        <f t="shared" si="68"/>
        <v>1</v>
      </c>
      <c r="L347" s="673"/>
      <c r="M347" s="21">
        <f t="shared" si="69"/>
        <v>1</v>
      </c>
      <c r="N347" s="673"/>
      <c r="O347" s="21">
        <f t="shared" si="70"/>
        <v>1</v>
      </c>
      <c r="P347" s="673"/>
      <c r="Q347" s="21">
        <f t="shared" si="71"/>
        <v>1</v>
      </c>
      <c r="R347" s="669">
        <f t="shared" si="72"/>
        <v>0</v>
      </c>
      <c r="S347" s="319">
        <f t="shared" si="63"/>
        <v>0</v>
      </c>
    </row>
    <row r="348" spans="1:19">
      <c r="A348" s="152"/>
      <c r="B348" s="54"/>
      <c r="C348" s="21">
        <f t="shared" si="64"/>
        <v>1</v>
      </c>
      <c r="D348" s="673"/>
      <c r="E348" s="21">
        <f t="shared" si="65"/>
        <v>1</v>
      </c>
      <c r="F348" s="673"/>
      <c r="G348" s="21">
        <f t="shared" si="66"/>
        <v>1</v>
      </c>
      <c r="H348" s="673"/>
      <c r="I348" s="21">
        <f t="shared" si="67"/>
        <v>1</v>
      </c>
      <c r="J348" s="673"/>
      <c r="K348" s="21">
        <f t="shared" si="68"/>
        <v>1</v>
      </c>
      <c r="L348" s="673"/>
      <c r="M348" s="21">
        <f t="shared" si="69"/>
        <v>1</v>
      </c>
      <c r="N348" s="673"/>
      <c r="O348" s="21">
        <f t="shared" si="70"/>
        <v>1</v>
      </c>
      <c r="P348" s="673"/>
      <c r="Q348" s="21">
        <f t="shared" si="71"/>
        <v>1</v>
      </c>
      <c r="R348" s="669">
        <f t="shared" si="72"/>
        <v>0</v>
      </c>
      <c r="S348" s="319">
        <f t="shared" si="63"/>
        <v>0</v>
      </c>
    </row>
    <row r="349" spans="1:19">
      <c r="A349" s="152"/>
      <c r="B349" s="54"/>
      <c r="C349" s="21">
        <f t="shared" si="64"/>
        <v>1</v>
      </c>
      <c r="D349" s="673"/>
      <c r="E349" s="21">
        <f t="shared" si="65"/>
        <v>1</v>
      </c>
      <c r="F349" s="673"/>
      <c r="G349" s="21">
        <f t="shared" si="66"/>
        <v>1</v>
      </c>
      <c r="H349" s="673"/>
      <c r="I349" s="21">
        <f t="shared" si="67"/>
        <v>1</v>
      </c>
      <c r="J349" s="673"/>
      <c r="K349" s="21">
        <f t="shared" si="68"/>
        <v>1</v>
      </c>
      <c r="L349" s="673"/>
      <c r="M349" s="21">
        <f t="shared" si="69"/>
        <v>1</v>
      </c>
      <c r="N349" s="673"/>
      <c r="O349" s="21">
        <f t="shared" si="70"/>
        <v>1</v>
      </c>
      <c r="P349" s="673"/>
      <c r="Q349" s="21">
        <f t="shared" si="71"/>
        <v>1</v>
      </c>
      <c r="R349" s="669">
        <f t="shared" si="72"/>
        <v>0</v>
      </c>
      <c r="S349" s="319">
        <f t="shared" si="63"/>
        <v>0</v>
      </c>
    </row>
    <row r="350" spans="1:19">
      <c r="A350" s="152"/>
      <c r="B350" s="54"/>
      <c r="C350" s="21">
        <f t="shared" si="64"/>
        <v>1</v>
      </c>
      <c r="D350" s="673"/>
      <c r="E350" s="21">
        <f t="shared" si="65"/>
        <v>1</v>
      </c>
      <c r="F350" s="673"/>
      <c r="G350" s="21">
        <f t="shared" si="66"/>
        <v>1</v>
      </c>
      <c r="H350" s="673"/>
      <c r="I350" s="21">
        <f t="shared" si="67"/>
        <v>1</v>
      </c>
      <c r="J350" s="673"/>
      <c r="K350" s="21">
        <f t="shared" si="68"/>
        <v>1</v>
      </c>
      <c r="L350" s="673"/>
      <c r="M350" s="21">
        <f t="shared" si="69"/>
        <v>1</v>
      </c>
      <c r="N350" s="673"/>
      <c r="O350" s="21">
        <f t="shared" si="70"/>
        <v>1</v>
      </c>
      <c r="P350" s="673"/>
      <c r="Q350" s="21">
        <f t="shared" si="71"/>
        <v>1</v>
      </c>
      <c r="R350" s="669">
        <f t="shared" si="72"/>
        <v>0</v>
      </c>
      <c r="S350" s="319">
        <f t="shared" si="63"/>
        <v>0</v>
      </c>
    </row>
    <row r="351" spans="1:19">
      <c r="A351" s="152"/>
      <c r="B351" s="54"/>
      <c r="C351" s="21">
        <f t="shared" si="64"/>
        <v>1</v>
      </c>
      <c r="D351" s="673"/>
      <c r="E351" s="21">
        <f t="shared" si="65"/>
        <v>1</v>
      </c>
      <c r="F351" s="673"/>
      <c r="G351" s="21">
        <f t="shared" si="66"/>
        <v>1</v>
      </c>
      <c r="H351" s="673"/>
      <c r="I351" s="21">
        <f t="shared" si="67"/>
        <v>1</v>
      </c>
      <c r="J351" s="673"/>
      <c r="K351" s="21">
        <f t="shared" si="68"/>
        <v>1</v>
      </c>
      <c r="L351" s="673"/>
      <c r="M351" s="21">
        <f t="shared" si="69"/>
        <v>1</v>
      </c>
      <c r="N351" s="673"/>
      <c r="O351" s="21">
        <f t="shared" si="70"/>
        <v>1</v>
      </c>
      <c r="P351" s="673"/>
      <c r="Q351" s="21">
        <f t="shared" si="71"/>
        <v>1</v>
      </c>
      <c r="R351" s="669">
        <f t="shared" si="72"/>
        <v>0</v>
      </c>
      <c r="S351" s="319">
        <f t="shared" si="63"/>
        <v>0</v>
      </c>
    </row>
    <row r="352" spans="1:19">
      <c r="A352" s="152"/>
      <c r="B352" s="54"/>
      <c r="C352" s="21">
        <f t="shared" si="64"/>
        <v>1</v>
      </c>
      <c r="D352" s="673"/>
      <c r="E352" s="21">
        <f t="shared" si="65"/>
        <v>1</v>
      </c>
      <c r="F352" s="673"/>
      <c r="G352" s="21">
        <f t="shared" si="66"/>
        <v>1</v>
      </c>
      <c r="H352" s="673"/>
      <c r="I352" s="21">
        <f t="shared" si="67"/>
        <v>1</v>
      </c>
      <c r="J352" s="673"/>
      <c r="K352" s="21">
        <f t="shared" si="68"/>
        <v>1</v>
      </c>
      <c r="L352" s="673"/>
      <c r="M352" s="21">
        <f t="shared" si="69"/>
        <v>1</v>
      </c>
      <c r="N352" s="673"/>
      <c r="O352" s="21">
        <f t="shared" si="70"/>
        <v>1</v>
      </c>
      <c r="P352" s="673"/>
      <c r="Q352" s="21">
        <f t="shared" si="71"/>
        <v>1</v>
      </c>
      <c r="R352" s="669">
        <f t="shared" si="72"/>
        <v>0</v>
      </c>
      <c r="S352" s="319">
        <f t="shared" si="63"/>
        <v>0</v>
      </c>
    </row>
    <row r="353" spans="1:19">
      <c r="A353" s="152"/>
      <c r="B353" s="54"/>
      <c r="C353" s="21">
        <f t="shared" si="64"/>
        <v>1</v>
      </c>
      <c r="D353" s="673"/>
      <c r="E353" s="21">
        <f t="shared" si="65"/>
        <v>1</v>
      </c>
      <c r="F353" s="673"/>
      <c r="G353" s="21">
        <f t="shared" si="66"/>
        <v>1</v>
      </c>
      <c r="H353" s="673"/>
      <c r="I353" s="21">
        <f t="shared" si="67"/>
        <v>1</v>
      </c>
      <c r="J353" s="673"/>
      <c r="K353" s="21">
        <f t="shared" si="68"/>
        <v>1</v>
      </c>
      <c r="L353" s="673"/>
      <c r="M353" s="21">
        <f t="shared" si="69"/>
        <v>1</v>
      </c>
      <c r="N353" s="673"/>
      <c r="O353" s="21">
        <f t="shared" si="70"/>
        <v>1</v>
      </c>
      <c r="P353" s="673"/>
      <c r="Q353" s="21">
        <f t="shared" si="71"/>
        <v>1</v>
      </c>
      <c r="R353" s="669">
        <f t="shared" si="72"/>
        <v>0</v>
      </c>
      <c r="S353" s="319">
        <f t="shared" si="63"/>
        <v>0</v>
      </c>
    </row>
    <row r="354" spans="1:19">
      <c r="A354" s="152"/>
      <c r="B354" s="54"/>
      <c r="C354" s="21">
        <f t="shared" si="64"/>
        <v>1</v>
      </c>
      <c r="D354" s="673"/>
      <c r="E354" s="21">
        <f t="shared" si="65"/>
        <v>1</v>
      </c>
      <c r="F354" s="673"/>
      <c r="G354" s="21">
        <f t="shared" si="66"/>
        <v>1</v>
      </c>
      <c r="H354" s="673"/>
      <c r="I354" s="21">
        <f t="shared" si="67"/>
        <v>1</v>
      </c>
      <c r="J354" s="673"/>
      <c r="K354" s="21">
        <f t="shared" si="68"/>
        <v>1</v>
      </c>
      <c r="L354" s="673"/>
      <c r="M354" s="21">
        <f t="shared" si="69"/>
        <v>1</v>
      </c>
      <c r="N354" s="673"/>
      <c r="O354" s="21">
        <f t="shared" si="70"/>
        <v>1</v>
      </c>
      <c r="P354" s="673"/>
      <c r="Q354" s="21">
        <f t="shared" si="71"/>
        <v>1</v>
      </c>
      <c r="R354" s="669">
        <f t="shared" si="72"/>
        <v>0</v>
      </c>
      <c r="S354" s="319">
        <f t="shared" si="63"/>
        <v>0</v>
      </c>
    </row>
    <row r="355" spans="1:19">
      <c r="A355" s="152"/>
      <c r="B355" s="54"/>
      <c r="C355" s="21">
        <f t="shared" si="64"/>
        <v>1</v>
      </c>
      <c r="D355" s="673"/>
      <c r="E355" s="21">
        <f t="shared" si="65"/>
        <v>1</v>
      </c>
      <c r="F355" s="673"/>
      <c r="G355" s="21">
        <f t="shared" si="66"/>
        <v>1</v>
      </c>
      <c r="H355" s="673"/>
      <c r="I355" s="21">
        <f t="shared" si="67"/>
        <v>1</v>
      </c>
      <c r="J355" s="673"/>
      <c r="K355" s="21">
        <f t="shared" si="68"/>
        <v>1</v>
      </c>
      <c r="L355" s="673"/>
      <c r="M355" s="21">
        <f t="shared" si="69"/>
        <v>1</v>
      </c>
      <c r="N355" s="673"/>
      <c r="O355" s="21">
        <f t="shared" si="70"/>
        <v>1</v>
      </c>
      <c r="P355" s="673"/>
      <c r="Q355" s="21">
        <f t="shared" si="71"/>
        <v>1</v>
      </c>
      <c r="R355" s="669">
        <f t="shared" si="72"/>
        <v>0</v>
      </c>
      <c r="S355" s="319">
        <f t="shared" si="63"/>
        <v>0</v>
      </c>
    </row>
    <row r="356" spans="1:19">
      <c r="A356" s="152"/>
      <c r="B356" s="54"/>
      <c r="C356" s="21">
        <f t="shared" si="64"/>
        <v>1</v>
      </c>
      <c r="D356" s="673"/>
      <c r="E356" s="21">
        <f t="shared" si="65"/>
        <v>1</v>
      </c>
      <c r="F356" s="673"/>
      <c r="G356" s="21">
        <f t="shared" si="66"/>
        <v>1</v>
      </c>
      <c r="H356" s="673"/>
      <c r="I356" s="21">
        <f t="shared" si="67"/>
        <v>1</v>
      </c>
      <c r="J356" s="673"/>
      <c r="K356" s="21">
        <f t="shared" si="68"/>
        <v>1</v>
      </c>
      <c r="L356" s="673"/>
      <c r="M356" s="21">
        <f t="shared" si="69"/>
        <v>1</v>
      </c>
      <c r="N356" s="673"/>
      <c r="O356" s="21">
        <f t="shared" si="70"/>
        <v>1</v>
      </c>
      <c r="P356" s="673"/>
      <c r="Q356" s="21">
        <f t="shared" si="71"/>
        <v>1</v>
      </c>
      <c r="R356" s="669">
        <f t="shared" si="72"/>
        <v>0</v>
      </c>
      <c r="S356" s="319">
        <f t="shared" si="63"/>
        <v>0</v>
      </c>
    </row>
    <row r="357" spans="1:19">
      <c r="A357" s="152"/>
      <c r="B357" s="54"/>
      <c r="C357" s="21">
        <f t="shared" si="64"/>
        <v>1</v>
      </c>
      <c r="D357" s="673"/>
      <c r="E357" s="21">
        <f t="shared" si="65"/>
        <v>1</v>
      </c>
      <c r="F357" s="673"/>
      <c r="G357" s="21">
        <f t="shared" si="66"/>
        <v>1</v>
      </c>
      <c r="H357" s="673"/>
      <c r="I357" s="21">
        <f t="shared" si="67"/>
        <v>1</v>
      </c>
      <c r="J357" s="673"/>
      <c r="K357" s="21">
        <f t="shared" si="68"/>
        <v>1</v>
      </c>
      <c r="L357" s="673"/>
      <c r="M357" s="21">
        <f t="shared" si="69"/>
        <v>1</v>
      </c>
      <c r="N357" s="673"/>
      <c r="O357" s="21">
        <f t="shared" si="70"/>
        <v>1</v>
      </c>
      <c r="P357" s="673"/>
      <c r="Q357" s="21">
        <f t="shared" si="71"/>
        <v>1</v>
      </c>
      <c r="R357" s="669">
        <f t="shared" si="72"/>
        <v>0</v>
      </c>
      <c r="S357" s="319">
        <f t="shared" si="63"/>
        <v>0</v>
      </c>
    </row>
    <row r="358" spans="1:19">
      <c r="A358" s="152"/>
      <c r="B358" s="54"/>
      <c r="C358" s="21">
        <f t="shared" si="64"/>
        <v>1</v>
      </c>
      <c r="D358" s="673"/>
      <c r="E358" s="21">
        <f t="shared" si="65"/>
        <v>1</v>
      </c>
      <c r="F358" s="673"/>
      <c r="G358" s="21">
        <f t="shared" si="66"/>
        <v>1</v>
      </c>
      <c r="H358" s="673"/>
      <c r="I358" s="21">
        <f t="shared" si="67"/>
        <v>1</v>
      </c>
      <c r="J358" s="673"/>
      <c r="K358" s="21">
        <f t="shared" si="68"/>
        <v>1</v>
      </c>
      <c r="L358" s="673"/>
      <c r="M358" s="21">
        <f t="shared" si="69"/>
        <v>1</v>
      </c>
      <c r="N358" s="673"/>
      <c r="O358" s="21">
        <f t="shared" si="70"/>
        <v>1</v>
      </c>
      <c r="P358" s="673"/>
      <c r="Q358" s="21">
        <f t="shared" si="71"/>
        <v>1</v>
      </c>
      <c r="R358" s="669">
        <f t="shared" si="72"/>
        <v>0</v>
      </c>
      <c r="S358" s="319">
        <f t="shared" si="63"/>
        <v>0</v>
      </c>
    </row>
    <row r="359" spans="1:19">
      <c r="A359" s="152"/>
      <c r="B359" s="54"/>
      <c r="C359" s="21">
        <f t="shared" si="64"/>
        <v>1</v>
      </c>
      <c r="D359" s="673"/>
      <c r="E359" s="21">
        <f t="shared" si="65"/>
        <v>1</v>
      </c>
      <c r="F359" s="673"/>
      <c r="G359" s="21">
        <f t="shared" si="66"/>
        <v>1</v>
      </c>
      <c r="H359" s="673"/>
      <c r="I359" s="21">
        <f t="shared" si="67"/>
        <v>1</v>
      </c>
      <c r="J359" s="673"/>
      <c r="K359" s="21">
        <f t="shared" si="68"/>
        <v>1</v>
      </c>
      <c r="L359" s="673"/>
      <c r="M359" s="21">
        <f t="shared" si="69"/>
        <v>1</v>
      </c>
      <c r="N359" s="673"/>
      <c r="O359" s="21">
        <f t="shared" si="70"/>
        <v>1</v>
      </c>
      <c r="P359" s="673"/>
      <c r="Q359" s="21">
        <f t="shared" si="71"/>
        <v>1</v>
      </c>
      <c r="R359" s="669">
        <f t="shared" si="72"/>
        <v>0</v>
      </c>
      <c r="S359" s="319">
        <f t="shared" si="63"/>
        <v>0</v>
      </c>
    </row>
    <row r="360" spans="1:19">
      <c r="A360" s="152"/>
      <c r="B360" s="54"/>
      <c r="C360" s="21">
        <f t="shared" si="64"/>
        <v>1</v>
      </c>
      <c r="D360" s="673"/>
      <c r="E360" s="21">
        <f t="shared" si="65"/>
        <v>1</v>
      </c>
      <c r="F360" s="673"/>
      <c r="G360" s="21">
        <f t="shared" si="66"/>
        <v>1</v>
      </c>
      <c r="H360" s="673"/>
      <c r="I360" s="21">
        <f t="shared" si="67"/>
        <v>1</v>
      </c>
      <c r="J360" s="673"/>
      <c r="K360" s="21">
        <f t="shared" si="68"/>
        <v>1</v>
      </c>
      <c r="L360" s="673"/>
      <c r="M360" s="21">
        <f t="shared" si="69"/>
        <v>1</v>
      </c>
      <c r="N360" s="673"/>
      <c r="O360" s="21">
        <f t="shared" si="70"/>
        <v>1</v>
      </c>
      <c r="P360" s="673"/>
      <c r="Q360" s="21">
        <f t="shared" si="71"/>
        <v>1</v>
      </c>
      <c r="R360" s="669">
        <f t="shared" si="72"/>
        <v>0</v>
      </c>
      <c r="S360" s="319">
        <f t="shared" si="63"/>
        <v>0</v>
      </c>
    </row>
    <row r="361" spans="1:19">
      <c r="A361" s="152"/>
      <c r="B361" s="54"/>
      <c r="C361" s="21">
        <f t="shared" si="64"/>
        <v>1</v>
      </c>
      <c r="D361" s="673"/>
      <c r="E361" s="21">
        <f t="shared" si="65"/>
        <v>1</v>
      </c>
      <c r="F361" s="673"/>
      <c r="G361" s="21">
        <f t="shared" si="66"/>
        <v>1</v>
      </c>
      <c r="H361" s="673"/>
      <c r="I361" s="21">
        <f t="shared" si="67"/>
        <v>1</v>
      </c>
      <c r="J361" s="673"/>
      <c r="K361" s="21">
        <f t="shared" si="68"/>
        <v>1</v>
      </c>
      <c r="L361" s="673"/>
      <c r="M361" s="21">
        <f t="shared" si="69"/>
        <v>1</v>
      </c>
      <c r="N361" s="673"/>
      <c r="O361" s="21">
        <f t="shared" si="70"/>
        <v>1</v>
      </c>
      <c r="P361" s="673"/>
      <c r="Q361" s="21">
        <f t="shared" si="71"/>
        <v>1</v>
      </c>
      <c r="R361" s="669">
        <f t="shared" si="72"/>
        <v>0</v>
      </c>
      <c r="S361" s="319">
        <f t="shared" si="63"/>
        <v>0</v>
      </c>
    </row>
    <row r="362" spans="1:19">
      <c r="A362" s="152"/>
      <c r="B362" s="54"/>
      <c r="C362" s="21">
        <f t="shared" si="64"/>
        <v>1</v>
      </c>
      <c r="D362" s="673"/>
      <c r="E362" s="21">
        <f t="shared" si="65"/>
        <v>1</v>
      </c>
      <c r="F362" s="673"/>
      <c r="G362" s="21">
        <f t="shared" si="66"/>
        <v>1</v>
      </c>
      <c r="H362" s="673"/>
      <c r="I362" s="21">
        <f t="shared" si="67"/>
        <v>1</v>
      </c>
      <c r="J362" s="673"/>
      <c r="K362" s="21">
        <f t="shared" si="68"/>
        <v>1</v>
      </c>
      <c r="L362" s="673"/>
      <c r="M362" s="21">
        <f t="shared" si="69"/>
        <v>1</v>
      </c>
      <c r="N362" s="673"/>
      <c r="O362" s="21">
        <f t="shared" si="70"/>
        <v>1</v>
      </c>
      <c r="P362" s="673"/>
      <c r="Q362" s="21">
        <f t="shared" si="71"/>
        <v>1</v>
      </c>
      <c r="R362" s="669">
        <f t="shared" si="72"/>
        <v>0</v>
      </c>
      <c r="S362" s="319">
        <f t="shared" si="63"/>
        <v>0</v>
      </c>
    </row>
    <row r="363" spans="1:19">
      <c r="A363" s="152"/>
      <c r="B363" s="54"/>
      <c r="C363" s="21">
        <f t="shared" si="64"/>
        <v>1</v>
      </c>
      <c r="D363" s="673"/>
      <c r="E363" s="21">
        <f t="shared" si="65"/>
        <v>1</v>
      </c>
      <c r="F363" s="673"/>
      <c r="G363" s="21">
        <f t="shared" si="66"/>
        <v>1</v>
      </c>
      <c r="H363" s="673"/>
      <c r="I363" s="21">
        <f t="shared" si="67"/>
        <v>1</v>
      </c>
      <c r="J363" s="673"/>
      <c r="K363" s="21">
        <f t="shared" si="68"/>
        <v>1</v>
      </c>
      <c r="L363" s="673"/>
      <c r="M363" s="21">
        <f t="shared" si="69"/>
        <v>1</v>
      </c>
      <c r="N363" s="673"/>
      <c r="O363" s="21">
        <f t="shared" si="70"/>
        <v>1</v>
      </c>
      <c r="P363" s="673"/>
      <c r="Q363" s="21">
        <f t="shared" si="71"/>
        <v>1</v>
      </c>
      <c r="R363" s="669">
        <f t="shared" si="72"/>
        <v>0</v>
      </c>
      <c r="S363" s="319">
        <f t="shared" si="63"/>
        <v>0</v>
      </c>
    </row>
    <row r="364" spans="1:19">
      <c r="A364" s="152"/>
      <c r="B364" s="54"/>
      <c r="C364" s="21">
        <f t="shared" si="64"/>
        <v>1</v>
      </c>
      <c r="D364" s="673"/>
      <c r="E364" s="21">
        <f t="shared" si="65"/>
        <v>1</v>
      </c>
      <c r="F364" s="673"/>
      <c r="G364" s="21">
        <f t="shared" si="66"/>
        <v>1</v>
      </c>
      <c r="H364" s="673"/>
      <c r="I364" s="21">
        <f t="shared" si="67"/>
        <v>1</v>
      </c>
      <c r="J364" s="673"/>
      <c r="K364" s="21">
        <f t="shared" si="68"/>
        <v>1</v>
      </c>
      <c r="L364" s="673"/>
      <c r="M364" s="21">
        <f t="shared" si="69"/>
        <v>1</v>
      </c>
      <c r="N364" s="673"/>
      <c r="O364" s="21">
        <f t="shared" si="70"/>
        <v>1</v>
      </c>
      <c r="P364" s="673"/>
      <c r="Q364" s="21">
        <f t="shared" si="71"/>
        <v>1</v>
      </c>
      <c r="R364" s="669">
        <f t="shared" si="72"/>
        <v>0</v>
      </c>
      <c r="S364" s="319">
        <f t="shared" si="63"/>
        <v>0</v>
      </c>
    </row>
    <row r="365" spans="1:19">
      <c r="A365" s="152"/>
      <c r="B365" s="54"/>
      <c r="C365" s="21">
        <f t="shared" si="64"/>
        <v>1</v>
      </c>
      <c r="D365" s="673"/>
      <c r="E365" s="21">
        <f t="shared" si="65"/>
        <v>1</v>
      </c>
      <c r="F365" s="673"/>
      <c r="G365" s="21">
        <f t="shared" si="66"/>
        <v>1</v>
      </c>
      <c r="H365" s="673"/>
      <c r="I365" s="21">
        <f t="shared" si="67"/>
        <v>1</v>
      </c>
      <c r="J365" s="673"/>
      <c r="K365" s="21">
        <f t="shared" si="68"/>
        <v>1</v>
      </c>
      <c r="L365" s="673"/>
      <c r="M365" s="21">
        <f t="shared" si="69"/>
        <v>1</v>
      </c>
      <c r="N365" s="673"/>
      <c r="O365" s="21">
        <f t="shared" si="70"/>
        <v>1</v>
      </c>
      <c r="P365" s="673"/>
      <c r="Q365" s="21">
        <f t="shared" si="71"/>
        <v>1</v>
      </c>
      <c r="R365" s="669">
        <f t="shared" si="72"/>
        <v>0</v>
      </c>
      <c r="S365" s="319">
        <f t="shared" si="63"/>
        <v>0</v>
      </c>
    </row>
    <row r="366" spans="1:19">
      <c r="A366" s="152"/>
      <c r="B366" s="54"/>
      <c r="C366" s="21">
        <f t="shared" si="64"/>
        <v>1</v>
      </c>
      <c r="D366" s="673"/>
      <c r="E366" s="21">
        <f t="shared" si="65"/>
        <v>1</v>
      </c>
      <c r="F366" s="673"/>
      <c r="G366" s="21">
        <f t="shared" si="66"/>
        <v>1</v>
      </c>
      <c r="H366" s="673"/>
      <c r="I366" s="21">
        <f t="shared" si="67"/>
        <v>1</v>
      </c>
      <c r="J366" s="673"/>
      <c r="K366" s="21">
        <f t="shared" si="68"/>
        <v>1</v>
      </c>
      <c r="L366" s="673"/>
      <c r="M366" s="21">
        <f t="shared" si="69"/>
        <v>1</v>
      </c>
      <c r="N366" s="673"/>
      <c r="O366" s="21">
        <f t="shared" si="70"/>
        <v>1</v>
      </c>
      <c r="P366" s="673"/>
      <c r="Q366" s="21">
        <f t="shared" si="71"/>
        <v>1</v>
      </c>
      <c r="R366" s="669">
        <f t="shared" si="72"/>
        <v>0</v>
      </c>
      <c r="S366" s="319">
        <f t="shared" si="63"/>
        <v>0</v>
      </c>
    </row>
    <row r="367" spans="1:19">
      <c r="A367" s="152"/>
      <c r="B367" s="54"/>
      <c r="C367" s="21">
        <f t="shared" si="64"/>
        <v>1</v>
      </c>
      <c r="D367" s="673"/>
      <c r="E367" s="21">
        <f t="shared" si="65"/>
        <v>1</v>
      </c>
      <c r="F367" s="673"/>
      <c r="G367" s="21">
        <f t="shared" si="66"/>
        <v>1</v>
      </c>
      <c r="H367" s="673"/>
      <c r="I367" s="21">
        <f t="shared" si="67"/>
        <v>1</v>
      </c>
      <c r="J367" s="673"/>
      <c r="K367" s="21">
        <f t="shared" si="68"/>
        <v>1</v>
      </c>
      <c r="L367" s="673"/>
      <c r="M367" s="21">
        <f t="shared" si="69"/>
        <v>1</v>
      </c>
      <c r="N367" s="673"/>
      <c r="O367" s="21">
        <f t="shared" si="70"/>
        <v>1</v>
      </c>
      <c r="P367" s="673"/>
      <c r="Q367" s="21">
        <f t="shared" si="71"/>
        <v>1</v>
      </c>
      <c r="R367" s="669">
        <f t="shared" si="72"/>
        <v>0</v>
      </c>
      <c r="S367" s="319">
        <f t="shared" si="63"/>
        <v>0</v>
      </c>
    </row>
    <row r="368" spans="1:19">
      <c r="A368" s="152"/>
      <c r="B368" s="54"/>
      <c r="C368" s="21">
        <f t="shared" si="64"/>
        <v>1</v>
      </c>
      <c r="D368" s="673"/>
      <c r="E368" s="21">
        <f t="shared" si="65"/>
        <v>1</v>
      </c>
      <c r="F368" s="673"/>
      <c r="G368" s="21">
        <f t="shared" si="66"/>
        <v>1</v>
      </c>
      <c r="H368" s="673"/>
      <c r="I368" s="21">
        <f t="shared" si="67"/>
        <v>1</v>
      </c>
      <c r="J368" s="673"/>
      <c r="K368" s="21">
        <f t="shared" si="68"/>
        <v>1</v>
      </c>
      <c r="L368" s="673"/>
      <c r="M368" s="21">
        <f t="shared" si="69"/>
        <v>1</v>
      </c>
      <c r="N368" s="673"/>
      <c r="O368" s="21">
        <f t="shared" si="70"/>
        <v>1</v>
      </c>
      <c r="P368" s="673"/>
      <c r="Q368" s="21">
        <f t="shared" si="71"/>
        <v>1</v>
      </c>
      <c r="R368" s="669">
        <f t="shared" si="72"/>
        <v>0</v>
      </c>
      <c r="S368" s="319">
        <f t="shared" si="63"/>
        <v>0</v>
      </c>
    </row>
    <row r="369" spans="1:19">
      <c r="A369" s="152"/>
      <c r="B369" s="54"/>
      <c r="C369" s="21">
        <f t="shared" si="64"/>
        <v>1</v>
      </c>
      <c r="D369" s="673"/>
      <c r="E369" s="21">
        <f t="shared" si="65"/>
        <v>1</v>
      </c>
      <c r="F369" s="673"/>
      <c r="G369" s="21">
        <f t="shared" si="66"/>
        <v>1</v>
      </c>
      <c r="H369" s="673"/>
      <c r="I369" s="21">
        <f t="shared" si="67"/>
        <v>1</v>
      </c>
      <c r="J369" s="673"/>
      <c r="K369" s="21">
        <f t="shared" si="68"/>
        <v>1</v>
      </c>
      <c r="L369" s="673"/>
      <c r="M369" s="21">
        <f t="shared" si="69"/>
        <v>1</v>
      </c>
      <c r="N369" s="673"/>
      <c r="O369" s="21">
        <f t="shared" si="70"/>
        <v>1</v>
      </c>
      <c r="P369" s="673"/>
      <c r="Q369" s="21">
        <f t="shared" si="71"/>
        <v>1</v>
      </c>
      <c r="R369" s="669">
        <f t="shared" si="72"/>
        <v>0</v>
      </c>
      <c r="S369" s="319">
        <f t="shared" si="63"/>
        <v>0</v>
      </c>
    </row>
    <row r="370" spans="1:19">
      <c r="A370" s="152"/>
      <c r="B370" s="54"/>
      <c r="C370" s="21">
        <f t="shared" si="64"/>
        <v>1</v>
      </c>
      <c r="D370" s="673"/>
      <c r="E370" s="21">
        <f t="shared" si="65"/>
        <v>1</v>
      </c>
      <c r="F370" s="673"/>
      <c r="G370" s="21">
        <f t="shared" si="66"/>
        <v>1</v>
      </c>
      <c r="H370" s="673"/>
      <c r="I370" s="21">
        <f t="shared" si="67"/>
        <v>1</v>
      </c>
      <c r="J370" s="673"/>
      <c r="K370" s="21">
        <f t="shared" si="68"/>
        <v>1</v>
      </c>
      <c r="L370" s="673"/>
      <c r="M370" s="21">
        <f t="shared" si="69"/>
        <v>1</v>
      </c>
      <c r="N370" s="673"/>
      <c r="O370" s="21">
        <f t="shared" si="70"/>
        <v>1</v>
      </c>
      <c r="P370" s="673"/>
      <c r="Q370" s="21">
        <f t="shared" si="71"/>
        <v>1</v>
      </c>
      <c r="R370" s="669">
        <f t="shared" si="72"/>
        <v>0</v>
      </c>
      <c r="S370" s="319">
        <f t="shared" si="63"/>
        <v>0</v>
      </c>
    </row>
    <row r="371" spans="1:19">
      <c r="A371" s="152"/>
      <c r="B371" s="54"/>
      <c r="C371" s="21">
        <f t="shared" si="64"/>
        <v>1</v>
      </c>
      <c r="D371" s="673"/>
      <c r="E371" s="21">
        <f t="shared" si="65"/>
        <v>1</v>
      </c>
      <c r="F371" s="673"/>
      <c r="G371" s="21">
        <f t="shared" si="66"/>
        <v>1</v>
      </c>
      <c r="H371" s="673"/>
      <c r="I371" s="21">
        <f t="shared" si="67"/>
        <v>1</v>
      </c>
      <c r="J371" s="673"/>
      <c r="K371" s="21">
        <f t="shared" si="68"/>
        <v>1</v>
      </c>
      <c r="L371" s="673"/>
      <c r="M371" s="21">
        <f t="shared" si="69"/>
        <v>1</v>
      </c>
      <c r="N371" s="673"/>
      <c r="O371" s="21">
        <f t="shared" si="70"/>
        <v>1</v>
      </c>
      <c r="P371" s="673"/>
      <c r="Q371" s="21">
        <f t="shared" si="71"/>
        <v>1</v>
      </c>
      <c r="R371" s="669">
        <f t="shared" si="72"/>
        <v>0</v>
      </c>
      <c r="S371" s="319">
        <f t="shared" si="63"/>
        <v>0</v>
      </c>
    </row>
    <row r="372" spans="1:19">
      <c r="A372" s="152"/>
      <c r="B372" s="54"/>
      <c r="C372" s="21">
        <f t="shared" si="64"/>
        <v>1</v>
      </c>
      <c r="D372" s="673"/>
      <c r="E372" s="21">
        <f t="shared" si="65"/>
        <v>1</v>
      </c>
      <c r="F372" s="673"/>
      <c r="G372" s="21">
        <f t="shared" si="66"/>
        <v>1</v>
      </c>
      <c r="H372" s="673"/>
      <c r="I372" s="21">
        <f t="shared" si="67"/>
        <v>1</v>
      </c>
      <c r="J372" s="673"/>
      <c r="K372" s="21">
        <f t="shared" si="68"/>
        <v>1</v>
      </c>
      <c r="L372" s="673"/>
      <c r="M372" s="21">
        <f t="shared" si="69"/>
        <v>1</v>
      </c>
      <c r="N372" s="673"/>
      <c r="O372" s="21">
        <f t="shared" si="70"/>
        <v>1</v>
      </c>
      <c r="P372" s="673"/>
      <c r="Q372" s="21">
        <f t="shared" si="71"/>
        <v>1</v>
      </c>
      <c r="R372" s="669">
        <f t="shared" si="72"/>
        <v>0</v>
      </c>
      <c r="S372" s="319">
        <f t="shared" si="63"/>
        <v>0</v>
      </c>
    </row>
    <row r="373" spans="1:19">
      <c r="A373" s="152"/>
      <c r="B373" s="54"/>
      <c r="C373" s="21">
        <f t="shared" si="64"/>
        <v>1</v>
      </c>
      <c r="D373" s="673"/>
      <c r="E373" s="21">
        <f t="shared" si="65"/>
        <v>1</v>
      </c>
      <c r="F373" s="673"/>
      <c r="G373" s="21">
        <f t="shared" si="66"/>
        <v>1</v>
      </c>
      <c r="H373" s="673"/>
      <c r="I373" s="21">
        <f t="shared" si="67"/>
        <v>1</v>
      </c>
      <c r="J373" s="673"/>
      <c r="K373" s="21">
        <f t="shared" si="68"/>
        <v>1</v>
      </c>
      <c r="L373" s="673"/>
      <c r="M373" s="21">
        <f t="shared" si="69"/>
        <v>1</v>
      </c>
      <c r="N373" s="673"/>
      <c r="O373" s="21">
        <f t="shared" si="70"/>
        <v>1</v>
      </c>
      <c r="P373" s="673"/>
      <c r="Q373" s="21">
        <f t="shared" si="71"/>
        <v>1</v>
      </c>
      <c r="R373" s="669">
        <f t="shared" si="72"/>
        <v>0</v>
      </c>
      <c r="S373" s="319">
        <f t="shared" si="63"/>
        <v>0</v>
      </c>
    </row>
    <row r="374" spans="1:19">
      <c r="A374" s="152"/>
      <c r="B374" s="54"/>
      <c r="C374" s="21">
        <f t="shared" si="64"/>
        <v>1</v>
      </c>
      <c r="D374" s="673"/>
      <c r="E374" s="21">
        <f t="shared" si="65"/>
        <v>1</v>
      </c>
      <c r="F374" s="673"/>
      <c r="G374" s="21">
        <f t="shared" si="66"/>
        <v>1</v>
      </c>
      <c r="H374" s="673"/>
      <c r="I374" s="21">
        <f t="shared" si="67"/>
        <v>1</v>
      </c>
      <c r="J374" s="673"/>
      <c r="K374" s="21">
        <f t="shared" si="68"/>
        <v>1</v>
      </c>
      <c r="L374" s="673"/>
      <c r="M374" s="21">
        <f t="shared" si="69"/>
        <v>1</v>
      </c>
      <c r="N374" s="673"/>
      <c r="O374" s="21">
        <f t="shared" si="70"/>
        <v>1</v>
      </c>
      <c r="P374" s="673"/>
      <c r="Q374" s="21">
        <f t="shared" si="71"/>
        <v>1</v>
      </c>
      <c r="R374" s="669">
        <f t="shared" si="72"/>
        <v>0</v>
      </c>
      <c r="S374" s="319">
        <f t="shared" si="63"/>
        <v>0</v>
      </c>
    </row>
    <row r="375" spans="1:19">
      <c r="A375" s="152"/>
      <c r="B375" s="54"/>
      <c r="C375" s="21">
        <f t="shared" si="64"/>
        <v>1</v>
      </c>
      <c r="D375" s="673"/>
      <c r="E375" s="21">
        <f t="shared" si="65"/>
        <v>1</v>
      </c>
      <c r="F375" s="673"/>
      <c r="G375" s="21">
        <f t="shared" si="66"/>
        <v>1</v>
      </c>
      <c r="H375" s="673"/>
      <c r="I375" s="21">
        <f t="shared" si="67"/>
        <v>1</v>
      </c>
      <c r="J375" s="673"/>
      <c r="K375" s="21">
        <f t="shared" si="68"/>
        <v>1</v>
      </c>
      <c r="L375" s="673"/>
      <c r="M375" s="21">
        <f t="shared" si="69"/>
        <v>1</v>
      </c>
      <c r="N375" s="673"/>
      <c r="O375" s="21">
        <f t="shared" si="70"/>
        <v>1</v>
      </c>
      <c r="P375" s="673"/>
      <c r="Q375" s="21">
        <f t="shared" si="71"/>
        <v>1</v>
      </c>
      <c r="R375" s="669">
        <f t="shared" si="72"/>
        <v>0</v>
      </c>
      <c r="S375" s="319">
        <f t="shared" si="63"/>
        <v>0</v>
      </c>
    </row>
    <row r="376" spans="1:19">
      <c r="A376" s="152"/>
      <c r="B376" s="54"/>
      <c r="C376" s="21">
        <f t="shared" si="64"/>
        <v>1</v>
      </c>
      <c r="D376" s="673"/>
      <c r="E376" s="21">
        <f t="shared" si="65"/>
        <v>1</v>
      </c>
      <c r="F376" s="673"/>
      <c r="G376" s="21">
        <f t="shared" si="66"/>
        <v>1</v>
      </c>
      <c r="H376" s="673"/>
      <c r="I376" s="21">
        <f t="shared" si="67"/>
        <v>1</v>
      </c>
      <c r="J376" s="673"/>
      <c r="K376" s="21">
        <f t="shared" si="68"/>
        <v>1</v>
      </c>
      <c r="L376" s="673"/>
      <c r="M376" s="21">
        <f t="shared" si="69"/>
        <v>1</v>
      </c>
      <c r="N376" s="673"/>
      <c r="O376" s="21">
        <f t="shared" si="70"/>
        <v>1</v>
      </c>
      <c r="P376" s="673"/>
      <c r="Q376" s="21">
        <f t="shared" si="71"/>
        <v>1</v>
      </c>
      <c r="R376" s="669">
        <f t="shared" si="72"/>
        <v>0</v>
      </c>
      <c r="S376" s="319">
        <f t="shared" si="63"/>
        <v>0</v>
      </c>
    </row>
    <row r="377" spans="1:19">
      <c r="A377" s="152"/>
      <c r="B377" s="54"/>
      <c r="C377" s="21">
        <f t="shared" si="64"/>
        <v>1</v>
      </c>
      <c r="D377" s="673"/>
      <c r="E377" s="21">
        <f t="shared" si="65"/>
        <v>1</v>
      </c>
      <c r="F377" s="673"/>
      <c r="G377" s="21">
        <f t="shared" si="66"/>
        <v>1</v>
      </c>
      <c r="H377" s="673"/>
      <c r="I377" s="21">
        <f t="shared" si="67"/>
        <v>1</v>
      </c>
      <c r="J377" s="673"/>
      <c r="K377" s="21">
        <f t="shared" si="68"/>
        <v>1</v>
      </c>
      <c r="L377" s="673"/>
      <c r="M377" s="21">
        <f t="shared" si="69"/>
        <v>1</v>
      </c>
      <c r="N377" s="673"/>
      <c r="O377" s="21">
        <f t="shared" si="70"/>
        <v>1</v>
      </c>
      <c r="P377" s="673"/>
      <c r="Q377" s="21">
        <f t="shared" si="71"/>
        <v>1</v>
      </c>
      <c r="R377" s="669">
        <f t="shared" si="72"/>
        <v>0</v>
      </c>
      <c r="S377" s="319">
        <f t="shared" si="63"/>
        <v>0</v>
      </c>
    </row>
    <row r="378" spans="1:19">
      <c r="A378" s="152"/>
      <c r="B378" s="54"/>
      <c r="C378" s="21">
        <f t="shared" si="64"/>
        <v>1</v>
      </c>
      <c r="D378" s="673"/>
      <c r="E378" s="21">
        <f t="shared" si="65"/>
        <v>1</v>
      </c>
      <c r="F378" s="673"/>
      <c r="G378" s="21">
        <f t="shared" si="66"/>
        <v>1</v>
      </c>
      <c r="H378" s="673"/>
      <c r="I378" s="21">
        <f t="shared" si="67"/>
        <v>1</v>
      </c>
      <c r="J378" s="673"/>
      <c r="K378" s="21">
        <f t="shared" si="68"/>
        <v>1</v>
      </c>
      <c r="L378" s="673"/>
      <c r="M378" s="21">
        <f t="shared" si="69"/>
        <v>1</v>
      </c>
      <c r="N378" s="673"/>
      <c r="O378" s="21">
        <f t="shared" si="70"/>
        <v>1</v>
      </c>
      <c r="P378" s="673"/>
      <c r="Q378" s="21">
        <f t="shared" si="71"/>
        <v>1</v>
      </c>
      <c r="R378" s="669">
        <f t="shared" si="72"/>
        <v>0</v>
      </c>
      <c r="S378" s="319">
        <f t="shared" si="63"/>
        <v>0</v>
      </c>
    </row>
    <row r="379" spans="1:19">
      <c r="A379" s="152"/>
      <c r="B379" s="54"/>
      <c r="C379" s="21">
        <f t="shared" si="64"/>
        <v>1</v>
      </c>
      <c r="D379" s="673"/>
      <c r="E379" s="21">
        <f t="shared" si="65"/>
        <v>1</v>
      </c>
      <c r="F379" s="673"/>
      <c r="G379" s="21">
        <f t="shared" si="66"/>
        <v>1</v>
      </c>
      <c r="H379" s="673"/>
      <c r="I379" s="21">
        <f t="shared" si="67"/>
        <v>1</v>
      </c>
      <c r="J379" s="673"/>
      <c r="K379" s="21">
        <f t="shared" si="68"/>
        <v>1</v>
      </c>
      <c r="L379" s="673"/>
      <c r="M379" s="21">
        <f t="shared" si="69"/>
        <v>1</v>
      </c>
      <c r="N379" s="673"/>
      <c r="O379" s="21">
        <f t="shared" si="70"/>
        <v>1</v>
      </c>
      <c r="P379" s="673"/>
      <c r="Q379" s="21">
        <f t="shared" si="71"/>
        <v>1</v>
      </c>
      <c r="R379" s="669">
        <f t="shared" si="72"/>
        <v>0</v>
      </c>
      <c r="S379" s="319">
        <f t="shared" si="63"/>
        <v>0</v>
      </c>
    </row>
    <row r="380" spans="1:19">
      <c r="A380" s="152"/>
      <c r="B380" s="54"/>
      <c r="C380" s="21">
        <f t="shared" si="64"/>
        <v>1</v>
      </c>
      <c r="D380" s="673"/>
      <c r="E380" s="21">
        <f t="shared" si="65"/>
        <v>1</v>
      </c>
      <c r="F380" s="673"/>
      <c r="G380" s="21">
        <f t="shared" si="66"/>
        <v>1</v>
      </c>
      <c r="H380" s="673"/>
      <c r="I380" s="21">
        <f t="shared" si="67"/>
        <v>1</v>
      </c>
      <c r="J380" s="673"/>
      <c r="K380" s="21">
        <f t="shared" si="68"/>
        <v>1</v>
      </c>
      <c r="L380" s="673"/>
      <c r="M380" s="21">
        <f t="shared" si="69"/>
        <v>1</v>
      </c>
      <c r="N380" s="673"/>
      <c r="O380" s="21">
        <f t="shared" si="70"/>
        <v>1</v>
      </c>
      <c r="P380" s="673"/>
      <c r="Q380" s="21">
        <f t="shared" si="71"/>
        <v>1</v>
      </c>
      <c r="R380" s="669">
        <f t="shared" si="72"/>
        <v>0</v>
      </c>
      <c r="S380" s="319">
        <f t="shared" si="63"/>
        <v>0</v>
      </c>
    </row>
    <row r="381" spans="1:19">
      <c r="A381" s="152"/>
      <c r="B381" s="54"/>
      <c r="C381" s="21">
        <f t="shared" si="64"/>
        <v>1</v>
      </c>
      <c r="D381" s="673"/>
      <c r="E381" s="21">
        <f t="shared" si="65"/>
        <v>1</v>
      </c>
      <c r="F381" s="673"/>
      <c r="G381" s="21">
        <f t="shared" si="66"/>
        <v>1</v>
      </c>
      <c r="H381" s="673"/>
      <c r="I381" s="21">
        <f t="shared" si="67"/>
        <v>1</v>
      </c>
      <c r="J381" s="673"/>
      <c r="K381" s="21">
        <f t="shared" si="68"/>
        <v>1</v>
      </c>
      <c r="L381" s="673"/>
      <c r="M381" s="21">
        <f t="shared" si="69"/>
        <v>1</v>
      </c>
      <c r="N381" s="673"/>
      <c r="O381" s="21">
        <f t="shared" si="70"/>
        <v>1</v>
      </c>
      <c r="P381" s="673"/>
      <c r="Q381" s="21">
        <f t="shared" si="71"/>
        <v>1</v>
      </c>
      <c r="R381" s="669">
        <f t="shared" si="72"/>
        <v>0</v>
      </c>
      <c r="S381" s="319">
        <f t="shared" si="63"/>
        <v>0</v>
      </c>
    </row>
    <row r="382" spans="1:19">
      <c r="A382" s="152"/>
      <c r="B382" s="54"/>
      <c r="C382" s="21">
        <f t="shared" si="64"/>
        <v>1</v>
      </c>
      <c r="D382" s="673"/>
      <c r="E382" s="21">
        <f t="shared" si="65"/>
        <v>1</v>
      </c>
      <c r="F382" s="673"/>
      <c r="G382" s="21">
        <f t="shared" si="66"/>
        <v>1</v>
      </c>
      <c r="H382" s="673"/>
      <c r="I382" s="21">
        <f t="shared" si="67"/>
        <v>1</v>
      </c>
      <c r="J382" s="673"/>
      <c r="K382" s="21">
        <f t="shared" si="68"/>
        <v>1</v>
      </c>
      <c r="L382" s="673"/>
      <c r="M382" s="21">
        <f t="shared" si="69"/>
        <v>1</v>
      </c>
      <c r="N382" s="673"/>
      <c r="O382" s="21">
        <f t="shared" si="70"/>
        <v>1</v>
      </c>
      <c r="P382" s="673"/>
      <c r="Q382" s="21">
        <f t="shared" si="71"/>
        <v>1</v>
      </c>
      <c r="R382" s="669">
        <f t="shared" si="72"/>
        <v>0</v>
      </c>
      <c r="S382" s="319">
        <f t="shared" si="63"/>
        <v>0</v>
      </c>
    </row>
    <row r="383" spans="1:19">
      <c r="A383" s="152"/>
      <c r="B383" s="54"/>
      <c r="C383" s="21">
        <f t="shared" si="64"/>
        <v>1</v>
      </c>
      <c r="D383" s="673"/>
      <c r="E383" s="21">
        <f t="shared" si="65"/>
        <v>1</v>
      </c>
      <c r="F383" s="673"/>
      <c r="G383" s="21">
        <f t="shared" si="66"/>
        <v>1</v>
      </c>
      <c r="H383" s="673"/>
      <c r="I383" s="21">
        <f t="shared" si="67"/>
        <v>1</v>
      </c>
      <c r="J383" s="673"/>
      <c r="K383" s="21">
        <f t="shared" si="68"/>
        <v>1</v>
      </c>
      <c r="L383" s="673"/>
      <c r="M383" s="21">
        <f t="shared" si="69"/>
        <v>1</v>
      </c>
      <c r="N383" s="673"/>
      <c r="O383" s="21">
        <f t="shared" si="70"/>
        <v>1</v>
      </c>
      <c r="P383" s="673"/>
      <c r="Q383" s="21">
        <f t="shared" si="71"/>
        <v>1</v>
      </c>
      <c r="R383" s="669">
        <f t="shared" si="72"/>
        <v>0</v>
      </c>
      <c r="S383" s="319">
        <f t="shared" si="63"/>
        <v>0</v>
      </c>
    </row>
    <row r="384" spans="1:19">
      <c r="A384" s="152"/>
      <c r="B384" s="54"/>
      <c r="C384" s="21">
        <f t="shared" si="64"/>
        <v>1</v>
      </c>
      <c r="D384" s="673"/>
      <c r="E384" s="21">
        <f t="shared" si="65"/>
        <v>1</v>
      </c>
      <c r="F384" s="673"/>
      <c r="G384" s="21">
        <f t="shared" si="66"/>
        <v>1</v>
      </c>
      <c r="H384" s="673"/>
      <c r="I384" s="21">
        <f t="shared" si="67"/>
        <v>1</v>
      </c>
      <c r="J384" s="673"/>
      <c r="K384" s="21">
        <f t="shared" si="68"/>
        <v>1</v>
      </c>
      <c r="L384" s="673"/>
      <c r="M384" s="21">
        <f t="shared" si="69"/>
        <v>1</v>
      </c>
      <c r="N384" s="673"/>
      <c r="O384" s="21">
        <f t="shared" si="70"/>
        <v>1</v>
      </c>
      <c r="P384" s="673"/>
      <c r="Q384" s="21">
        <f t="shared" si="71"/>
        <v>1</v>
      </c>
      <c r="R384" s="669">
        <f t="shared" si="72"/>
        <v>0</v>
      </c>
      <c r="S384" s="319">
        <f t="shared" si="63"/>
        <v>0</v>
      </c>
    </row>
    <row r="385" spans="1:19">
      <c r="A385" s="152"/>
      <c r="B385" s="54"/>
      <c r="C385" s="21">
        <f t="shared" si="64"/>
        <v>1</v>
      </c>
      <c r="D385" s="673"/>
      <c r="E385" s="21">
        <f t="shared" si="65"/>
        <v>1</v>
      </c>
      <c r="F385" s="673"/>
      <c r="G385" s="21">
        <f t="shared" si="66"/>
        <v>1</v>
      </c>
      <c r="H385" s="673"/>
      <c r="I385" s="21">
        <f t="shared" si="67"/>
        <v>1</v>
      </c>
      <c r="J385" s="673"/>
      <c r="K385" s="21">
        <f t="shared" si="68"/>
        <v>1</v>
      </c>
      <c r="L385" s="673"/>
      <c r="M385" s="21">
        <f t="shared" si="69"/>
        <v>1</v>
      </c>
      <c r="N385" s="673"/>
      <c r="O385" s="21">
        <f t="shared" si="70"/>
        <v>1</v>
      </c>
      <c r="P385" s="673"/>
      <c r="Q385" s="21">
        <f t="shared" si="71"/>
        <v>1</v>
      </c>
      <c r="R385" s="669">
        <f t="shared" si="72"/>
        <v>0</v>
      </c>
      <c r="S385" s="319">
        <f t="shared" ref="S385:S422" si="73">ROUND(R385*B385/10000,0)</f>
        <v>0</v>
      </c>
    </row>
    <row r="386" spans="1:19">
      <c r="A386" s="152"/>
      <c r="B386" s="54"/>
      <c r="C386" s="21">
        <f t="shared" si="64"/>
        <v>1</v>
      </c>
      <c r="D386" s="673"/>
      <c r="E386" s="21">
        <f t="shared" si="65"/>
        <v>1</v>
      </c>
      <c r="F386" s="673"/>
      <c r="G386" s="21">
        <f t="shared" si="66"/>
        <v>1</v>
      </c>
      <c r="H386" s="673"/>
      <c r="I386" s="21">
        <f t="shared" si="67"/>
        <v>1</v>
      </c>
      <c r="J386" s="673"/>
      <c r="K386" s="21">
        <f t="shared" si="68"/>
        <v>1</v>
      </c>
      <c r="L386" s="673"/>
      <c r="M386" s="21">
        <f t="shared" si="69"/>
        <v>1</v>
      </c>
      <c r="N386" s="673"/>
      <c r="O386" s="21">
        <f t="shared" si="70"/>
        <v>1</v>
      </c>
      <c r="P386" s="673"/>
      <c r="Q386" s="21">
        <f t="shared" si="71"/>
        <v>1</v>
      </c>
      <c r="R386" s="669">
        <f t="shared" si="72"/>
        <v>0</v>
      </c>
      <c r="S386" s="319">
        <f t="shared" si="73"/>
        <v>0</v>
      </c>
    </row>
    <row r="387" spans="1:19">
      <c r="A387" s="152"/>
      <c r="B387" s="54"/>
      <c r="C387" s="21">
        <f t="shared" si="64"/>
        <v>1</v>
      </c>
      <c r="D387" s="673"/>
      <c r="E387" s="21">
        <f t="shared" si="65"/>
        <v>1</v>
      </c>
      <c r="F387" s="673"/>
      <c r="G387" s="21">
        <f t="shared" si="66"/>
        <v>1</v>
      </c>
      <c r="H387" s="673"/>
      <c r="I387" s="21">
        <f t="shared" si="67"/>
        <v>1</v>
      </c>
      <c r="J387" s="673"/>
      <c r="K387" s="21">
        <f t="shared" si="68"/>
        <v>1</v>
      </c>
      <c r="L387" s="673"/>
      <c r="M387" s="21">
        <f t="shared" si="69"/>
        <v>1</v>
      </c>
      <c r="N387" s="673"/>
      <c r="O387" s="21">
        <f t="shared" si="70"/>
        <v>1</v>
      </c>
      <c r="P387" s="673"/>
      <c r="Q387" s="21">
        <f t="shared" si="71"/>
        <v>1</v>
      </c>
      <c r="R387" s="669">
        <f t="shared" si="72"/>
        <v>0</v>
      </c>
      <c r="S387" s="319">
        <f t="shared" si="73"/>
        <v>0</v>
      </c>
    </row>
    <row r="388" spans="1:19">
      <c r="A388" s="152"/>
      <c r="B388" s="54"/>
      <c r="C388" s="21">
        <f t="shared" si="64"/>
        <v>1</v>
      </c>
      <c r="D388" s="673"/>
      <c r="E388" s="21">
        <f t="shared" si="65"/>
        <v>1</v>
      </c>
      <c r="F388" s="673"/>
      <c r="G388" s="21">
        <f t="shared" si="66"/>
        <v>1</v>
      </c>
      <c r="H388" s="673"/>
      <c r="I388" s="21">
        <f t="shared" si="67"/>
        <v>1</v>
      </c>
      <c r="J388" s="673"/>
      <c r="K388" s="21">
        <f t="shared" si="68"/>
        <v>1</v>
      </c>
      <c r="L388" s="673"/>
      <c r="M388" s="21">
        <f t="shared" si="69"/>
        <v>1</v>
      </c>
      <c r="N388" s="673"/>
      <c r="O388" s="21">
        <f t="shared" si="70"/>
        <v>1</v>
      </c>
      <c r="P388" s="673"/>
      <c r="Q388" s="21">
        <f t="shared" si="71"/>
        <v>1</v>
      </c>
      <c r="R388" s="669">
        <f t="shared" si="72"/>
        <v>0</v>
      </c>
      <c r="S388" s="319">
        <f t="shared" si="73"/>
        <v>0</v>
      </c>
    </row>
    <row r="389" spans="1:19">
      <c r="A389" s="152"/>
      <c r="B389" s="54"/>
      <c r="C389" s="21">
        <f t="shared" si="64"/>
        <v>1</v>
      </c>
      <c r="D389" s="673"/>
      <c r="E389" s="21">
        <f t="shared" si="65"/>
        <v>1</v>
      </c>
      <c r="F389" s="673"/>
      <c r="G389" s="21">
        <f t="shared" si="66"/>
        <v>1</v>
      </c>
      <c r="H389" s="673"/>
      <c r="I389" s="21">
        <f t="shared" si="67"/>
        <v>1</v>
      </c>
      <c r="J389" s="673"/>
      <c r="K389" s="21">
        <f t="shared" si="68"/>
        <v>1</v>
      </c>
      <c r="L389" s="673"/>
      <c r="M389" s="21">
        <f t="shared" si="69"/>
        <v>1</v>
      </c>
      <c r="N389" s="673"/>
      <c r="O389" s="21">
        <f t="shared" si="70"/>
        <v>1</v>
      </c>
      <c r="P389" s="673"/>
      <c r="Q389" s="21">
        <f t="shared" si="71"/>
        <v>1</v>
      </c>
      <c r="R389" s="669">
        <f t="shared" si="72"/>
        <v>0</v>
      </c>
      <c r="S389" s="319">
        <f t="shared" si="73"/>
        <v>0</v>
      </c>
    </row>
    <row r="390" spans="1:19">
      <c r="A390" s="152"/>
      <c r="B390" s="54"/>
      <c r="C390" s="21">
        <f t="shared" si="64"/>
        <v>1</v>
      </c>
      <c r="D390" s="673"/>
      <c r="E390" s="21">
        <f t="shared" si="65"/>
        <v>1</v>
      </c>
      <c r="F390" s="673"/>
      <c r="G390" s="21">
        <f t="shared" si="66"/>
        <v>1</v>
      </c>
      <c r="H390" s="673"/>
      <c r="I390" s="21">
        <f t="shared" si="67"/>
        <v>1</v>
      </c>
      <c r="J390" s="673"/>
      <c r="K390" s="21">
        <f t="shared" si="68"/>
        <v>1</v>
      </c>
      <c r="L390" s="673"/>
      <c r="M390" s="21">
        <f t="shared" si="69"/>
        <v>1</v>
      </c>
      <c r="N390" s="673"/>
      <c r="O390" s="21">
        <f t="shared" si="70"/>
        <v>1</v>
      </c>
      <c r="P390" s="673"/>
      <c r="Q390" s="21">
        <f t="shared" si="71"/>
        <v>1</v>
      </c>
      <c r="R390" s="669">
        <f t="shared" si="72"/>
        <v>0</v>
      </c>
      <c r="S390" s="319">
        <f t="shared" si="73"/>
        <v>0</v>
      </c>
    </row>
    <row r="391" spans="1:19">
      <c r="A391" s="152"/>
      <c r="B391" s="54"/>
      <c r="C391" s="21">
        <f t="shared" si="64"/>
        <v>1</v>
      </c>
      <c r="D391" s="673"/>
      <c r="E391" s="21">
        <f t="shared" si="65"/>
        <v>1</v>
      </c>
      <c r="F391" s="673"/>
      <c r="G391" s="21">
        <f t="shared" si="66"/>
        <v>1</v>
      </c>
      <c r="H391" s="673"/>
      <c r="I391" s="21">
        <f t="shared" si="67"/>
        <v>1</v>
      </c>
      <c r="J391" s="673"/>
      <c r="K391" s="21">
        <f t="shared" si="68"/>
        <v>1</v>
      </c>
      <c r="L391" s="673"/>
      <c r="M391" s="21">
        <f t="shared" si="69"/>
        <v>1</v>
      </c>
      <c r="N391" s="673"/>
      <c r="O391" s="21">
        <f t="shared" si="70"/>
        <v>1</v>
      </c>
      <c r="P391" s="673"/>
      <c r="Q391" s="21">
        <f t="shared" si="71"/>
        <v>1</v>
      </c>
      <c r="R391" s="669">
        <f t="shared" si="72"/>
        <v>0</v>
      </c>
      <c r="S391" s="319">
        <f t="shared" si="73"/>
        <v>0</v>
      </c>
    </row>
    <row r="392" spans="1:19">
      <c r="A392" s="152"/>
      <c r="B392" s="54"/>
      <c r="C392" s="21">
        <f t="shared" si="64"/>
        <v>1</v>
      </c>
      <c r="D392" s="673"/>
      <c r="E392" s="21">
        <f t="shared" si="65"/>
        <v>1</v>
      </c>
      <c r="F392" s="673"/>
      <c r="G392" s="21">
        <f t="shared" si="66"/>
        <v>1</v>
      </c>
      <c r="H392" s="673"/>
      <c r="I392" s="21">
        <f t="shared" si="67"/>
        <v>1</v>
      </c>
      <c r="J392" s="673"/>
      <c r="K392" s="21">
        <f t="shared" si="68"/>
        <v>1</v>
      </c>
      <c r="L392" s="673"/>
      <c r="M392" s="21">
        <f t="shared" si="69"/>
        <v>1</v>
      </c>
      <c r="N392" s="673"/>
      <c r="O392" s="21">
        <f t="shared" si="70"/>
        <v>1</v>
      </c>
      <c r="P392" s="673"/>
      <c r="Q392" s="21">
        <f t="shared" si="71"/>
        <v>1</v>
      </c>
      <c r="R392" s="669">
        <f t="shared" si="72"/>
        <v>0</v>
      </c>
      <c r="S392" s="319">
        <f t="shared" si="73"/>
        <v>0</v>
      </c>
    </row>
    <row r="393" spans="1:19">
      <c r="A393" s="152"/>
      <c r="B393" s="54"/>
      <c r="C393" s="21">
        <f t="shared" si="64"/>
        <v>1</v>
      </c>
      <c r="D393" s="673"/>
      <c r="E393" s="21">
        <f t="shared" si="65"/>
        <v>1</v>
      </c>
      <c r="F393" s="673"/>
      <c r="G393" s="21">
        <f t="shared" si="66"/>
        <v>1</v>
      </c>
      <c r="H393" s="673"/>
      <c r="I393" s="21">
        <f t="shared" si="67"/>
        <v>1</v>
      </c>
      <c r="J393" s="673"/>
      <c r="K393" s="21">
        <f t="shared" si="68"/>
        <v>1</v>
      </c>
      <c r="L393" s="673"/>
      <c r="M393" s="21">
        <f t="shared" si="69"/>
        <v>1</v>
      </c>
      <c r="N393" s="673"/>
      <c r="O393" s="21">
        <f t="shared" si="70"/>
        <v>1</v>
      </c>
      <c r="P393" s="673"/>
      <c r="Q393" s="21">
        <f t="shared" si="71"/>
        <v>1</v>
      </c>
      <c r="R393" s="669">
        <f t="shared" si="72"/>
        <v>0</v>
      </c>
      <c r="S393" s="319">
        <f t="shared" si="73"/>
        <v>0</v>
      </c>
    </row>
    <row r="394" spans="1:19">
      <c r="A394" s="152"/>
      <c r="B394" s="54"/>
      <c r="C394" s="21">
        <f t="shared" si="64"/>
        <v>1</v>
      </c>
      <c r="D394" s="673"/>
      <c r="E394" s="21">
        <f t="shared" si="65"/>
        <v>1</v>
      </c>
      <c r="F394" s="673"/>
      <c r="G394" s="21">
        <f t="shared" si="66"/>
        <v>1</v>
      </c>
      <c r="H394" s="673"/>
      <c r="I394" s="21">
        <f t="shared" si="67"/>
        <v>1</v>
      </c>
      <c r="J394" s="673"/>
      <c r="K394" s="21">
        <f t="shared" si="68"/>
        <v>1</v>
      </c>
      <c r="L394" s="673"/>
      <c r="M394" s="21">
        <f t="shared" si="69"/>
        <v>1</v>
      </c>
      <c r="N394" s="673"/>
      <c r="O394" s="21">
        <f t="shared" si="70"/>
        <v>1</v>
      </c>
      <c r="P394" s="673"/>
      <c r="Q394" s="21">
        <f t="shared" si="71"/>
        <v>1</v>
      </c>
      <c r="R394" s="669">
        <f t="shared" si="72"/>
        <v>0</v>
      </c>
      <c r="S394" s="319">
        <f t="shared" si="73"/>
        <v>0</v>
      </c>
    </row>
    <row r="395" spans="1:19">
      <c r="A395" s="152"/>
      <c r="B395" s="54"/>
      <c r="C395" s="21">
        <f t="shared" si="64"/>
        <v>1</v>
      </c>
      <c r="D395" s="673"/>
      <c r="E395" s="21">
        <f t="shared" si="65"/>
        <v>1</v>
      </c>
      <c r="F395" s="673"/>
      <c r="G395" s="21">
        <f t="shared" si="66"/>
        <v>1</v>
      </c>
      <c r="H395" s="673"/>
      <c r="I395" s="21">
        <f t="shared" si="67"/>
        <v>1</v>
      </c>
      <c r="J395" s="673"/>
      <c r="K395" s="21">
        <f t="shared" si="68"/>
        <v>1</v>
      </c>
      <c r="L395" s="673"/>
      <c r="M395" s="21">
        <f t="shared" si="69"/>
        <v>1</v>
      </c>
      <c r="N395" s="673"/>
      <c r="O395" s="21">
        <f t="shared" si="70"/>
        <v>1</v>
      </c>
      <c r="P395" s="673"/>
      <c r="Q395" s="21">
        <f t="shared" si="71"/>
        <v>1</v>
      </c>
      <c r="R395" s="669">
        <f t="shared" si="72"/>
        <v>0</v>
      </c>
      <c r="S395" s="319">
        <f t="shared" si="73"/>
        <v>0</v>
      </c>
    </row>
    <row r="396" spans="1:19">
      <c r="A396" s="152"/>
      <c r="B396" s="54"/>
      <c r="C396" s="21">
        <f t="shared" si="64"/>
        <v>1</v>
      </c>
      <c r="D396" s="673"/>
      <c r="E396" s="21">
        <f t="shared" si="65"/>
        <v>1</v>
      </c>
      <c r="F396" s="673"/>
      <c r="G396" s="21">
        <f t="shared" si="66"/>
        <v>1</v>
      </c>
      <c r="H396" s="673"/>
      <c r="I396" s="21">
        <f t="shared" si="67"/>
        <v>1</v>
      </c>
      <c r="J396" s="673"/>
      <c r="K396" s="21">
        <f t="shared" si="68"/>
        <v>1</v>
      </c>
      <c r="L396" s="673"/>
      <c r="M396" s="21">
        <f t="shared" si="69"/>
        <v>1</v>
      </c>
      <c r="N396" s="673"/>
      <c r="O396" s="21">
        <f t="shared" si="70"/>
        <v>1</v>
      </c>
      <c r="P396" s="673"/>
      <c r="Q396" s="21">
        <f t="shared" si="71"/>
        <v>1</v>
      </c>
      <c r="R396" s="669">
        <f t="shared" si="72"/>
        <v>0</v>
      </c>
      <c r="S396" s="319">
        <f t="shared" si="73"/>
        <v>0</v>
      </c>
    </row>
    <row r="397" spans="1:19">
      <c r="A397" s="152"/>
      <c r="B397" s="54"/>
      <c r="C397" s="21">
        <f t="shared" si="64"/>
        <v>1</v>
      </c>
      <c r="D397" s="673"/>
      <c r="E397" s="21">
        <f t="shared" si="65"/>
        <v>1</v>
      </c>
      <c r="F397" s="673"/>
      <c r="G397" s="21">
        <f t="shared" si="66"/>
        <v>1</v>
      </c>
      <c r="H397" s="673"/>
      <c r="I397" s="21">
        <f t="shared" si="67"/>
        <v>1</v>
      </c>
      <c r="J397" s="673"/>
      <c r="K397" s="21">
        <f t="shared" si="68"/>
        <v>1</v>
      </c>
      <c r="L397" s="673"/>
      <c r="M397" s="21">
        <f t="shared" si="69"/>
        <v>1</v>
      </c>
      <c r="N397" s="673"/>
      <c r="O397" s="21">
        <f t="shared" si="70"/>
        <v>1</v>
      </c>
      <c r="P397" s="673"/>
      <c r="Q397" s="21">
        <f t="shared" si="71"/>
        <v>1</v>
      </c>
      <c r="R397" s="669">
        <f t="shared" si="72"/>
        <v>0</v>
      </c>
      <c r="S397" s="319">
        <f t="shared" si="73"/>
        <v>0</v>
      </c>
    </row>
    <row r="398" spans="1:19">
      <c r="A398" s="152"/>
      <c r="B398" s="54"/>
      <c r="C398" s="21">
        <f t="shared" si="64"/>
        <v>1</v>
      </c>
      <c r="D398" s="673"/>
      <c r="E398" s="21">
        <f t="shared" si="65"/>
        <v>1</v>
      </c>
      <c r="F398" s="673"/>
      <c r="G398" s="21">
        <f t="shared" si="66"/>
        <v>1</v>
      </c>
      <c r="H398" s="673"/>
      <c r="I398" s="21">
        <f t="shared" si="67"/>
        <v>1</v>
      </c>
      <c r="J398" s="673"/>
      <c r="K398" s="21">
        <f t="shared" si="68"/>
        <v>1</v>
      </c>
      <c r="L398" s="673"/>
      <c r="M398" s="21">
        <f t="shared" si="69"/>
        <v>1</v>
      </c>
      <c r="N398" s="673"/>
      <c r="O398" s="21">
        <f t="shared" si="70"/>
        <v>1</v>
      </c>
      <c r="P398" s="673"/>
      <c r="Q398" s="21">
        <f t="shared" si="71"/>
        <v>1</v>
      </c>
      <c r="R398" s="669">
        <f t="shared" si="72"/>
        <v>0</v>
      </c>
      <c r="S398" s="319">
        <f t="shared" si="73"/>
        <v>0</v>
      </c>
    </row>
    <row r="399" spans="1:19">
      <c r="A399" s="152"/>
      <c r="B399" s="54"/>
      <c r="C399" s="21">
        <f t="shared" si="64"/>
        <v>1</v>
      </c>
      <c r="D399" s="673"/>
      <c r="E399" s="21">
        <f t="shared" si="65"/>
        <v>1</v>
      </c>
      <c r="F399" s="673"/>
      <c r="G399" s="21">
        <f t="shared" si="66"/>
        <v>1</v>
      </c>
      <c r="H399" s="673"/>
      <c r="I399" s="21">
        <f t="shared" si="67"/>
        <v>1</v>
      </c>
      <c r="J399" s="673"/>
      <c r="K399" s="21">
        <f t="shared" si="68"/>
        <v>1</v>
      </c>
      <c r="L399" s="673"/>
      <c r="M399" s="21">
        <f t="shared" si="69"/>
        <v>1</v>
      </c>
      <c r="N399" s="673"/>
      <c r="O399" s="21">
        <f t="shared" si="70"/>
        <v>1</v>
      </c>
      <c r="P399" s="673"/>
      <c r="Q399" s="21">
        <f t="shared" si="71"/>
        <v>1</v>
      </c>
      <c r="R399" s="669">
        <f t="shared" si="72"/>
        <v>0</v>
      </c>
      <c r="S399" s="319">
        <f t="shared" si="73"/>
        <v>0</v>
      </c>
    </row>
    <row r="400" spans="1:19">
      <c r="A400" s="152"/>
      <c r="B400" s="54"/>
      <c r="C400" s="21">
        <f t="shared" si="64"/>
        <v>1</v>
      </c>
      <c r="D400" s="673"/>
      <c r="E400" s="21">
        <f t="shared" si="65"/>
        <v>1</v>
      </c>
      <c r="F400" s="673"/>
      <c r="G400" s="21">
        <f t="shared" si="66"/>
        <v>1</v>
      </c>
      <c r="H400" s="673"/>
      <c r="I400" s="21">
        <f t="shared" si="67"/>
        <v>1</v>
      </c>
      <c r="J400" s="673"/>
      <c r="K400" s="21">
        <f t="shared" si="68"/>
        <v>1</v>
      </c>
      <c r="L400" s="673"/>
      <c r="M400" s="21">
        <f t="shared" si="69"/>
        <v>1</v>
      </c>
      <c r="N400" s="673"/>
      <c r="O400" s="21">
        <f t="shared" si="70"/>
        <v>1</v>
      </c>
      <c r="P400" s="673"/>
      <c r="Q400" s="21">
        <f t="shared" si="71"/>
        <v>1</v>
      </c>
      <c r="R400" s="669">
        <f t="shared" si="72"/>
        <v>0</v>
      </c>
      <c r="S400" s="319">
        <f t="shared" si="73"/>
        <v>0</v>
      </c>
    </row>
    <row r="401" spans="1:19">
      <c r="A401" s="152"/>
      <c r="B401" s="54"/>
      <c r="C401" s="21">
        <f t="shared" si="64"/>
        <v>1</v>
      </c>
      <c r="D401" s="673"/>
      <c r="E401" s="21">
        <f t="shared" si="65"/>
        <v>1</v>
      </c>
      <c r="F401" s="673"/>
      <c r="G401" s="21">
        <f t="shared" si="66"/>
        <v>1</v>
      </c>
      <c r="H401" s="673"/>
      <c r="I401" s="21">
        <f t="shared" si="67"/>
        <v>1</v>
      </c>
      <c r="J401" s="673"/>
      <c r="K401" s="21">
        <f t="shared" si="68"/>
        <v>1</v>
      </c>
      <c r="L401" s="673"/>
      <c r="M401" s="21">
        <f t="shared" si="69"/>
        <v>1</v>
      </c>
      <c r="N401" s="673"/>
      <c r="O401" s="21">
        <f t="shared" si="70"/>
        <v>1</v>
      </c>
      <c r="P401" s="673"/>
      <c r="Q401" s="21">
        <f t="shared" si="71"/>
        <v>1</v>
      </c>
      <c r="R401" s="669">
        <f t="shared" si="72"/>
        <v>0</v>
      </c>
      <c r="S401" s="319">
        <f t="shared" si="73"/>
        <v>0</v>
      </c>
    </row>
    <row r="402" spans="1:19">
      <c r="A402" s="152"/>
      <c r="B402" s="54"/>
      <c r="C402" s="21">
        <f t="shared" si="64"/>
        <v>1</v>
      </c>
      <c r="D402" s="673"/>
      <c r="E402" s="21">
        <f t="shared" si="65"/>
        <v>1</v>
      </c>
      <c r="F402" s="673"/>
      <c r="G402" s="21">
        <f t="shared" si="66"/>
        <v>1</v>
      </c>
      <c r="H402" s="673"/>
      <c r="I402" s="21">
        <f t="shared" si="67"/>
        <v>1</v>
      </c>
      <c r="J402" s="673"/>
      <c r="K402" s="21">
        <f t="shared" si="68"/>
        <v>1</v>
      </c>
      <c r="L402" s="673"/>
      <c r="M402" s="21">
        <f t="shared" si="69"/>
        <v>1</v>
      </c>
      <c r="N402" s="673"/>
      <c r="O402" s="21">
        <f t="shared" si="70"/>
        <v>1</v>
      </c>
      <c r="P402" s="673"/>
      <c r="Q402" s="21">
        <f t="shared" si="71"/>
        <v>1</v>
      </c>
      <c r="R402" s="669">
        <f t="shared" si="72"/>
        <v>0</v>
      </c>
      <c r="S402" s="319">
        <f t="shared" si="73"/>
        <v>0</v>
      </c>
    </row>
    <row r="403" spans="1:19">
      <c r="A403" s="152"/>
      <c r="B403" s="54"/>
      <c r="C403" s="21">
        <f t="shared" si="64"/>
        <v>1</v>
      </c>
      <c r="D403" s="673"/>
      <c r="E403" s="21">
        <f t="shared" si="65"/>
        <v>1</v>
      </c>
      <c r="F403" s="673"/>
      <c r="G403" s="21">
        <f t="shared" si="66"/>
        <v>1</v>
      </c>
      <c r="H403" s="673"/>
      <c r="I403" s="21">
        <f t="shared" si="67"/>
        <v>1</v>
      </c>
      <c r="J403" s="673"/>
      <c r="K403" s="21">
        <f t="shared" si="68"/>
        <v>1</v>
      </c>
      <c r="L403" s="673"/>
      <c r="M403" s="21">
        <f t="shared" si="69"/>
        <v>1</v>
      </c>
      <c r="N403" s="673"/>
      <c r="O403" s="21">
        <f t="shared" si="70"/>
        <v>1</v>
      </c>
      <c r="P403" s="673"/>
      <c r="Q403" s="21">
        <f t="shared" si="71"/>
        <v>1</v>
      </c>
      <c r="R403" s="669">
        <f t="shared" si="72"/>
        <v>0</v>
      </c>
      <c r="S403" s="319">
        <f t="shared" si="73"/>
        <v>0</v>
      </c>
    </row>
    <row r="404" spans="1:19">
      <c r="A404" s="152"/>
      <c r="B404" s="54"/>
      <c r="C404" s="21">
        <f t="shared" si="64"/>
        <v>1</v>
      </c>
      <c r="D404" s="673"/>
      <c r="E404" s="21">
        <f t="shared" si="65"/>
        <v>1</v>
      </c>
      <c r="F404" s="673"/>
      <c r="G404" s="21">
        <f t="shared" si="66"/>
        <v>1</v>
      </c>
      <c r="H404" s="673"/>
      <c r="I404" s="21">
        <f t="shared" si="67"/>
        <v>1</v>
      </c>
      <c r="J404" s="673"/>
      <c r="K404" s="21">
        <f t="shared" si="68"/>
        <v>1</v>
      </c>
      <c r="L404" s="673"/>
      <c r="M404" s="21">
        <f t="shared" si="69"/>
        <v>1</v>
      </c>
      <c r="N404" s="673"/>
      <c r="O404" s="21">
        <f t="shared" si="70"/>
        <v>1</v>
      </c>
      <c r="P404" s="673"/>
      <c r="Q404" s="21">
        <f t="shared" si="71"/>
        <v>1</v>
      </c>
      <c r="R404" s="669">
        <f t="shared" si="72"/>
        <v>0</v>
      </c>
      <c r="S404" s="319">
        <f t="shared" si="73"/>
        <v>0</v>
      </c>
    </row>
    <row r="405" spans="1:19">
      <c r="A405" s="152"/>
      <c r="B405" s="54"/>
      <c r="C405" s="21">
        <f t="shared" si="64"/>
        <v>1</v>
      </c>
      <c r="D405" s="673"/>
      <c r="E405" s="21">
        <f t="shared" si="65"/>
        <v>1</v>
      </c>
      <c r="F405" s="673"/>
      <c r="G405" s="21">
        <f t="shared" si="66"/>
        <v>1</v>
      </c>
      <c r="H405" s="673"/>
      <c r="I405" s="21">
        <f t="shared" si="67"/>
        <v>1</v>
      </c>
      <c r="J405" s="673"/>
      <c r="K405" s="21">
        <f t="shared" si="68"/>
        <v>1</v>
      </c>
      <c r="L405" s="673"/>
      <c r="M405" s="21">
        <f t="shared" si="69"/>
        <v>1</v>
      </c>
      <c r="N405" s="673"/>
      <c r="O405" s="21">
        <f t="shared" si="70"/>
        <v>1</v>
      </c>
      <c r="P405" s="673"/>
      <c r="Q405" s="21">
        <f t="shared" si="71"/>
        <v>1</v>
      </c>
      <c r="R405" s="669">
        <f t="shared" si="72"/>
        <v>0</v>
      </c>
      <c r="S405" s="319">
        <f t="shared" si="73"/>
        <v>0</v>
      </c>
    </row>
    <row r="406" spans="1:19">
      <c r="A406" s="152"/>
      <c r="B406" s="54"/>
      <c r="C406" s="21">
        <f t="shared" si="64"/>
        <v>1</v>
      </c>
      <c r="D406" s="673"/>
      <c r="E406" s="21">
        <f t="shared" si="65"/>
        <v>1</v>
      </c>
      <c r="F406" s="673"/>
      <c r="G406" s="21">
        <f t="shared" si="66"/>
        <v>1</v>
      </c>
      <c r="H406" s="673"/>
      <c r="I406" s="21">
        <f t="shared" si="67"/>
        <v>1</v>
      </c>
      <c r="J406" s="673"/>
      <c r="K406" s="21">
        <f t="shared" si="68"/>
        <v>1</v>
      </c>
      <c r="L406" s="673"/>
      <c r="M406" s="21">
        <f t="shared" si="69"/>
        <v>1</v>
      </c>
      <c r="N406" s="673"/>
      <c r="O406" s="21">
        <f t="shared" si="70"/>
        <v>1</v>
      </c>
      <c r="P406" s="673"/>
      <c r="Q406" s="21">
        <f t="shared" si="71"/>
        <v>1</v>
      </c>
      <c r="R406" s="669">
        <f t="shared" si="72"/>
        <v>0</v>
      </c>
      <c r="S406" s="319">
        <f t="shared" si="73"/>
        <v>0</v>
      </c>
    </row>
    <row r="407" spans="1:19">
      <c r="A407" s="152"/>
      <c r="B407" s="54"/>
      <c r="C407" s="21">
        <f t="shared" si="64"/>
        <v>1</v>
      </c>
      <c r="D407" s="673"/>
      <c r="E407" s="21">
        <f t="shared" si="65"/>
        <v>1</v>
      </c>
      <c r="F407" s="673"/>
      <c r="G407" s="21">
        <f t="shared" si="66"/>
        <v>1</v>
      </c>
      <c r="H407" s="673"/>
      <c r="I407" s="21">
        <f t="shared" si="67"/>
        <v>1</v>
      </c>
      <c r="J407" s="673"/>
      <c r="K407" s="21">
        <f t="shared" si="68"/>
        <v>1</v>
      </c>
      <c r="L407" s="673"/>
      <c r="M407" s="21">
        <f t="shared" si="69"/>
        <v>1</v>
      </c>
      <c r="N407" s="673"/>
      <c r="O407" s="21">
        <f t="shared" si="70"/>
        <v>1</v>
      </c>
      <c r="P407" s="673"/>
      <c r="Q407" s="21">
        <f t="shared" si="71"/>
        <v>1</v>
      </c>
      <c r="R407" s="669">
        <f t="shared" si="72"/>
        <v>0</v>
      </c>
      <c r="S407" s="319">
        <f t="shared" si="73"/>
        <v>0</v>
      </c>
    </row>
    <row r="408" spans="1:19">
      <c r="A408" s="152"/>
      <c r="B408" s="54"/>
      <c r="C408" s="21">
        <f t="shared" si="64"/>
        <v>1</v>
      </c>
      <c r="D408" s="673"/>
      <c r="E408" s="21">
        <f t="shared" si="65"/>
        <v>1</v>
      </c>
      <c r="F408" s="673"/>
      <c r="G408" s="21">
        <f t="shared" si="66"/>
        <v>1</v>
      </c>
      <c r="H408" s="673"/>
      <c r="I408" s="21">
        <f t="shared" si="67"/>
        <v>1</v>
      </c>
      <c r="J408" s="673"/>
      <c r="K408" s="21">
        <f t="shared" si="68"/>
        <v>1</v>
      </c>
      <c r="L408" s="673"/>
      <c r="M408" s="21">
        <f t="shared" si="69"/>
        <v>1</v>
      </c>
      <c r="N408" s="673"/>
      <c r="O408" s="21">
        <f t="shared" si="70"/>
        <v>1</v>
      </c>
      <c r="P408" s="673"/>
      <c r="Q408" s="21">
        <f t="shared" si="71"/>
        <v>1</v>
      </c>
      <c r="R408" s="669">
        <f t="shared" si="72"/>
        <v>0</v>
      </c>
      <c r="S408" s="319">
        <f t="shared" si="73"/>
        <v>0</v>
      </c>
    </row>
    <row r="409" spans="1:19">
      <c r="A409" s="152"/>
      <c r="B409" s="54"/>
      <c r="C409" s="21">
        <f t="shared" si="64"/>
        <v>1</v>
      </c>
      <c r="D409" s="673"/>
      <c r="E409" s="21">
        <f t="shared" si="65"/>
        <v>1</v>
      </c>
      <c r="F409" s="673"/>
      <c r="G409" s="21">
        <f t="shared" si="66"/>
        <v>1</v>
      </c>
      <c r="H409" s="673"/>
      <c r="I409" s="21">
        <f t="shared" si="67"/>
        <v>1</v>
      </c>
      <c r="J409" s="673"/>
      <c r="K409" s="21">
        <f t="shared" si="68"/>
        <v>1</v>
      </c>
      <c r="L409" s="673"/>
      <c r="M409" s="21">
        <f t="shared" si="69"/>
        <v>1</v>
      </c>
      <c r="N409" s="673"/>
      <c r="O409" s="21">
        <f t="shared" si="70"/>
        <v>1</v>
      </c>
      <c r="P409" s="673"/>
      <c r="Q409" s="21">
        <f t="shared" si="71"/>
        <v>1</v>
      </c>
      <c r="R409" s="669">
        <f t="shared" si="72"/>
        <v>0</v>
      </c>
      <c r="S409" s="319">
        <f t="shared" si="73"/>
        <v>0</v>
      </c>
    </row>
    <row r="410" spans="1:19">
      <c r="A410" s="152"/>
      <c r="B410" s="54"/>
      <c r="C410" s="21">
        <f t="shared" ref="C410:C473" si="74">IF(B410="",1,(LOOKUP(B410,$3:$3,$4:$4)-LOOKUP($B$24,$3:$3,$4:$4)+100)/100)</f>
        <v>1</v>
      </c>
      <c r="D410" s="673"/>
      <c r="E410" s="21">
        <f t="shared" ref="E410:E473" si="75">(SUMIF($5:$5,D410,$6:$6)-SUMIF($5:$5,$D$24,$6:$6)+100)/100</f>
        <v>1</v>
      </c>
      <c r="F410" s="673"/>
      <c r="G410" s="21">
        <f t="shared" ref="G410:G473" si="76">(SUMIF($7:$7,F410,$8:$8)-SUMIF($7:$7,$F$24,$8:$8)+100)/100</f>
        <v>1</v>
      </c>
      <c r="H410" s="673"/>
      <c r="I410" s="21">
        <f t="shared" ref="I410:I473" si="77">(SUMIF($9:$9,H410,$10:$10)-SUMIF($9:$9,$H$24,$10:$10)+100)/100</f>
        <v>1</v>
      </c>
      <c r="J410" s="673"/>
      <c r="K410" s="21">
        <f t="shared" ref="K410:K473" si="78">(SUMIF($11:$11,J410,$12:$12)-SUMIF($11:$11,$J$24,$12:$12)+100)/100</f>
        <v>1</v>
      </c>
      <c r="L410" s="673"/>
      <c r="M410" s="21">
        <f t="shared" ref="M410:M473" si="79">(SUMIF($13:$13,L410,$14:$14)-SUMIF($13:$13,$L$24,$14:$14)+100)/100</f>
        <v>1</v>
      </c>
      <c r="N410" s="673"/>
      <c r="O410" s="21">
        <f t="shared" ref="O410:O473" si="80">(SUMIF($15:$15,N410,$16:$16)-SUMIF($15:$15,$N$24,$16:$16)+100)/100</f>
        <v>1</v>
      </c>
      <c r="P410" s="673"/>
      <c r="Q410" s="21">
        <f t="shared" ref="Q410:Q473" si="81">(SUMIF($17:$17,P410,$18:$18)-SUMIF($17:$17,$P$24,$18:$18)+100)/100</f>
        <v>1</v>
      </c>
      <c r="R410" s="669">
        <f t="shared" ref="R410:R473" si="82">IF(B410="",0,ROUND($R$24*C410*E410*G410*I410*K410*M410*O410*Q410,0))</f>
        <v>0</v>
      </c>
      <c r="S410" s="319">
        <f t="shared" si="73"/>
        <v>0</v>
      </c>
    </row>
    <row r="411" spans="1:19">
      <c r="A411" s="152"/>
      <c r="B411" s="54"/>
      <c r="C411" s="21">
        <f t="shared" si="74"/>
        <v>1</v>
      </c>
      <c r="D411" s="673"/>
      <c r="E411" s="21">
        <f t="shared" si="75"/>
        <v>1</v>
      </c>
      <c r="F411" s="673"/>
      <c r="G411" s="21">
        <f t="shared" si="76"/>
        <v>1</v>
      </c>
      <c r="H411" s="673"/>
      <c r="I411" s="21">
        <f t="shared" si="77"/>
        <v>1</v>
      </c>
      <c r="J411" s="673"/>
      <c r="K411" s="21">
        <f t="shared" si="78"/>
        <v>1</v>
      </c>
      <c r="L411" s="673"/>
      <c r="M411" s="21">
        <f t="shared" si="79"/>
        <v>1</v>
      </c>
      <c r="N411" s="673"/>
      <c r="O411" s="21">
        <f t="shared" si="80"/>
        <v>1</v>
      </c>
      <c r="P411" s="673"/>
      <c r="Q411" s="21">
        <f t="shared" si="81"/>
        <v>1</v>
      </c>
      <c r="R411" s="669">
        <f t="shared" si="82"/>
        <v>0</v>
      </c>
      <c r="S411" s="319">
        <f t="shared" si="73"/>
        <v>0</v>
      </c>
    </row>
    <row r="412" spans="1:19">
      <c r="A412" s="152"/>
      <c r="B412" s="54"/>
      <c r="C412" s="21">
        <f t="shared" si="74"/>
        <v>1</v>
      </c>
      <c r="D412" s="673"/>
      <c r="E412" s="21">
        <f t="shared" si="75"/>
        <v>1</v>
      </c>
      <c r="F412" s="673"/>
      <c r="G412" s="21">
        <f t="shared" si="76"/>
        <v>1</v>
      </c>
      <c r="H412" s="673"/>
      <c r="I412" s="21">
        <f t="shared" si="77"/>
        <v>1</v>
      </c>
      <c r="J412" s="673"/>
      <c r="K412" s="21">
        <f t="shared" si="78"/>
        <v>1</v>
      </c>
      <c r="L412" s="673"/>
      <c r="M412" s="21">
        <f t="shared" si="79"/>
        <v>1</v>
      </c>
      <c r="N412" s="673"/>
      <c r="O412" s="21">
        <f t="shared" si="80"/>
        <v>1</v>
      </c>
      <c r="P412" s="673"/>
      <c r="Q412" s="21">
        <f t="shared" si="81"/>
        <v>1</v>
      </c>
      <c r="R412" s="669">
        <f t="shared" si="82"/>
        <v>0</v>
      </c>
      <c r="S412" s="319">
        <f t="shared" si="73"/>
        <v>0</v>
      </c>
    </row>
    <row r="413" spans="1:19">
      <c r="A413" s="152"/>
      <c r="B413" s="54"/>
      <c r="C413" s="21">
        <f t="shared" si="74"/>
        <v>1</v>
      </c>
      <c r="D413" s="673"/>
      <c r="E413" s="21">
        <f t="shared" si="75"/>
        <v>1</v>
      </c>
      <c r="F413" s="673"/>
      <c r="G413" s="21">
        <f t="shared" si="76"/>
        <v>1</v>
      </c>
      <c r="H413" s="673"/>
      <c r="I413" s="21">
        <f t="shared" si="77"/>
        <v>1</v>
      </c>
      <c r="J413" s="673"/>
      <c r="K413" s="21">
        <f t="shared" si="78"/>
        <v>1</v>
      </c>
      <c r="L413" s="673"/>
      <c r="M413" s="21">
        <f t="shared" si="79"/>
        <v>1</v>
      </c>
      <c r="N413" s="673"/>
      <c r="O413" s="21">
        <f t="shared" si="80"/>
        <v>1</v>
      </c>
      <c r="P413" s="673"/>
      <c r="Q413" s="21">
        <f t="shared" si="81"/>
        <v>1</v>
      </c>
      <c r="R413" s="669">
        <f t="shared" si="82"/>
        <v>0</v>
      </c>
      <c r="S413" s="319">
        <f t="shared" si="73"/>
        <v>0</v>
      </c>
    </row>
    <row r="414" spans="1:19">
      <c r="A414" s="152"/>
      <c r="B414" s="54"/>
      <c r="C414" s="21">
        <f t="shared" si="74"/>
        <v>1</v>
      </c>
      <c r="D414" s="673"/>
      <c r="E414" s="21">
        <f t="shared" si="75"/>
        <v>1</v>
      </c>
      <c r="F414" s="673"/>
      <c r="G414" s="21">
        <f t="shared" si="76"/>
        <v>1</v>
      </c>
      <c r="H414" s="673"/>
      <c r="I414" s="21">
        <f t="shared" si="77"/>
        <v>1</v>
      </c>
      <c r="J414" s="673"/>
      <c r="K414" s="21">
        <f t="shared" si="78"/>
        <v>1</v>
      </c>
      <c r="L414" s="673"/>
      <c r="M414" s="21">
        <f t="shared" si="79"/>
        <v>1</v>
      </c>
      <c r="N414" s="673"/>
      <c r="O414" s="21">
        <f t="shared" si="80"/>
        <v>1</v>
      </c>
      <c r="P414" s="673"/>
      <c r="Q414" s="21">
        <f t="shared" si="81"/>
        <v>1</v>
      </c>
      <c r="R414" s="669">
        <f t="shared" si="82"/>
        <v>0</v>
      </c>
      <c r="S414" s="319">
        <f t="shared" si="73"/>
        <v>0</v>
      </c>
    </row>
    <row r="415" spans="1:19">
      <c r="A415" s="152"/>
      <c r="B415" s="54"/>
      <c r="C415" s="21">
        <f t="shared" si="74"/>
        <v>1</v>
      </c>
      <c r="D415" s="673"/>
      <c r="E415" s="21">
        <f t="shared" si="75"/>
        <v>1</v>
      </c>
      <c r="F415" s="673"/>
      <c r="G415" s="21">
        <f t="shared" si="76"/>
        <v>1</v>
      </c>
      <c r="H415" s="673"/>
      <c r="I415" s="21">
        <f t="shared" si="77"/>
        <v>1</v>
      </c>
      <c r="J415" s="673"/>
      <c r="K415" s="21">
        <f t="shared" si="78"/>
        <v>1</v>
      </c>
      <c r="L415" s="673"/>
      <c r="M415" s="21">
        <f t="shared" si="79"/>
        <v>1</v>
      </c>
      <c r="N415" s="673"/>
      <c r="O415" s="21">
        <f t="shared" si="80"/>
        <v>1</v>
      </c>
      <c r="P415" s="673"/>
      <c r="Q415" s="21">
        <f t="shared" si="81"/>
        <v>1</v>
      </c>
      <c r="R415" s="669">
        <f t="shared" si="82"/>
        <v>0</v>
      </c>
      <c r="S415" s="319">
        <f t="shared" si="73"/>
        <v>0</v>
      </c>
    </row>
    <row r="416" spans="1:19">
      <c r="A416" s="152"/>
      <c r="B416" s="54"/>
      <c r="C416" s="21">
        <f t="shared" si="74"/>
        <v>1</v>
      </c>
      <c r="D416" s="673"/>
      <c r="E416" s="21">
        <f t="shared" si="75"/>
        <v>1</v>
      </c>
      <c r="F416" s="673"/>
      <c r="G416" s="21">
        <f t="shared" si="76"/>
        <v>1</v>
      </c>
      <c r="H416" s="673"/>
      <c r="I416" s="21">
        <f t="shared" si="77"/>
        <v>1</v>
      </c>
      <c r="J416" s="673"/>
      <c r="K416" s="21">
        <f t="shared" si="78"/>
        <v>1</v>
      </c>
      <c r="L416" s="673"/>
      <c r="M416" s="21">
        <f t="shared" si="79"/>
        <v>1</v>
      </c>
      <c r="N416" s="673"/>
      <c r="O416" s="21">
        <f t="shared" si="80"/>
        <v>1</v>
      </c>
      <c r="P416" s="673"/>
      <c r="Q416" s="21">
        <f t="shared" si="81"/>
        <v>1</v>
      </c>
      <c r="R416" s="669">
        <f t="shared" si="82"/>
        <v>0</v>
      </c>
      <c r="S416" s="319">
        <f t="shared" si="73"/>
        <v>0</v>
      </c>
    </row>
    <row r="417" spans="1:19">
      <c r="A417" s="152"/>
      <c r="B417" s="54"/>
      <c r="C417" s="21">
        <f t="shared" si="74"/>
        <v>1</v>
      </c>
      <c r="D417" s="673"/>
      <c r="E417" s="21">
        <f t="shared" si="75"/>
        <v>1</v>
      </c>
      <c r="F417" s="673"/>
      <c r="G417" s="21">
        <f t="shared" si="76"/>
        <v>1</v>
      </c>
      <c r="H417" s="673"/>
      <c r="I417" s="21">
        <f t="shared" si="77"/>
        <v>1</v>
      </c>
      <c r="J417" s="673"/>
      <c r="K417" s="21">
        <f t="shared" si="78"/>
        <v>1</v>
      </c>
      <c r="L417" s="673"/>
      <c r="M417" s="21">
        <f t="shared" si="79"/>
        <v>1</v>
      </c>
      <c r="N417" s="673"/>
      <c r="O417" s="21">
        <f t="shared" si="80"/>
        <v>1</v>
      </c>
      <c r="P417" s="673"/>
      <c r="Q417" s="21">
        <f t="shared" si="81"/>
        <v>1</v>
      </c>
      <c r="R417" s="669">
        <f t="shared" si="82"/>
        <v>0</v>
      </c>
      <c r="S417" s="319">
        <f t="shared" si="73"/>
        <v>0</v>
      </c>
    </row>
    <row r="418" spans="1:19">
      <c r="A418" s="152"/>
      <c r="B418" s="54"/>
      <c r="C418" s="21">
        <f t="shared" si="74"/>
        <v>1</v>
      </c>
      <c r="D418" s="673"/>
      <c r="E418" s="21">
        <f t="shared" si="75"/>
        <v>1</v>
      </c>
      <c r="F418" s="673"/>
      <c r="G418" s="21">
        <f t="shared" si="76"/>
        <v>1</v>
      </c>
      <c r="H418" s="673"/>
      <c r="I418" s="21">
        <f t="shared" si="77"/>
        <v>1</v>
      </c>
      <c r="J418" s="673"/>
      <c r="K418" s="21">
        <f t="shared" si="78"/>
        <v>1</v>
      </c>
      <c r="L418" s="673"/>
      <c r="M418" s="21">
        <f t="shared" si="79"/>
        <v>1</v>
      </c>
      <c r="N418" s="673"/>
      <c r="O418" s="21">
        <f t="shared" si="80"/>
        <v>1</v>
      </c>
      <c r="P418" s="673"/>
      <c r="Q418" s="21">
        <f t="shared" si="81"/>
        <v>1</v>
      </c>
      <c r="R418" s="669">
        <f t="shared" si="82"/>
        <v>0</v>
      </c>
      <c r="S418" s="319">
        <f t="shared" si="73"/>
        <v>0</v>
      </c>
    </row>
    <row r="419" spans="1:19">
      <c r="A419" s="152"/>
      <c r="B419" s="54"/>
      <c r="C419" s="21">
        <f t="shared" si="74"/>
        <v>1</v>
      </c>
      <c r="D419" s="673"/>
      <c r="E419" s="21">
        <f t="shared" si="75"/>
        <v>1</v>
      </c>
      <c r="F419" s="673"/>
      <c r="G419" s="21">
        <f t="shared" si="76"/>
        <v>1</v>
      </c>
      <c r="H419" s="673"/>
      <c r="I419" s="21">
        <f t="shared" si="77"/>
        <v>1</v>
      </c>
      <c r="J419" s="673"/>
      <c r="K419" s="21">
        <f t="shared" si="78"/>
        <v>1</v>
      </c>
      <c r="L419" s="673"/>
      <c r="M419" s="21">
        <f t="shared" si="79"/>
        <v>1</v>
      </c>
      <c r="N419" s="673"/>
      <c r="O419" s="21">
        <f t="shared" si="80"/>
        <v>1</v>
      </c>
      <c r="P419" s="673"/>
      <c r="Q419" s="21">
        <f t="shared" si="81"/>
        <v>1</v>
      </c>
      <c r="R419" s="669">
        <f t="shared" si="82"/>
        <v>0</v>
      </c>
      <c r="S419" s="319">
        <f t="shared" si="73"/>
        <v>0</v>
      </c>
    </row>
    <row r="420" spans="1:19">
      <c r="A420" s="152"/>
      <c r="B420" s="54"/>
      <c r="C420" s="21">
        <f t="shared" si="74"/>
        <v>1</v>
      </c>
      <c r="D420" s="673"/>
      <c r="E420" s="21">
        <f t="shared" si="75"/>
        <v>1</v>
      </c>
      <c r="F420" s="673"/>
      <c r="G420" s="21">
        <f t="shared" si="76"/>
        <v>1</v>
      </c>
      <c r="H420" s="673"/>
      <c r="I420" s="21">
        <f t="shared" si="77"/>
        <v>1</v>
      </c>
      <c r="J420" s="673"/>
      <c r="K420" s="21">
        <f t="shared" si="78"/>
        <v>1</v>
      </c>
      <c r="L420" s="673"/>
      <c r="M420" s="21">
        <f t="shared" si="79"/>
        <v>1</v>
      </c>
      <c r="N420" s="673"/>
      <c r="O420" s="21">
        <f t="shared" si="80"/>
        <v>1</v>
      </c>
      <c r="P420" s="673"/>
      <c r="Q420" s="21">
        <f t="shared" si="81"/>
        <v>1</v>
      </c>
      <c r="R420" s="669">
        <f t="shared" si="82"/>
        <v>0</v>
      </c>
      <c r="S420" s="319">
        <f t="shared" si="73"/>
        <v>0</v>
      </c>
    </row>
    <row r="421" spans="1:19">
      <c r="A421" s="152"/>
      <c r="B421" s="54"/>
      <c r="C421" s="21">
        <f t="shared" si="74"/>
        <v>1</v>
      </c>
      <c r="D421" s="673"/>
      <c r="E421" s="21">
        <f t="shared" si="75"/>
        <v>1</v>
      </c>
      <c r="F421" s="673"/>
      <c r="G421" s="21">
        <f t="shared" si="76"/>
        <v>1</v>
      </c>
      <c r="H421" s="673"/>
      <c r="I421" s="21">
        <f t="shared" si="77"/>
        <v>1</v>
      </c>
      <c r="J421" s="673"/>
      <c r="K421" s="21">
        <f t="shared" si="78"/>
        <v>1</v>
      </c>
      <c r="L421" s="673"/>
      <c r="M421" s="21">
        <f t="shared" si="79"/>
        <v>1</v>
      </c>
      <c r="N421" s="673"/>
      <c r="O421" s="21">
        <f t="shared" si="80"/>
        <v>1</v>
      </c>
      <c r="P421" s="673"/>
      <c r="Q421" s="21">
        <f t="shared" si="81"/>
        <v>1</v>
      </c>
      <c r="R421" s="669">
        <f t="shared" si="82"/>
        <v>0</v>
      </c>
      <c r="S421" s="319">
        <f t="shared" si="73"/>
        <v>0</v>
      </c>
    </row>
    <row r="422" spans="1:19">
      <c r="A422" s="152"/>
      <c r="B422" s="54"/>
      <c r="C422" s="21">
        <f t="shared" si="74"/>
        <v>1</v>
      </c>
      <c r="D422" s="673"/>
      <c r="E422" s="21">
        <f t="shared" si="75"/>
        <v>1</v>
      </c>
      <c r="F422" s="673"/>
      <c r="G422" s="21">
        <f t="shared" si="76"/>
        <v>1</v>
      </c>
      <c r="H422" s="673"/>
      <c r="I422" s="21">
        <f t="shared" si="77"/>
        <v>1</v>
      </c>
      <c r="J422" s="673"/>
      <c r="K422" s="21">
        <f t="shared" si="78"/>
        <v>1</v>
      </c>
      <c r="L422" s="673"/>
      <c r="M422" s="21">
        <f t="shared" si="79"/>
        <v>1</v>
      </c>
      <c r="N422" s="673"/>
      <c r="O422" s="21">
        <f t="shared" si="80"/>
        <v>1</v>
      </c>
      <c r="P422" s="673"/>
      <c r="Q422" s="21">
        <f t="shared" si="81"/>
        <v>1</v>
      </c>
      <c r="R422" s="669">
        <f t="shared" si="82"/>
        <v>0</v>
      </c>
      <c r="S422" s="319">
        <f t="shared" si="73"/>
        <v>0</v>
      </c>
    </row>
    <row r="423" spans="1:19">
      <c r="A423" s="152"/>
      <c r="B423" s="54"/>
      <c r="C423" s="21">
        <f t="shared" si="74"/>
        <v>1</v>
      </c>
      <c r="D423" s="673"/>
      <c r="E423" s="21">
        <f t="shared" si="75"/>
        <v>1</v>
      </c>
      <c r="F423" s="673"/>
      <c r="G423" s="21">
        <f t="shared" si="76"/>
        <v>1</v>
      </c>
      <c r="H423" s="673"/>
      <c r="I423" s="21">
        <f t="shared" si="77"/>
        <v>1</v>
      </c>
      <c r="J423" s="673"/>
      <c r="K423" s="21">
        <f t="shared" si="78"/>
        <v>1</v>
      </c>
      <c r="L423" s="673"/>
      <c r="M423" s="21">
        <f t="shared" si="79"/>
        <v>1</v>
      </c>
      <c r="N423" s="673"/>
      <c r="O423" s="21">
        <f t="shared" si="80"/>
        <v>1</v>
      </c>
      <c r="P423" s="673"/>
      <c r="Q423" s="21">
        <f t="shared" si="81"/>
        <v>1</v>
      </c>
      <c r="R423" s="669">
        <f t="shared" si="82"/>
        <v>0</v>
      </c>
      <c r="S423" s="319">
        <f t="shared" ref="S423:S467" si="83">ROUND(R423*B423/10000,0)</f>
        <v>0</v>
      </c>
    </row>
    <row r="424" spans="1:19">
      <c r="A424" s="152"/>
      <c r="B424" s="54"/>
      <c r="C424" s="21">
        <f t="shared" si="74"/>
        <v>1</v>
      </c>
      <c r="D424" s="673"/>
      <c r="E424" s="21">
        <f t="shared" si="75"/>
        <v>1</v>
      </c>
      <c r="F424" s="673"/>
      <c r="G424" s="21">
        <f t="shared" si="76"/>
        <v>1</v>
      </c>
      <c r="H424" s="673"/>
      <c r="I424" s="21">
        <f t="shared" si="77"/>
        <v>1</v>
      </c>
      <c r="J424" s="673"/>
      <c r="K424" s="21">
        <f t="shared" si="78"/>
        <v>1</v>
      </c>
      <c r="L424" s="673"/>
      <c r="M424" s="21">
        <f t="shared" si="79"/>
        <v>1</v>
      </c>
      <c r="N424" s="673"/>
      <c r="O424" s="21">
        <f t="shared" si="80"/>
        <v>1</v>
      </c>
      <c r="P424" s="673"/>
      <c r="Q424" s="21">
        <f t="shared" si="81"/>
        <v>1</v>
      </c>
      <c r="R424" s="669">
        <f t="shared" si="82"/>
        <v>0</v>
      </c>
      <c r="S424" s="319">
        <f t="shared" si="83"/>
        <v>0</v>
      </c>
    </row>
    <row r="425" spans="1:19">
      <c r="A425" s="152"/>
      <c r="B425" s="54"/>
      <c r="C425" s="21">
        <f t="shared" si="74"/>
        <v>1</v>
      </c>
      <c r="D425" s="673"/>
      <c r="E425" s="21">
        <f t="shared" si="75"/>
        <v>1</v>
      </c>
      <c r="F425" s="673"/>
      <c r="G425" s="21">
        <f t="shared" si="76"/>
        <v>1</v>
      </c>
      <c r="H425" s="673"/>
      <c r="I425" s="21">
        <f t="shared" si="77"/>
        <v>1</v>
      </c>
      <c r="J425" s="673"/>
      <c r="K425" s="21">
        <f t="shared" si="78"/>
        <v>1</v>
      </c>
      <c r="L425" s="673"/>
      <c r="M425" s="21">
        <f t="shared" si="79"/>
        <v>1</v>
      </c>
      <c r="N425" s="673"/>
      <c r="O425" s="21">
        <f t="shared" si="80"/>
        <v>1</v>
      </c>
      <c r="P425" s="673"/>
      <c r="Q425" s="21">
        <f t="shared" si="81"/>
        <v>1</v>
      </c>
      <c r="R425" s="669">
        <f t="shared" si="82"/>
        <v>0</v>
      </c>
      <c r="S425" s="319">
        <f t="shared" si="83"/>
        <v>0</v>
      </c>
    </row>
    <row r="426" spans="1:19">
      <c r="A426" s="152"/>
      <c r="B426" s="54"/>
      <c r="C426" s="21">
        <f t="shared" si="74"/>
        <v>1</v>
      </c>
      <c r="D426" s="673"/>
      <c r="E426" s="21">
        <f t="shared" si="75"/>
        <v>1</v>
      </c>
      <c r="F426" s="673"/>
      <c r="G426" s="21">
        <f t="shared" si="76"/>
        <v>1</v>
      </c>
      <c r="H426" s="673"/>
      <c r="I426" s="21">
        <f t="shared" si="77"/>
        <v>1</v>
      </c>
      <c r="J426" s="673"/>
      <c r="K426" s="21">
        <f t="shared" si="78"/>
        <v>1</v>
      </c>
      <c r="L426" s="673"/>
      <c r="M426" s="21">
        <f t="shared" si="79"/>
        <v>1</v>
      </c>
      <c r="N426" s="673"/>
      <c r="O426" s="21">
        <f t="shared" si="80"/>
        <v>1</v>
      </c>
      <c r="P426" s="673"/>
      <c r="Q426" s="21">
        <f t="shared" si="81"/>
        <v>1</v>
      </c>
      <c r="R426" s="669">
        <f t="shared" si="82"/>
        <v>0</v>
      </c>
      <c r="S426" s="319">
        <f t="shared" si="83"/>
        <v>0</v>
      </c>
    </row>
    <row r="427" spans="1:19">
      <c r="A427" s="152"/>
      <c r="B427" s="54"/>
      <c r="C427" s="21">
        <f t="shared" si="74"/>
        <v>1</v>
      </c>
      <c r="D427" s="673"/>
      <c r="E427" s="21">
        <f t="shared" si="75"/>
        <v>1</v>
      </c>
      <c r="F427" s="673"/>
      <c r="G427" s="21">
        <f t="shared" si="76"/>
        <v>1</v>
      </c>
      <c r="H427" s="673"/>
      <c r="I427" s="21">
        <f t="shared" si="77"/>
        <v>1</v>
      </c>
      <c r="J427" s="673"/>
      <c r="K427" s="21">
        <f t="shared" si="78"/>
        <v>1</v>
      </c>
      <c r="L427" s="673"/>
      <c r="M427" s="21">
        <f t="shared" si="79"/>
        <v>1</v>
      </c>
      <c r="N427" s="673"/>
      <c r="O427" s="21">
        <f t="shared" si="80"/>
        <v>1</v>
      </c>
      <c r="P427" s="673"/>
      <c r="Q427" s="21">
        <f t="shared" si="81"/>
        <v>1</v>
      </c>
      <c r="R427" s="669">
        <f t="shared" si="82"/>
        <v>0</v>
      </c>
      <c r="S427" s="319">
        <f t="shared" si="83"/>
        <v>0</v>
      </c>
    </row>
    <row r="428" spans="1:19">
      <c r="A428" s="152"/>
      <c r="B428" s="54"/>
      <c r="C428" s="21">
        <f t="shared" si="74"/>
        <v>1</v>
      </c>
      <c r="D428" s="673"/>
      <c r="E428" s="21">
        <f t="shared" si="75"/>
        <v>1</v>
      </c>
      <c r="F428" s="673"/>
      <c r="G428" s="21">
        <f t="shared" si="76"/>
        <v>1</v>
      </c>
      <c r="H428" s="673"/>
      <c r="I428" s="21">
        <f t="shared" si="77"/>
        <v>1</v>
      </c>
      <c r="J428" s="673"/>
      <c r="K428" s="21">
        <f t="shared" si="78"/>
        <v>1</v>
      </c>
      <c r="L428" s="673"/>
      <c r="M428" s="21">
        <f t="shared" si="79"/>
        <v>1</v>
      </c>
      <c r="N428" s="673"/>
      <c r="O428" s="21">
        <f t="shared" si="80"/>
        <v>1</v>
      </c>
      <c r="P428" s="673"/>
      <c r="Q428" s="21">
        <f t="shared" si="81"/>
        <v>1</v>
      </c>
      <c r="R428" s="669">
        <f t="shared" si="82"/>
        <v>0</v>
      </c>
      <c r="S428" s="319">
        <f t="shared" si="83"/>
        <v>0</v>
      </c>
    </row>
    <row r="429" spans="1:19">
      <c r="A429" s="152"/>
      <c r="B429" s="54"/>
      <c r="C429" s="21">
        <f t="shared" si="74"/>
        <v>1</v>
      </c>
      <c r="D429" s="673"/>
      <c r="E429" s="21">
        <f t="shared" si="75"/>
        <v>1</v>
      </c>
      <c r="F429" s="673"/>
      <c r="G429" s="21">
        <f t="shared" si="76"/>
        <v>1</v>
      </c>
      <c r="H429" s="673"/>
      <c r="I429" s="21">
        <f t="shared" si="77"/>
        <v>1</v>
      </c>
      <c r="J429" s="673"/>
      <c r="K429" s="21">
        <f t="shared" si="78"/>
        <v>1</v>
      </c>
      <c r="L429" s="673"/>
      <c r="M429" s="21">
        <f t="shared" si="79"/>
        <v>1</v>
      </c>
      <c r="N429" s="673"/>
      <c r="O429" s="21">
        <f t="shared" si="80"/>
        <v>1</v>
      </c>
      <c r="P429" s="673"/>
      <c r="Q429" s="21">
        <f t="shared" si="81"/>
        <v>1</v>
      </c>
      <c r="R429" s="669">
        <f t="shared" si="82"/>
        <v>0</v>
      </c>
      <c r="S429" s="319">
        <f t="shared" si="83"/>
        <v>0</v>
      </c>
    </row>
    <row r="430" spans="1:19">
      <c r="A430" s="152"/>
      <c r="B430" s="54"/>
      <c r="C430" s="21">
        <f t="shared" si="74"/>
        <v>1</v>
      </c>
      <c r="D430" s="673"/>
      <c r="E430" s="21">
        <f t="shared" si="75"/>
        <v>1</v>
      </c>
      <c r="F430" s="673"/>
      <c r="G430" s="21">
        <f t="shared" si="76"/>
        <v>1</v>
      </c>
      <c r="H430" s="673"/>
      <c r="I430" s="21">
        <f t="shared" si="77"/>
        <v>1</v>
      </c>
      <c r="J430" s="673"/>
      <c r="K430" s="21">
        <f t="shared" si="78"/>
        <v>1</v>
      </c>
      <c r="L430" s="673"/>
      <c r="M430" s="21">
        <f t="shared" si="79"/>
        <v>1</v>
      </c>
      <c r="N430" s="673"/>
      <c r="O430" s="21">
        <f t="shared" si="80"/>
        <v>1</v>
      </c>
      <c r="P430" s="673"/>
      <c r="Q430" s="21">
        <f t="shared" si="81"/>
        <v>1</v>
      </c>
      <c r="R430" s="669">
        <f t="shared" si="82"/>
        <v>0</v>
      </c>
      <c r="S430" s="319">
        <f t="shared" si="83"/>
        <v>0</v>
      </c>
    </row>
    <row r="431" spans="1:19">
      <c r="A431" s="152"/>
      <c r="B431" s="54"/>
      <c r="C431" s="21">
        <f t="shared" si="74"/>
        <v>1</v>
      </c>
      <c r="D431" s="673"/>
      <c r="E431" s="21">
        <f t="shared" si="75"/>
        <v>1</v>
      </c>
      <c r="F431" s="673"/>
      <c r="G431" s="21">
        <f t="shared" si="76"/>
        <v>1</v>
      </c>
      <c r="H431" s="673"/>
      <c r="I431" s="21">
        <f t="shared" si="77"/>
        <v>1</v>
      </c>
      <c r="J431" s="673"/>
      <c r="K431" s="21">
        <f t="shared" si="78"/>
        <v>1</v>
      </c>
      <c r="L431" s="673"/>
      <c r="M431" s="21">
        <f t="shared" si="79"/>
        <v>1</v>
      </c>
      <c r="N431" s="673"/>
      <c r="O431" s="21">
        <f t="shared" si="80"/>
        <v>1</v>
      </c>
      <c r="P431" s="673"/>
      <c r="Q431" s="21">
        <f t="shared" si="81"/>
        <v>1</v>
      </c>
      <c r="R431" s="669">
        <f t="shared" si="82"/>
        <v>0</v>
      </c>
      <c r="S431" s="319">
        <f t="shared" si="83"/>
        <v>0</v>
      </c>
    </row>
    <row r="432" spans="1:19">
      <c r="A432" s="152"/>
      <c r="B432" s="54"/>
      <c r="C432" s="21">
        <f t="shared" si="74"/>
        <v>1</v>
      </c>
      <c r="D432" s="673"/>
      <c r="E432" s="21">
        <f t="shared" si="75"/>
        <v>1</v>
      </c>
      <c r="F432" s="673"/>
      <c r="G432" s="21">
        <f t="shared" si="76"/>
        <v>1</v>
      </c>
      <c r="H432" s="673"/>
      <c r="I432" s="21">
        <f t="shared" si="77"/>
        <v>1</v>
      </c>
      <c r="J432" s="673"/>
      <c r="K432" s="21">
        <f t="shared" si="78"/>
        <v>1</v>
      </c>
      <c r="L432" s="673"/>
      <c r="M432" s="21">
        <f t="shared" si="79"/>
        <v>1</v>
      </c>
      <c r="N432" s="673"/>
      <c r="O432" s="21">
        <f t="shared" si="80"/>
        <v>1</v>
      </c>
      <c r="P432" s="673"/>
      <c r="Q432" s="21">
        <f t="shared" si="81"/>
        <v>1</v>
      </c>
      <c r="R432" s="669">
        <f t="shared" si="82"/>
        <v>0</v>
      </c>
      <c r="S432" s="319">
        <f t="shared" si="83"/>
        <v>0</v>
      </c>
    </row>
    <row r="433" spans="1:19">
      <c r="A433" s="152"/>
      <c r="B433" s="54"/>
      <c r="C433" s="21">
        <f t="shared" si="74"/>
        <v>1</v>
      </c>
      <c r="D433" s="673"/>
      <c r="E433" s="21">
        <f t="shared" si="75"/>
        <v>1</v>
      </c>
      <c r="F433" s="673"/>
      <c r="G433" s="21">
        <f t="shared" si="76"/>
        <v>1</v>
      </c>
      <c r="H433" s="673"/>
      <c r="I433" s="21">
        <f t="shared" si="77"/>
        <v>1</v>
      </c>
      <c r="J433" s="673"/>
      <c r="K433" s="21">
        <f t="shared" si="78"/>
        <v>1</v>
      </c>
      <c r="L433" s="673"/>
      <c r="M433" s="21">
        <f t="shared" si="79"/>
        <v>1</v>
      </c>
      <c r="N433" s="673"/>
      <c r="O433" s="21">
        <f t="shared" si="80"/>
        <v>1</v>
      </c>
      <c r="P433" s="673"/>
      <c r="Q433" s="21">
        <f t="shared" si="81"/>
        <v>1</v>
      </c>
      <c r="R433" s="669">
        <f t="shared" si="82"/>
        <v>0</v>
      </c>
      <c r="S433" s="319">
        <f t="shared" si="83"/>
        <v>0</v>
      </c>
    </row>
    <row r="434" spans="1:19">
      <c r="A434" s="152"/>
      <c r="B434" s="54"/>
      <c r="C434" s="21">
        <f t="shared" si="74"/>
        <v>1</v>
      </c>
      <c r="D434" s="673"/>
      <c r="E434" s="21">
        <f t="shared" si="75"/>
        <v>1</v>
      </c>
      <c r="F434" s="673"/>
      <c r="G434" s="21">
        <f t="shared" si="76"/>
        <v>1</v>
      </c>
      <c r="H434" s="673"/>
      <c r="I434" s="21">
        <f t="shared" si="77"/>
        <v>1</v>
      </c>
      <c r="J434" s="673"/>
      <c r="K434" s="21">
        <f t="shared" si="78"/>
        <v>1</v>
      </c>
      <c r="L434" s="673"/>
      <c r="M434" s="21">
        <f t="shared" si="79"/>
        <v>1</v>
      </c>
      <c r="N434" s="673"/>
      <c r="O434" s="21">
        <f t="shared" si="80"/>
        <v>1</v>
      </c>
      <c r="P434" s="673"/>
      <c r="Q434" s="21">
        <f t="shared" si="81"/>
        <v>1</v>
      </c>
      <c r="R434" s="669">
        <f t="shared" si="82"/>
        <v>0</v>
      </c>
      <c r="S434" s="319">
        <f t="shared" si="83"/>
        <v>0</v>
      </c>
    </row>
    <row r="435" spans="1:19">
      <c r="A435" s="152"/>
      <c r="B435" s="54"/>
      <c r="C435" s="21">
        <f t="shared" si="74"/>
        <v>1</v>
      </c>
      <c r="D435" s="673"/>
      <c r="E435" s="21">
        <f t="shared" si="75"/>
        <v>1</v>
      </c>
      <c r="F435" s="673"/>
      <c r="G435" s="21">
        <f t="shared" si="76"/>
        <v>1</v>
      </c>
      <c r="H435" s="673"/>
      <c r="I435" s="21">
        <f t="shared" si="77"/>
        <v>1</v>
      </c>
      <c r="J435" s="673"/>
      <c r="K435" s="21">
        <f t="shared" si="78"/>
        <v>1</v>
      </c>
      <c r="L435" s="673"/>
      <c r="M435" s="21">
        <f t="shared" si="79"/>
        <v>1</v>
      </c>
      <c r="N435" s="673"/>
      <c r="O435" s="21">
        <f t="shared" si="80"/>
        <v>1</v>
      </c>
      <c r="P435" s="673"/>
      <c r="Q435" s="21">
        <f t="shared" si="81"/>
        <v>1</v>
      </c>
      <c r="R435" s="669">
        <f t="shared" si="82"/>
        <v>0</v>
      </c>
      <c r="S435" s="319">
        <f t="shared" si="83"/>
        <v>0</v>
      </c>
    </row>
    <row r="436" spans="1:19">
      <c r="A436" s="152"/>
      <c r="B436" s="54"/>
      <c r="C436" s="21">
        <f t="shared" si="74"/>
        <v>1</v>
      </c>
      <c r="D436" s="673"/>
      <c r="E436" s="21">
        <f t="shared" si="75"/>
        <v>1</v>
      </c>
      <c r="F436" s="673"/>
      <c r="G436" s="21">
        <f t="shared" si="76"/>
        <v>1</v>
      </c>
      <c r="H436" s="673"/>
      <c r="I436" s="21">
        <f t="shared" si="77"/>
        <v>1</v>
      </c>
      <c r="J436" s="673"/>
      <c r="K436" s="21">
        <f t="shared" si="78"/>
        <v>1</v>
      </c>
      <c r="L436" s="673"/>
      <c r="M436" s="21">
        <f t="shared" si="79"/>
        <v>1</v>
      </c>
      <c r="N436" s="673"/>
      <c r="O436" s="21">
        <f t="shared" si="80"/>
        <v>1</v>
      </c>
      <c r="P436" s="673"/>
      <c r="Q436" s="21">
        <f t="shared" si="81"/>
        <v>1</v>
      </c>
      <c r="R436" s="669">
        <f t="shared" si="82"/>
        <v>0</v>
      </c>
      <c r="S436" s="319">
        <f t="shared" si="83"/>
        <v>0</v>
      </c>
    </row>
    <row r="437" spans="1:19">
      <c r="A437" s="152"/>
      <c r="B437" s="54"/>
      <c r="C437" s="21">
        <f t="shared" si="74"/>
        <v>1</v>
      </c>
      <c r="D437" s="673"/>
      <c r="E437" s="21">
        <f t="shared" si="75"/>
        <v>1</v>
      </c>
      <c r="F437" s="673"/>
      <c r="G437" s="21">
        <f t="shared" si="76"/>
        <v>1</v>
      </c>
      <c r="H437" s="673"/>
      <c r="I437" s="21">
        <f t="shared" si="77"/>
        <v>1</v>
      </c>
      <c r="J437" s="673"/>
      <c r="K437" s="21">
        <f t="shared" si="78"/>
        <v>1</v>
      </c>
      <c r="L437" s="673"/>
      <c r="M437" s="21">
        <f t="shared" si="79"/>
        <v>1</v>
      </c>
      <c r="N437" s="673"/>
      <c r="O437" s="21">
        <f t="shared" si="80"/>
        <v>1</v>
      </c>
      <c r="P437" s="673"/>
      <c r="Q437" s="21">
        <f t="shared" si="81"/>
        <v>1</v>
      </c>
      <c r="R437" s="669">
        <f t="shared" si="82"/>
        <v>0</v>
      </c>
      <c r="S437" s="319">
        <f t="shared" si="83"/>
        <v>0</v>
      </c>
    </row>
    <row r="438" spans="1:19">
      <c r="A438" s="152"/>
      <c r="B438" s="54"/>
      <c r="C438" s="21">
        <f t="shared" si="74"/>
        <v>1</v>
      </c>
      <c r="D438" s="673"/>
      <c r="E438" s="21">
        <f t="shared" si="75"/>
        <v>1</v>
      </c>
      <c r="F438" s="673"/>
      <c r="G438" s="21">
        <f t="shared" si="76"/>
        <v>1</v>
      </c>
      <c r="H438" s="673"/>
      <c r="I438" s="21">
        <f t="shared" si="77"/>
        <v>1</v>
      </c>
      <c r="J438" s="673"/>
      <c r="K438" s="21">
        <f t="shared" si="78"/>
        <v>1</v>
      </c>
      <c r="L438" s="673"/>
      <c r="M438" s="21">
        <f t="shared" si="79"/>
        <v>1</v>
      </c>
      <c r="N438" s="673"/>
      <c r="O438" s="21">
        <f t="shared" si="80"/>
        <v>1</v>
      </c>
      <c r="P438" s="673"/>
      <c r="Q438" s="21">
        <f t="shared" si="81"/>
        <v>1</v>
      </c>
      <c r="R438" s="669">
        <f t="shared" si="82"/>
        <v>0</v>
      </c>
      <c r="S438" s="319">
        <f t="shared" si="83"/>
        <v>0</v>
      </c>
    </row>
    <row r="439" spans="1:19">
      <c r="A439" s="152"/>
      <c r="B439" s="54"/>
      <c r="C439" s="21">
        <f t="shared" si="74"/>
        <v>1</v>
      </c>
      <c r="D439" s="673"/>
      <c r="E439" s="21">
        <f t="shared" si="75"/>
        <v>1</v>
      </c>
      <c r="F439" s="673"/>
      <c r="G439" s="21">
        <f t="shared" si="76"/>
        <v>1</v>
      </c>
      <c r="H439" s="673"/>
      <c r="I439" s="21">
        <f t="shared" si="77"/>
        <v>1</v>
      </c>
      <c r="J439" s="673"/>
      <c r="K439" s="21">
        <f t="shared" si="78"/>
        <v>1</v>
      </c>
      <c r="L439" s="673"/>
      <c r="M439" s="21">
        <f t="shared" si="79"/>
        <v>1</v>
      </c>
      <c r="N439" s="673"/>
      <c r="O439" s="21">
        <f t="shared" si="80"/>
        <v>1</v>
      </c>
      <c r="P439" s="673"/>
      <c r="Q439" s="21">
        <f t="shared" si="81"/>
        <v>1</v>
      </c>
      <c r="R439" s="669">
        <f t="shared" si="82"/>
        <v>0</v>
      </c>
      <c r="S439" s="319">
        <f t="shared" si="83"/>
        <v>0</v>
      </c>
    </row>
    <row r="440" spans="1:19">
      <c r="A440" s="152"/>
      <c r="B440" s="54"/>
      <c r="C440" s="21">
        <f t="shared" si="74"/>
        <v>1</v>
      </c>
      <c r="D440" s="673"/>
      <c r="E440" s="21">
        <f t="shared" si="75"/>
        <v>1</v>
      </c>
      <c r="F440" s="673"/>
      <c r="G440" s="21">
        <f t="shared" si="76"/>
        <v>1</v>
      </c>
      <c r="H440" s="673"/>
      <c r="I440" s="21">
        <f t="shared" si="77"/>
        <v>1</v>
      </c>
      <c r="J440" s="673"/>
      <c r="K440" s="21">
        <f t="shared" si="78"/>
        <v>1</v>
      </c>
      <c r="L440" s="673"/>
      <c r="M440" s="21">
        <f t="shared" si="79"/>
        <v>1</v>
      </c>
      <c r="N440" s="673"/>
      <c r="O440" s="21">
        <f t="shared" si="80"/>
        <v>1</v>
      </c>
      <c r="P440" s="673"/>
      <c r="Q440" s="21">
        <f t="shared" si="81"/>
        <v>1</v>
      </c>
      <c r="R440" s="669">
        <f t="shared" si="82"/>
        <v>0</v>
      </c>
      <c r="S440" s="319">
        <f t="shared" si="83"/>
        <v>0</v>
      </c>
    </row>
    <row r="441" spans="1:19">
      <c r="A441" s="152"/>
      <c r="B441" s="54"/>
      <c r="C441" s="21">
        <f t="shared" si="74"/>
        <v>1</v>
      </c>
      <c r="D441" s="673"/>
      <c r="E441" s="21">
        <f t="shared" si="75"/>
        <v>1</v>
      </c>
      <c r="F441" s="673"/>
      <c r="G441" s="21">
        <f t="shared" si="76"/>
        <v>1</v>
      </c>
      <c r="H441" s="673"/>
      <c r="I441" s="21">
        <f t="shared" si="77"/>
        <v>1</v>
      </c>
      <c r="J441" s="673"/>
      <c r="K441" s="21">
        <f t="shared" si="78"/>
        <v>1</v>
      </c>
      <c r="L441" s="673"/>
      <c r="M441" s="21">
        <f t="shared" si="79"/>
        <v>1</v>
      </c>
      <c r="N441" s="673"/>
      <c r="O441" s="21">
        <f t="shared" si="80"/>
        <v>1</v>
      </c>
      <c r="P441" s="673"/>
      <c r="Q441" s="21">
        <f t="shared" si="81"/>
        <v>1</v>
      </c>
      <c r="R441" s="669">
        <f t="shared" si="82"/>
        <v>0</v>
      </c>
      <c r="S441" s="319">
        <f t="shared" si="83"/>
        <v>0</v>
      </c>
    </row>
    <row r="442" spans="1:19">
      <c r="A442" s="152"/>
      <c r="B442" s="54"/>
      <c r="C442" s="21">
        <f t="shared" si="74"/>
        <v>1</v>
      </c>
      <c r="D442" s="673"/>
      <c r="E442" s="21">
        <f t="shared" si="75"/>
        <v>1</v>
      </c>
      <c r="F442" s="673"/>
      <c r="G442" s="21">
        <f t="shared" si="76"/>
        <v>1</v>
      </c>
      <c r="H442" s="673"/>
      <c r="I442" s="21">
        <f t="shared" si="77"/>
        <v>1</v>
      </c>
      <c r="J442" s="673"/>
      <c r="K442" s="21">
        <f t="shared" si="78"/>
        <v>1</v>
      </c>
      <c r="L442" s="673"/>
      <c r="M442" s="21">
        <f t="shared" si="79"/>
        <v>1</v>
      </c>
      <c r="N442" s="673"/>
      <c r="O442" s="21">
        <f t="shared" si="80"/>
        <v>1</v>
      </c>
      <c r="P442" s="673"/>
      <c r="Q442" s="21">
        <f t="shared" si="81"/>
        <v>1</v>
      </c>
      <c r="R442" s="669">
        <f t="shared" si="82"/>
        <v>0</v>
      </c>
      <c r="S442" s="319">
        <f t="shared" si="83"/>
        <v>0</v>
      </c>
    </row>
    <row r="443" spans="1:19">
      <c r="A443" s="152"/>
      <c r="B443" s="54"/>
      <c r="C443" s="21">
        <f t="shared" si="74"/>
        <v>1</v>
      </c>
      <c r="D443" s="673"/>
      <c r="E443" s="21">
        <f t="shared" si="75"/>
        <v>1</v>
      </c>
      <c r="F443" s="673"/>
      <c r="G443" s="21">
        <f t="shared" si="76"/>
        <v>1</v>
      </c>
      <c r="H443" s="673"/>
      <c r="I443" s="21">
        <f t="shared" si="77"/>
        <v>1</v>
      </c>
      <c r="J443" s="673"/>
      <c r="K443" s="21">
        <f t="shared" si="78"/>
        <v>1</v>
      </c>
      <c r="L443" s="673"/>
      <c r="M443" s="21">
        <f t="shared" si="79"/>
        <v>1</v>
      </c>
      <c r="N443" s="673"/>
      <c r="O443" s="21">
        <f t="shared" si="80"/>
        <v>1</v>
      </c>
      <c r="P443" s="673"/>
      <c r="Q443" s="21">
        <f t="shared" si="81"/>
        <v>1</v>
      </c>
      <c r="R443" s="669">
        <f t="shared" si="82"/>
        <v>0</v>
      </c>
      <c r="S443" s="319">
        <f t="shared" si="83"/>
        <v>0</v>
      </c>
    </row>
    <row r="444" spans="1:19">
      <c r="A444" s="152"/>
      <c r="B444" s="54"/>
      <c r="C444" s="21">
        <f t="shared" si="74"/>
        <v>1</v>
      </c>
      <c r="D444" s="673"/>
      <c r="E444" s="21">
        <f t="shared" si="75"/>
        <v>1</v>
      </c>
      <c r="F444" s="673"/>
      <c r="G444" s="21">
        <f t="shared" si="76"/>
        <v>1</v>
      </c>
      <c r="H444" s="673"/>
      <c r="I444" s="21">
        <f t="shared" si="77"/>
        <v>1</v>
      </c>
      <c r="J444" s="673"/>
      <c r="K444" s="21">
        <f t="shared" si="78"/>
        <v>1</v>
      </c>
      <c r="L444" s="673"/>
      <c r="M444" s="21">
        <f t="shared" si="79"/>
        <v>1</v>
      </c>
      <c r="N444" s="673"/>
      <c r="O444" s="21">
        <f t="shared" si="80"/>
        <v>1</v>
      </c>
      <c r="P444" s="673"/>
      <c r="Q444" s="21">
        <f t="shared" si="81"/>
        <v>1</v>
      </c>
      <c r="R444" s="669">
        <f t="shared" si="82"/>
        <v>0</v>
      </c>
      <c r="S444" s="319">
        <f t="shared" si="83"/>
        <v>0</v>
      </c>
    </row>
    <row r="445" spans="1:19">
      <c r="A445" s="152"/>
      <c r="B445" s="54"/>
      <c r="C445" s="21">
        <f t="shared" si="74"/>
        <v>1</v>
      </c>
      <c r="D445" s="673"/>
      <c r="E445" s="21">
        <f t="shared" si="75"/>
        <v>1</v>
      </c>
      <c r="F445" s="673"/>
      <c r="G445" s="21">
        <f t="shared" si="76"/>
        <v>1</v>
      </c>
      <c r="H445" s="673"/>
      <c r="I445" s="21">
        <f t="shared" si="77"/>
        <v>1</v>
      </c>
      <c r="J445" s="673"/>
      <c r="K445" s="21">
        <f t="shared" si="78"/>
        <v>1</v>
      </c>
      <c r="L445" s="673"/>
      <c r="M445" s="21">
        <f t="shared" si="79"/>
        <v>1</v>
      </c>
      <c r="N445" s="673"/>
      <c r="O445" s="21">
        <f t="shared" si="80"/>
        <v>1</v>
      </c>
      <c r="P445" s="673"/>
      <c r="Q445" s="21">
        <f t="shared" si="81"/>
        <v>1</v>
      </c>
      <c r="R445" s="669">
        <f t="shared" si="82"/>
        <v>0</v>
      </c>
      <c r="S445" s="319">
        <f t="shared" si="83"/>
        <v>0</v>
      </c>
    </row>
    <row r="446" spans="1:19">
      <c r="A446" s="152"/>
      <c r="B446" s="54"/>
      <c r="C446" s="21">
        <f t="shared" si="74"/>
        <v>1</v>
      </c>
      <c r="D446" s="673"/>
      <c r="E446" s="21">
        <f t="shared" si="75"/>
        <v>1</v>
      </c>
      <c r="F446" s="673"/>
      <c r="G446" s="21">
        <f t="shared" si="76"/>
        <v>1</v>
      </c>
      <c r="H446" s="673"/>
      <c r="I446" s="21">
        <f t="shared" si="77"/>
        <v>1</v>
      </c>
      <c r="J446" s="673"/>
      <c r="K446" s="21">
        <f t="shared" si="78"/>
        <v>1</v>
      </c>
      <c r="L446" s="673"/>
      <c r="M446" s="21">
        <f t="shared" si="79"/>
        <v>1</v>
      </c>
      <c r="N446" s="673"/>
      <c r="O446" s="21">
        <f t="shared" si="80"/>
        <v>1</v>
      </c>
      <c r="P446" s="673"/>
      <c r="Q446" s="21">
        <f t="shared" si="81"/>
        <v>1</v>
      </c>
      <c r="R446" s="669">
        <f t="shared" si="82"/>
        <v>0</v>
      </c>
      <c r="S446" s="319">
        <f t="shared" si="83"/>
        <v>0</v>
      </c>
    </row>
    <row r="447" spans="1:19">
      <c r="A447" s="152"/>
      <c r="B447" s="54"/>
      <c r="C447" s="21">
        <f t="shared" si="74"/>
        <v>1</v>
      </c>
      <c r="D447" s="673"/>
      <c r="E447" s="21">
        <f t="shared" si="75"/>
        <v>1</v>
      </c>
      <c r="F447" s="673"/>
      <c r="G447" s="21">
        <f t="shared" si="76"/>
        <v>1</v>
      </c>
      <c r="H447" s="673"/>
      <c r="I447" s="21">
        <f t="shared" si="77"/>
        <v>1</v>
      </c>
      <c r="J447" s="673"/>
      <c r="K447" s="21">
        <f t="shared" si="78"/>
        <v>1</v>
      </c>
      <c r="L447" s="673"/>
      <c r="M447" s="21">
        <f t="shared" si="79"/>
        <v>1</v>
      </c>
      <c r="N447" s="673"/>
      <c r="O447" s="21">
        <f t="shared" si="80"/>
        <v>1</v>
      </c>
      <c r="P447" s="673"/>
      <c r="Q447" s="21">
        <f t="shared" si="81"/>
        <v>1</v>
      </c>
      <c r="R447" s="669">
        <f t="shared" si="82"/>
        <v>0</v>
      </c>
      <c r="S447" s="319">
        <f t="shared" si="83"/>
        <v>0</v>
      </c>
    </row>
    <row r="448" spans="1:19">
      <c r="A448" s="152"/>
      <c r="B448" s="54"/>
      <c r="C448" s="21">
        <f t="shared" si="74"/>
        <v>1</v>
      </c>
      <c r="D448" s="673"/>
      <c r="E448" s="21">
        <f t="shared" si="75"/>
        <v>1</v>
      </c>
      <c r="F448" s="673"/>
      <c r="G448" s="21">
        <f t="shared" si="76"/>
        <v>1</v>
      </c>
      <c r="H448" s="673"/>
      <c r="I448" s="21">
        <f t="shared" si="77"/>
        <v>1</v>
      </c>
      <c r="J448" s="673"/>
      <c r="K448" s="21">
        <f t="shared" si="78"/>
        <v>1</v>
      </c>
      <c r="L448" s="673"/>
      <c r="M448" s="21">
        <f t="shared" si="79"/>
        <v>1</v>
      </c>
      <c r="N448" s="673"/>
      <c r="O448" s="21">
        <f t="shared" si="80"/>
        <v>1</v>
      </c>
      <c r="P448" s="673"/>
      <c r="Q448" s="21">
        <f t="shared" si="81"/>
        <v>1</v>
      </c>
      <c r="R448" s="669">
        <f t="shared" si="82"/>
        <v>0</v>
      </c>
      <c r="S448" s="319">
        <f t="shared" si="83"/>
        <v>0</v>
      </c>
    </row>
    <row r="449" spans="1:19">
      <c r="A449" s="152"/>
      <c r="B449" s="54"/>
      <c r="C449" s="21">
        <f t="shared" si="74"/>
        <v>1</v>
      </c>
      <c r="D449" s="673"/>
      <c r="E449" s="21">
        <f t="shared" si="75"/>
        <v>1</v>
      </c>
      <c r="F449" s="673"/>
      <c r="G449" s="21">
        <f t="shared" si="76"/>
        <v>1</v>
      </c>
      <c r="H449" s="673"/>
      <c r="I449" s="21">
        <f t="shared" si="77"/>
        <v>1</v>
      </c>
      <c r="J449" s="673"/>
      <c r="K449" s="21">
        <f t="shared" si="78"/>
        <v>1</v>
      </c>
      <c r="L449" s="673"/>
      <c r="M449" s="21">
        <f t="shared" si="79"/>
        <v>1</v>
      </c>
      <c r="N449" s="673"/>
      <c r="O449" s="21">
        <f t="shared" si="80"/>
        <v>1</v>
      </c>
      <c r="P449" s="673"/>
      <c r="Q449" s="21">
        <f t="shared" si="81"/>
        <v>1</v>
      </c>
      <c r="R449" s="669">
        <f t="shared" si="82"/>
        <v>0</v>
      </c>
      <c r="S449" s="319">
        <f t="shared" si="83"/>
        <v>0</v>
      </c>
    </row>
    <row r="450" spans="1:19">
      <c r="A450" s="152"/>
      <c r="B450" s="54"/>
      <c r="C450" s="21">
        <f t="shared" si="74"/>
        <v>1</v>
      </c>
      <c r="D450" s="673"/>
      <c r="E450" s="21">
        <f t="shared" si="75"/>
        <v>1</v>
      </c>
      <c r="F450" s="673"/>
      <c r="G450" s="21">
        <f t="shared" si="76"/>
        <v>1</v>
      </c>
      <c r="H450" s="673"/>
      <c r="I450" s="21">
        <f t="shared" si="77"/>
        <v>1</v>
      </c>
      <c r="J450" s="673"/>
      <c r="K450" s="21">
        <f t="shared" si="78"/>
        <v>1</v>
      </c>
      <c r="L450" s="673"/>
      <c r="M450" s="21">
        <f t="shared" si="79"/>
        <v>1</v>
      </c>
      <c r="N450" s="673"/>
      <c r="O450" s="21">
        <f t="shared" si="80"/>
        <v>1</v>
      </c>
      <c r="P450" s="673"/>
      <c r="Q450" s="21">
        <f t="shared" si="81"/>
        <v>1</v>
      </c>
      <c r="R450" s="669">
        <f t="shared" si="82"/>
        <v>0</v>
      </c>
      <c r="S450" s="319">
        <f t="shared" si="83"/>
        <v>0</v>
      </c>
    </row>
    <row r="451" spans="1:19">
      <c r="A451" s="152"/>
      <c r="B451" s="54"/>
      <c r="C451" s="21">
        <f t="shared" si="74"/>
        <v>1</v>
      </c>
      <c r="D451" s="673"/>
      <c r="E451" s="21">
        <f t="shared" si="75"/>
        <v>1</v>
      </c>
      <c r="F451" s="673"/>
      <c r="G451" s="21">
        <f t="shared" si="76"/>
        <v>1</v>
      </c>
      <c r="H451" s="673"/>
      <c r="I451" s="21">
        <f t="shared" si="77"/>
        <v>1</v>
      </c>
      <c r="J451" s="673"/>
      <c r="K451" s="21">
        <f t="shared" si="78"/>
        <v>1</v>
      </c>
      <c r="L451" s="673"/>
      <c r="M451" s="21">
        <f t="shared" si="79"/>
        <v>1</v>
      </c>
      <c r="N451" s="673"/>
      <c r="O451" s="21">
        <f t="shared" si="80"/>
        <v>1</v>
      </c>
      <c r="P451" s="673"/>
      <c r="Q451" s="21">
        <f t="shared" si="81"/>
        <v>1</v>
      </c>
      <c r="R451" s="669">
        <f t="shared" si="82"/>
        <v>0</v>
      </c>
      <c r="S451" s="319">
        <f t="shared" si="83"/>
        <v>0</v>
      </c>
    </row>
    <row r="452" spans="1:19">
      <c r="A452" s="152"/>
      <c r="B452" s="54"/>
      <c r="C452" s="21">
        <f t="shared" si="74"/>
        <v>1</v>
      </c>
      <c r="D452" s="673"/>
      <c r="E452" s="21">
        <f t="shared" si="75"/>
        <v>1</v>
      </c>
      <c r="F452" s="673"/>
      <c r="G452" s="21">
        <f t="shared" si="76"/>
        <v>1</v>
      </c>
      <c r="H452" s="673"/>
      <c r="I452" s="21">
        <f t="shared" si="77"/>
        <v>1</v>
      </c>
      <c r="J452" s="673"/>
      <c r="K452" s="21">
        <f t="shared" si="78"/>
        <v>1</v>
      </c>
      <c r="L452" s="673"/>
      <c r="M452" s="21">
        <f t="shared" si="79"/>
        <v>1</v>
      </c>
      <c r="N452" s="673"/>
      <c r="O452" s="21">
        <f t="shared" si="80"/>
        <v>1</v>
      </c>
      <c r="P452" s="673"/>
      <c r="Q452" s="21">
        <f t="shared" si="81"/>
        <v>1</v>
      </c>
      <c r="R452" s="669">
        <f t="shared" si="82"/>
        <v>0</v>
      </c>
      <c r="S452" s="319">
        <f t="shared" si="83"/>
        <v>0</v>
      </c>
    </row>
    <row r="453" spans="1:19">
      <c r="A453" s="152"/>
      <c r="B453" s="54"/>
      <c r="C453" s="21">
        <f t="shared" si="74"/>
        <v>1</v>
      </c>
      <c r="D453" s="673"/>
      <c r="E453" s="21">
        <f t="shared" si="75"/>
        <v>1</v>
      </c>
      <c r="F453" s="673"/>
      <c r="G453" s="21">
        <f t="shared" si="76"/>
        <v>1</v>
      </c>
      <c r="H453" s="673"/>
      <c r="I453" s="21">
        <f t="shared" si="77"/>
        <v>1</v>
      </c>
      <c r="J453" s="673"/>
      <c r="K453" s="21">
        <f t="shared" si="78"/>
        <v>1</v>
      </c>
      <c r="L453" s="673"/>
      <c r="M453" s="21">
        <f t="shared" si="79"/>
        <v>1</v>
      </c>
      <c r="N453" s="673"/>
      <c r="O453" s="21">
        <f t="shared" si="80"/>
        <v>1</v>
      </c>
      <c r="P453" s="673"/>
      <c r="Q453" s="21">
        <f t="shared" si="81"/>
        <v>1</v>
      </c>
      <c r="R453" s="669">
        <f t="shared" si="82"/>
        <v>0</v>
      </c>
      <c r="S453" s="319">
        <f t="shared" si="83"/>
        <v>0</v>
      </c>
    </row>
    <row r="454" spans="1:19">
      <c r="A454" s="152"/>
      <c r="B454" s="54"/>
      <c r="C454" s="21">
        <f t="shared" si="74"/>
        <v>1</v>
      </c>
      <c r="D454" s="673"/>
      <c r="E454" s="21">
        <f t="shared" si="75"/>
        <v>1</v>
      </c>
      <c r="F454" s="673"/>
      <c r="G454" s="21">
        <f t="shared" si="76"/>
        <v>1</v>
      </c>
      <c r="H454" s="673"/>
      <c r="I454" s="21">
        <f t="shared" si="77"/>
        <v>1</v>
      </c>
      <c r="J454" s="673"/>
      <c r="K454" s="21">
        <f t="shared" si="78"/>
        <v>1</v>
      </c>
      <c r="L454" s="673"/>
      <c r="M454" s="21">
        <f t="shared" si="79"/>
        <v>1</v>
      </c>
      <c r="N454" s="673"/>
      <c r="O454" s="21">
        <f t="shared" si="80"/>
        <v>1</v>
      </c>
      <c r="P454" s="673"/>
      <c r="Q454" s="21">
        <f t="shared" si="81"/>
        <v>1</v>
      </c>
      <c r="R454" s="669">
        <f t="shared" si="82"/>
        <v>0</v>
      </c>
      <c r="S454" s="319">
        <f t="shared" si="83"/>
        <v>0</v>
      </c>
    </row>
    <row r="455" spans="1:19">
      <c r="A455" s="152"/>
      <c r="B455" s="54"/>
      <c r="C455" s="21">
        <f t="shared" si="74"/>
        <v>1</v>
      </c>
      <c r="D455" s="673"/>
      <c r="E455" s="21">
        <f t="shared" si="75"/>
        <v>1</v>
      </c>
      <c r="F455" s="673"/>
      <c r="G455" s="21">
        <f t="shared" si="76"/>
        <v>1</v>
      </c>
      <c r="H455" s="673"/>
      <c r="I455" s="21">
        <f t="shared" si="77"/>
        <v>1</v>
      </c>
      <c r="J455" s="673"/>
      <c r="K455" s="21">
        <f t="shared" si="78"/>
        <v>1</v>
      </c>
      <c r="L455" s="673"/>
      <c r="M455" s="21">
        <f t="shared" si="79"/>
        <v>1</v>
      </c>
      <c r="N455" s="673"/>
      <c r="O455" s="21">
        <f t="shared" si="80"/>
        <v>1</v>
      </c>
      <c r="P455" s="673"/>
      <c r="Q455" s="21">
        <f t="shared" si="81"/>
        <v>1</v>
      </c>
      <c r="R455" s="669">
        <f t="shared" si="82"/>
        <v>0</v>
      </c>
      <c r="S455" s="319">
        <f t="shared" si="83"/>
        <v>0</v>
      </c>
    </row>
    <row r="456" spans="1:19">
      <c r="A456" s="152"/>
      <c r="B456" s="54"/>
      <c r="C456" s="21">
        <f t="shared" si="74"/>
        <v>1</v>
      </c>
      <c r="D456" s="673"/>
      <c r="E456" s="21">
        <f t="shared" si="75"/>
        <v>1</v>
      </c>
      <c r="F456" s="673"/>
      <c r="G456" s="21">
        <f t="shared" si="76"/>
        <v>1</v>
      </c>
      <c r="H456" s="673"/>
      <c r="I456" s="21">
        <f t="shared" si="77"/>
        <v>1</v>
      </c>
      <c r="J456" s="673"/>
      <c r="K456" s="21">
        <f t="shared" si="78"/>
        <v>1</v>
      </c>
      <c r="L456" s="673"/>
      <c r="M456" s="21">
        <f t="shared" si="79"/>
        <v>1</v>
      </c>
      <c r="N456" s="673"/>
      <c r="O456" s="21">
        <f t="shared" si="80"/>
        <v>1</v>
      </c>
      <c r="P456" s="673"/>
      <c r="Q456" s="21">
        <f t="shared" si="81"/>
        <v>1</v>
      </c>
      <c r="R456" s="669">
        <f t="shared" si="82"/>
        <v>0</v>
      </c>
      <c r="S456" s="319">
        <f t="shared" si="83"/>
        <v>0</v>
      </c>
    </row>
    <row r="457" spans="1:19">
      <c r="A457" s="152"/>
      <c r="B457" s="54"/>
      <c r="C457" s="21">
        <f t="shared" si="74"/>
        <v>1</v>
      </c>
      <c r="D457" s="673"/>
      <c r="E457" s="21">
        <f t="shared" si="75"/>
        <v>1</v>
      </c>
      <c r="F457" s="673"/>
      <c r="G457" s="21">
        <f t="shared" si="76"/>
        <v>1</v>
      </c>
      <c r="H457" s="673"/>
      <c r="I457" s="21">
        <f t="shared" si="77"/>
        <v>1</v>
      </c>
      <c r="J457" s="673"/>
      <c r="K457" s="21">
        <f t="shared" si="78"/>
        <v>1</v>
      </c>
      <c r="L457" s="673"/>
      <c r="M457" s="21">
        <f t="shared" si="79"/>
        <v>1</v>
      </c>
      <c r="N457" s="673"/>
      <c r="O457" s="21">
        <f t="shared" si="80"/>
        <v>1</v>
      </c>
      <c r="P457" s="673"/>
      <c r="Q457" s="21">
        <f t="shared" si="81"/>
        <v>1</v>
      </c>
      <c r="R457" s="669">
        <f t="shared" si="82"/>
        <v>0</v>
      </c>
      <c r="S457" s="319">
        <f t="shared" si="83"/>
        <v>0</v>
      </c>
    </row>
    <row r="458" spans="1:19">
      <c r="A458" s="152"/>
      <c r="B458" s="54"/>
      <c r="C458" s="21">
        <f t="shared" si="74"/>
        <v>1</v>
      </c>
      <c r="D458" s="673"/>
      <c r="E458" s="21">
        <f t="shared" si="75"/>
        <v>1</v>
      </c>
      <c r="F458" s="673"/>
      <c r="G458" s="21">
        <f t="shared" si="76"/>
        <v>1</v>
      </c>
      <c r="H458" s="673"/>
      <c r="I458" s="21">
        <f t="shared" si="77"/>
        <v>1</v>
      </c>
      <c r="J458" s="673"/>
      <c r="K458" s="21">
        <f t="shared" si="78"/>
        <v>1</v>
      </c>
      <c r="L458" s="673"/>
      <c r="M458" s="21">
        <f t="shared" si="79"/>
        <v>1</v>
      </c>
      <c r="N458" s="673"/>
      <c r="O458" s="21">
        <f t="shared" si="80"/>
        <v>1</v>
      </c>
      <c r="P458" s="673"/>
      <c r="Q458" s="21">
        <f t="shared" si="81"/>
        <v>1</v>
      </c>
      <c r="R458" s="669">
        <f t="shared" si="82"/>
        <v>0</v>
      </c>
      <c r="S458" s="319">
        <f t="shared" si="83"/>
        <v>0</v>
      </c>
    </row>
    <row r="459" spans="1:19">
      <c r="A459" s="152"/>
      <c r="B459" s="54"/>
      <c r="C459" s="21">
        <f t="shared" si="74"/>
        <v>1</v>
      </c>
      <c r="D459" s="673"/>
      <c r="E459" s="21">
        <f t="shared" si="75"/>
        <v>1</v>
      </c>
      <c r="F459" s="673"/>
      <c r="G459" s="21">
        <f t="shared" si="76"/>
        <v>1</v>
      </c>
      <c r="H459" s="673"/>
      <c r="I459" s="21">
        <f t="shared" si="77"/>
        <v>1</v>
      </c>
      <c r="J459" s="673"/>
      <c r="K459" s="21">
        <f t="shared" si="78"/>
        <v>1</v>
      </c>
      <c r="L459" s="673"/>
      <c r="M459" s="21">
        <f t="shared" si="79"/>
        <v>1</v>
      </c>
      <c r="N459" s="673"/>
      <c r="O459" s="21">
        <f t="shared" si="80"/>
        <v>1</v>
      </c>
      <c r="P459" s="673"/>
      <c r="Q459" s="21">
        <f t="shared" si="81"/>
        <v>1</v>
      </c>
      <c r="R459" s="669">
        <f t="shared" si="82"/>
        <v>0</v>
      </c>
      <c r="S459" s="319">
        <f t="shared" si="83"/>
        <v>0</v>
      </c>
    </row>
    <row r="460" spans="1:19">
      <c r="A460" s="152"/>
      <c r="B460" s="54"/>
      <c r="C460" s="21">
        <f t="shared" si="74"/>
        <v>1</v>
      </c>
      <c r="D460" s="673"/>
      <c r="E460" s="21">
        <f t="shared" si="75"/>
        <v>1</v>
      </c>
      <c r="F460" s="673"/>
      <c r="G460" s="21">
        <f t="shared" si="76"/>
        <v>1</v>
      </c>
      <c r="H460" s="673"/>
      <c r="I460" s="21">
        <f t="shared" si="77"/>
        <v>1</v>
      </c>
      <c r="J460" s="673"/>
      <c r="K460" s="21">
        <f t="shared" si="78"/>
        <v>1</v>
      </c>
      <c r="L460" s="673"/>
      <c r="M460" s="21">
        <f t="shared" si="79"/>
        <v>1</v>
      </c>
      <c r="N460" s="673"/>
      <c r="O460" s="21">
        <f t="shared" si="80"/>
        <v>1</v>
      </c>
      <c r="P460" s="673"/>
      <c r="Q460" s="21">
        <f t="shared" si="81"/>
        <v>1</v>
      </c>
      <c r="R460" s="669">
        <f t="shared" si="82"/>
        <v>0</v>
      </c>
      <c r="S460" s="319">
        <f t="shared" si="83"/>
        <v>0</v>
      </c>
    </row>
    <row r="461" spans="1:19">
      <c r="A461" s="152"/>
      <c r="B461" s="54"/>
      <c r="C461" s="21">
        <f t="shared" si="74"/>
        <v>1</v>
      </c>
      <c r="D461" s="673"/>
      <c r="E461" s="21">
        <f t="shared" si="75"/>
        <v>1</v>
      </c>
      <c r="F461" s="673"/>
      <c r="G461" s="21">
        <f t="shared" si="76"/>
        <v>1</v>
      </c>
      <c r="H461" s="673"/>
      <c r="I461" s="21">
        <f t="shared" si="77"/>
        <v>1</v>
      </c>
      <c r="J461" s="673"/>
      <c r="K461" s="21">
        <f t="shared" si="78"/>
        <v>1</v>
      </c>
      <c r="L461" s="673"/>
      <c r="M461" s="21">
        <f t="shared" si="79"/>
        <v>1</v>
      </c>
      <c r="N461" s="673"/>
      <c r="O461" s="21">
        <f t="shared" si="80"/>
        <v>1</v>
      </c>
      <c r="P461" s="673"/>
      <c r="Q461" s="21">
        <f t="shared" si="81"/>
        <v>1</v>
      </c>
      <c r="R461" s="669">
        <f t="shared" si="82"/>
        <v>0</v>
      </c>
      <c r="S461" s="319">
        <f t="shared" si="83"/>
        <v>0</v>
      </c>
    </row>
    <row r="462" spans="1:19">
      <c r="A462" s="152"/>
      <c r="B462" s="54"/>
      <c r="C462" s="21">
        <f t="shared" si="74"/>
        <v>1</v>
      </c>
      <c r="D462" s="673"/>
      <c r="E462" s="21">
        <f t="shared" si="75"/>
        <v>1</v>
      </c>
      <c r="F462" s="673"/>
      <c r="G462" s="21">
        <f t="shared" si="76"/>
        <v>1</v>
      </c>
      <c r="H462" s="673"/>
      <c r="I462" s="21">
        <f t="shared" si="77"/>
        <v>1</v>
      </c>
      <c r="J462" s="673"/>
      <c r="K462" s="21">
        <f t="shared" si="78"/>
        <v>1</v>
      </c>
      <c r="L462" s="673"/>
      <c r="M462" s="21">
        <f t="shared" si="79"/>
        <v>1</v>
      </c>
      <c r="N462" s="673"/>
      <c r="O462" s="21">
        <f t="shared" si="80"/>
        <v>1</v>
      </c>
      <c r="P462" s="673"/>
      <c r="Q462" s="21">
        <f t="shared" si="81"/>
        <v>1</v>
      </c>
      <c r="R462" s="669">
        <f t="shared" si="82"/>
        <v>0</v>
      </c>
      <c r="S462" s="319">
        <f t="shared" si="83"/>
        <v>0</v>
      </c>
    </row>
    <row r="463" spans="1:19">
      <c r="A463" s="152"/>
      <c r="B463" s="54"/>
      <c r="C463" s="21">
        <f t="shared" si="74"/>
        <v>1</v>
      </c>
      <c r="D463" s="673"/>
      <c r="E463" s="21">
        <f t="shared" si="75"/>
        <v>1</v>
      </c>
      <c r="F463" s="673"/>
      <c r="G463" s="21">
        <f t="shared" si="76"/>
        <v>1</v>
      </c>
      <c r="H463" s="673"/>
      <c r="I463" s="21">
        <f t="shared" si="77"/>
        <v>1</v>
      </c>
      <c r="J463" s="673"/>
      <c r="K463" s="21">
        <f t="shared" si="78"/>
        <v>1</v>
      </c>
      <c r="L463" s="673"/>
      <c r="M463" s="21">
        <f t="shared" si="79"/>
        <v>1</v>
      </c>
      <c r="N463" s="673"/>
      <c r="O463" s="21">
        <f t="shared" si="80"/>
        <v>1</v>
      </c>
      <c r="P463" s="673"/>
      <c r="Q463" s="21">
        <f t="shared" si="81"/>
        <v>1</v>
      </c>
      <c r="R463" s="669">
        <f t="shared" si="82"/>
        <v>0</v>
      </c>
      <c r="S463" s="319">
        <f t="shared" si="83"/>
        <v>0</v>
      </c>
    </row>
    <row r="464" spans="1:19">
      <c r="A464" s="152"/>
      <c r="B464" s="54"/>
      <c r="C464" s="21">
        <f t="shared" si="74"/>
        <v>1</v>
      </c>
      <c r="D464" s="673"/>
      <c r="E464" s="21">
        <f t="shared" si="75"/>
        <v>1</v>
      </c>
      <c r="F464" s="673"/>
      <c r="G464" s="21">
        <f t="shared" si="76"/>
        <v>1</v>
      </c>
      <c r="H464" s="673"/>
      <c r="I464" s="21">
        <f t="shared" si="77"/>
        <v>1</v>
      </c>
      <c r="J464" s="673"/>
      <c r="K464" s="21">
        <f t="shared" si="78"/>
        <v>1</v>
      </c>
      <c r="L464" s="673"/>
      <c r="M464" s="21">
        <f t="shared" si="79"/>
        <v>1</v>
      </c>
      <c r="N464" s="673"/>
      <c r="O464" s="21">
        <f t="shared" si="80"/>
        <v>1</v>
      </c>
      <c r="P464" s="673"/>
      <c r="Q464" s="21">
        <f t="shared" si="81"/>
        <v>1</v>
      </c>
      <c r="R464" s="669">
        <f t="shared" si="82"/>
        <v>0</v>
      </c>
      <c r="S464" s="319">
        <f t="shared" si="83"/>
        <v>0</v>
      </c>
    </row>
    <row r="465" spans="1:19">
      <c r="A465" s="152"/>
      <c r="B465" s="54"/>
      <c r="C465" s="21">
        <f t="shared" si="74"/>
        <v>1</v>
      </c>
      <c r="D465" s="673"/>
      <c r="E465" s="21">
        <f t="shared" si="75"/>
        <v>1</v>
      </c>
      <c r="F465" s="673"/>
      <c r="G465" s="21">
        <f t="shared" si="76"/>
        <v>1</v>
      </c>
      <c r="H465" s="673"/>
      <c r="I465" s="21">
        <f t="shared" si="77"/>
        <v>1</v>
      </c>
      <c r="J465" s="673"/>
      <c r="K465" s="21">
        <f t="shared" si="78"/>
        <v>1</v>
      </c>
      <c r="L465" s="673"/>
      <c r="M465" s="21">
        <f t="shared" si="79"/>
        <v>1</v>
      </c>
      <c r="N465" s="673"/>
      <c r="O465" s="21">
        <f t="shared" si="80"/>
        <v>1</v>
      </c>
      <c r="P465" s="673"/>
      <c r="Q465" s="21">
        <f t="shared" si="81"/>
        <v>1</v>
      </c>
      <c r="R465" s="669">
        <f t="shared" si="82"/>
        <v>0</v>
      </c>
      <c r="S465" s="319">
        <f t="shared" si="83"/>
        <v>0</v>
      </c>
    </row>
    <row r="466" spans="1:19">
      <c r="A466" s="152"/>
      <c r="B466" s="54"/>
      <c r="C466" s="21">
        <f t="shared" si="74"/>
        <v>1</v>
      </c>
      <c r="D466" s="673"/>
      <c r="E466" s="21">
        <f t="shared" si="75"/>
        <v>1</v>
      </c>
      <c r="F466" s="673"/>
      <c r="G466" s="21">
        <f t="shared" si="76"/>
        <v>1</v>
      </c>
      <c r="H466" s="673"/>
      <c r="I466" s="21">
        <f t="shared" si="77"/>
        <v>1</v>
      </c>
      <c r="J466" s="673"/>
      <c r="K466" s="21">
        <f t="shared" si="78"/>
        <v>1</v>
      </c>
      <c r="L466" s="673"/>
      <c r="M466" s="21">
        <f t="shared" si="79"/>
        <v>1</v>
      </c>
      <c r="N466" s="673"/>
      <c r="O466" s="21">
        <f t="shared" si="80"/>
        <v>1</v>
      </c>
      <c r="P466" s="673"/>
      <c r="Q466" s="21">
        <f t="shared" si="81"/>
        <v>1</v>
      </c>
      <c r="R466" s="669">
        <f t="shared" si="82"/>
        <v>0</v>
      </c>
      <c r="S466" s="319">
        <f t="shared" si="83"/>
        <v>0</v>
      </c>
    </row>
    <row r="467" spans="1:19">
      <c r="A467" s="152"/>
      <c r="B467" s="54"/>
      <c r="C467" s="21">
        <f t="shared" si="74"/>
        <v>1</v>
      </c>
      <c r="D467" s="673"/>
      <c r="E467" s="21">
        <f t="shared" si="75"/>
        <v>1</v>
      </c>
      <c r="F467" s="673"/>
      <c r="G467" s="21">
        <f t="shared" si="76"/>
        <v>1</v>
      </c>
      <c r="H467" s="673"/>
      <c r="I467" s="21">
        <f t="shared" si="77"/>
        <v>1</v>
      </c>
      <c r="J467" s="673"/>
      <c r="K467" s="21">
        <f t="shared" si="78"/>
        <v>1</v>
      </c>
      <c r="L467" s="673"/>
      <c r="M467" s="21">
        <f t="shared" si="79"/>
        <v>1</v>
      </c>
      <c r="N467" s="673"/>
      <c r="O467" s="21">
        <f t="shared" si="80"/>
        <v>1</v>
      </c>
      <c r="P467" s="673"/>
      <c r="Q467" s="21">
        <f t="shared" si="81"/>
        <v>1</v>
      </c>
      <c r="R467" s="669">
        <f t="shared" si="82"/>
        <v>0</v>
      </c>
      <c r="S467" s="319">
        <f t="shared" si="83"/>
        <v>0</v>
      </c>
    </row>
    <row r="468" spans="1:19">
      <c r="A468" s="152"/>
      <c r="B468" s="54"/>
      <c r="C468" s="21">
        <f t="shared" si="74"/>
        <v>1</v>
      </c>
      <c r="D468" s="673"/>
      <c r="E468" s="21">
        <f t="shared" si="75"/>
        <v>1</v>
      </c>
      <c r="F468" s="673"/>
      <c r="G468" s="21">
        <f t="shared" si="76"/>
        <v>1</v>
      </c>
      <c r="H468" s="673"/>
      <c r="I468" s="21">
        <f t="shared" si="77"/>
        <v>1</v>
      </c>
      <c r="J468" s="673"/>
      <c r="K468" s="21">
        <f t="shared" si="78"/>
        <v>1</v>
      </c>
      <c r="L468" s="673"/>
      <c r="M468" s="21">
        <f t="shared" si="79"/>
        <v>1</v>
      </c>
      <c r="N468" s="673"/>
      <c r="O468" s="21">
        <f t="shared" si="80"/>
        <v>1</v>
      </c>
      <c r="P468" s="673"/>
      <c r="Q468" s="21">
        <f t="shared" si="81"/>
        <v>1</v>
      </c>
      <c r="R468" s="669">
        <f t="shared" si="82"/>
        <v>0</v>
      </c>
      <c r="S468" s="319">
        <f t="shared" ref="S468:S497" si="84">ROUND(R468*B468/10000,0)</f>
        <v>0</v>
      </c>
    </row>
    <row r="469" spans="1:19">
      <c r="A469" s="152"/>
      <c r="B469" s="54"/>
      <c r="C469" s="21">
        <f t="shared" si="74"/>
        <v>1</v>
      </c>
      <c r="D469" s="673"/>
      <c r="E469" s="21">
        <f t="shared" si="75"/>
        <v>1</v>
      </c>
      <c r="F469" s="673"/>
      <c r="G469" s="21">
        <f t="shared" si="76"/>
        <v>1</v>
      </c>
      <c r="H469" s="673"/>
      <c r="I469" s="21">
        <f t="shared" si="77"/>
        <v>1</v>
      </c>
      <c r="J469" s="673"/>
      <c r="K469" s="21">
        <f t="shared" si="78"/>
        <v>1</v>
      </c>
      <c r="L469" s="673"/>
      <c r="M469" s="21">
        <f t="shared" si="79"/>
        <v>1</v>
      </c>
      <c r="N469" s="673"/>
      <c r="O469" s="21">
        <f t="shared" si="80"/>
        <v>1</v>
      </c>
      <c r="P469" s="673"/>
      <c r="Q469" s="21">
        <f t="shared" si="81"/>
        <v>1</v>
      </c>
      <c r="R469" s="669">
        <f t="shared" si="82"/>
        <v>0</v>
      </c>
      <c r="S469" s="319">
        <f t="shared" si="84"/>
        <v>0</v>
      </c>
    </row>
    <row r="470" spans="1:19">
      <c r="A470" s="152"/>
      <c r="B470" s="54"/>
      <c r="C470" s="21">
        <f t="shared" si="74"/>
        <v>1</v>
      </c>
      <c r="D470" s="673"/>
      <c r="E470" s="21">
        <f t="shared" si="75"/>
        <v>1</v>
      </c>
      <c r="F470" s="673"/>
      <c r="G470" s="21">
        <f t="shared" si="76"/>
        <v>1</v>
      </c>
      <c r="H470" s="673"/>
      <c r="I470" s="21">
        <f t="shared" si="77"/>
        <v>1</v>
      </c>
      <c r="J470" s="673"/>
      <c r="K470" s="21">
        <f t="shared" si="78"/>
        <v>1</v>
      </c>
      <c r="L470" s="673"/>
      <c r="M470" s="21">
        <f t="shared" si="79"/>
        <v>1</v>
      </c>
      <c r="N470" s="673"/>
      <c r="O470" s="21">
        <f t="shared" si="80"/>
        <v>1</v>
      </c>
      <c r="P470" s="673"/>
      <c r="Q470" s="21">
        <f t="shared" si="81"/>
        <v>1</v>
      </c>
      <c r="R470" s="669">
        <f t="shared" si="82"/>
        <v>0</v>
      </c>
      <c r="S470" s="319">
        <f t="shared" si="84"/>
        <v>0</v>
      </c>
    </row>
    <row r="471" spans="1:19">
      <c r="A471" s="152"/>
      <c r="B471" s="54"/>
      <c r="C471" s="21">
        <f t="shared" si="74"/>
        <v>1</v>
      </c>
      <c r="D471" s="673"/>
      <c r="E471" s="21">
        <f t="shared" si="75"/>
        <v>1</v>
      </c>
      <c r="F471" s="673"/>
      <c r="G471" s="21">
        <f t="shared" si="76"/>
        <v>1</v>
      </c>
      <c r="H471" s="673"/>
      <c r="I471" s="21">
        <f t="shared" si="77"/>
        <v>1</v>
      </c>
      <c r="J471" s="673"/>
      <c r="K471" s="21">
        <f t="shared" si="78"/>
        <v>1</v>
      </c>
      <c r="L471" s="673"/>
      <c r="M471" s="21">
        <f t="shared" si="79"/>
        <v>1</v>
      </c>
      <c r="N471" s="673"/>
      <c r="O471" s="21">
        <f t="shared" si="80"/>
        <v>1</v>
      </c>
      <c r="P471" s="673"/>
      <c r="Q471" s="21">
        <f t="shared" si="81"/>
        <v>1</v>
      </c>
      <c r="R471" s="669">
        <f t="shared" si="82"/>
        <v>0</v>
      </c>
      <c r="S471" s="319">
        <f t="shared" si="84"/>
        <v>0</v>
      </c>
    </row>
    <row r="472" spans="1:19">
      <c r="A472" s="152"/>
      <c r="B472" s="54"/>
      <c r="C472" s="21">
        <f t="shared" si="74"/>
        <v>1</v>
      </c>
      <c r="D472" s="673"/>
      <c r="E472" s="21">
        <f t="shared" si="75"/>
        <v>1</v>
      </c>
      <c r="F472" s="673"/>
      <c r="G472" s="21">
        <f t="shared" si="76"/>
        <v>1</v>
      </c>
      <c r="H472" s="673"/>
      <c r="I472" s="21">
        <f t="shared" si="77"/>
        <v>1</v>
      </c>
      <c r="J472" s="673"/>
      <c r="K472" s="21">
        <f t="shared" si="78"/>
        <v>1</v>
      </c>
      <c r="L472" s="673"/>
      <c r="M472" s="21">
        <f t="shared" si="79"/>
        <v>1</v>
      </c>
      <c r="N472" s="673"/>
      <c r="O472" s="21">
        <f t="shared" si="80"/>
        <v>1</v>
      </c>
      <c r="P472" s="673"/>
      <c r="Q472" s="21">
        <f t="shared" si="81"/>
        <v>1</v>
      </c>
      <c r="R472" s="669">
        <f t="shared" si="82"/>
        <v>0</v>
      </c>
      <c r="S472" s="319">
        <f t="shared" si="84"/>
        <v>0</v>
      </c>
    </row>
    <row r="473" spans="1:19">
      <c r="A473" s="152"/>
      <c r="B473" s="54"/>
      <c r="C473" s="21">
        <f t="shared" si="74"/>
        <v>1</v>
      </c>
      <c r="D473" s="673"/>
      <c r="E473" s="21">
        <f t="shared" si="75"/>
        <v>1</v>
      </c>
      <c r="F473" s="673"/>
      <c r="G473" s="21">
        <f t="shared" si="76"/>
        <v>1</v>
      </c>
      <c r="H473" s="673"/>
      <c r="I473" s="21">
        <f t="shared" si="77"/>
        <v>1</v>
      </c>
      <c r="J473" s="673"/>
      <c r="K473" s="21">
        <f t="shared" si="78"/>
        <v>1</v>
      </c>
      <c r="L473" s="673"/>
      <c r="M473" s="21">
        <f t="shared" si="79"/>
        <v>1</v>
      </c>
      <c r="N473" s="673"/>
      <c r="O473" s="21">
        <f t="shared" si="80"/>
        <v>1</v>
      </c>
      <c r="P473" s="673"/>
      <c r="Q473" s="21">
        <f t="shared" si="81"/>
        <v>1</v>
      </c>
      <c r="R473" s="669">
        <f t="shared" si="82"/>
        <v>0</v>
      </c>
      <c r="S473" s="319">
        <f t="shared" si="84"/>
        <v>0</v>
      </c>
    </row>
    <row r="474" spans="1:19">
      <c r="A474" s="152"/>
      <c r="B474" s="54"/>
      <c r="C474" s="21">
        <f t="shared" ref="C474:C524" si="85">IF(B474="",1,(LOOKUP(B474,$3:$3,$4:$4)-LOOKUP($B$24,$3:$3,$4:$4)+100)/100)</f>
        <v>1</v>
      </c>
      <c r="D474" s="673"/>
      <c r="E474" s="21">
        <f t="shared" ref="E474:E524" si="86">(SUMIF($5:$5,D474,$6:$6)-SUMIF($5:$5,$D$24,$6:$6)+100)/100</f>
        <v>1</v>
      </c>
      <c r="F474" s="673"/>
      <c r="G474" s="21">
        <f t="shared" ref="G474:G524" si="87">(SUMIF($7:$7,F474,$8:$8)-SUMIF($7:$7,$F$24,$8:$8)+100)/100</f>
        <v>1</v>
      </c>
      <c r="H474" s="673"/>
      <c r="I474" s="21">
        <f t="shared" ref="I474:I524" si="88">(SUMIF($9:$9,H474,$10:$10)-SUMIF($9:$9,$H$24,$10:$10)+100)/100</f>
        <v>1</v>
      </c>
      <c r="J474" s="673"/>
      <c r="K474" s="21">
        <f t="shared" ref="K474:K524" si="89">(SUMIF($11:$11,J474,$12:$12)-SUMIF($11:$11,$J$24,$12:$12)+100)/100</f>
        <v>1</v>
      </c>
      <c r="L474" s="673"/>
      <c r="M474" s="21">
        <f t="shared" ref="M474:M524" si="90">(SUMIF($13:$13,L474,$14:$14)-SUMIF($13:$13,$L$24,$14:$14)+100)/100</f>
        <v>1</v>
      </c>
      <c r="N474" s="673"/>
      <c r="O474" s="21">
        <f t="shared" ref="O474:O524" si="91">(SUMIF($15:$15,N474,$16:$16)-SUMIF($15:$15,$N$24,$16:$16)+100)/100</f>
        <v>1</v>
      </c>
      <c r="P474" s="673"/>
      <c r="Q474" s="21">
        <f t="shared" ref="Q474:Q524" si="92">(SUMIF($17:$17,P474,$18:$18)-SUMIF($17:$17,$P$24,$18:$18)+100)/100</f>
        <v>1</v>
      </c>
      <c r="R474" s="669">
        <f t="shared" ref="R474:R524" si="93">IF(B474="",0,ROUND($R$24*C474*E474*G474*I474*K474*M474*O474*Q474,0))</f>
        <v>0</v>
      </c>
      <c r="S474" s="319">
        <f t="shared" si="84"/>
        <v>0</v>
      </c>
    </row>
    <row r="475" spans="1:19">
      <c r="A475" s="152"/>
      <c r="B475" s="54"/>
      <c r="C475" s="21">
        <f t="shared" si="85"/>
        <v>1</v>
      </c>
      <c r="D475" s="673"/>
      <c r="E475" s="21">
        <f t="shared" si="86"/>
        <v>1</v>
      </c>
      <c r="F475" s="673"/>
      <c r="G475" s="21">
        <f t="shared" si="87"/>
        <v>1</v>
      </c>
      <c r="H475" s="673"/>
      <c r="I475" s="21">
        <f t="shared" si="88"/>
        <v>1</v>
      </c>
      <c r="J475" s="673"/>
      <c r="K475" s="21">
        <f t="shared" si="89"/>
        <v>1</v>
      </c>
      <c r="L475" s="673"/>
      <c r="M475" s="21">
        <f t="shared" si="90"/>
        <v>1</v>
      </c>
      <c r="N475" s="673"/>
      <c r="O475" s="21">
        <f t="shared" si="91"/>
        <v>1</v>
      </c>
      <c r="P475" s="673"/>
      <c r="Q475" s="21">
        <f t="shared" si="92"/>
        <v>1</v>
      </c>
      <c r="R475" s="669">
        <f t="shared" si="93"/>
        <v>0</v>
      </c>
      <c r="S475" s="319">
        <f t="shared" si="84"/>
        <v>0</v>
      </c>
    </row>
    <row r="476" spans="1:19">
      <c r="A476" s="152"/>
      <c r="B476" s="54"/>
      <c r="C476" s="21">
        <f t="shared" si="85"/>
        <v>1</v>
      </c>
      <c r="D476" s="673"/>
      <c r="E476" s="21">
        <f t="shared" si="86"/>
        <v>1</v>
      </c>
      <c r="F476" s="673"/>
      <c r="G476" s="21">
        <f t="shared" si="87"/>
        <v>1</v>
      </c>
      <c r="H476" s="673"/>
      <c r="I476" s="21">
        <f t="shared" si="88"/>
        <v>1</v>
      </c>
      <c r="J476" s="673"/>
      <c r="K476" s="21">
        <f t="shared" si="89"/>
        <v>1</v>
      </c>
      <c r="L476" s="673"/>
      <c r="M476" s="21">
        <f t="shared" si="90"/>
        <v>1</v>
      </c>
      <c r="N476" s="673"/>
      <c r="O476" s="21">
        <f t="shared" si="91"/>
        <v>1</v>
      </c>
      <c r="P476" s="673"/>
      <c r="Q476" s="21">
        <f t="shared" si="92"/>
        <v>1</v>
      </c>
      <c r="R476" s="669">
        <f t="shared" si="93"/>
        <v>0</v>
      </c>
      <c r="S476" s="319">
        <f t="shared" si="84"/>
        <v>0</v>
      </c>
    </row>
    <row r="477" spans="1:19">
      <c r="A477" s="152"/>
      <c r="B477" s="54"/>
      <c r="C477" s="21">
        <f t="shared" si="85"/>
        <v>1</v>
      </c>
      <c r="D477" s="673"/>
      <c r="E477" s="21">
        <f t="shared" si="86"/>
        <v>1</v>
      </c>
      <c r="F477" s="673"/>
      <c r="G477" s="21">
        <f t="shared" si="87"/>
        <v>1</v>
      </c>
      <c r="H477" s="673"/>
      <c r="I477" s="21">
        <f t="shared" si="88"/>
        <v>1</v>
      </c>
      <c r="J477" s="673"/>
      <c r="K477" s="21">
        <f t="shared" si="89"/>
        <v>1</v>
      </c>
      <c r="L477" s="673"/>
      <c r="M477" s="21">
        <f t="shared" si="90"/>
        <v>1</v>
      </c>
      <c r="N477" s="673"/>
      <c r="O477" s="21">
        <f t="shared" si="91"/>
        <v>1</v>
      </c>
      <c r="P477" s="673"/>
      <c r="Q477" s="21">
        <f t="shared" si="92"/>
        <v>1</v>
      </c>
      <c r="R477" s="669">
        <f t="shared" si="93"/>
        <v>0</v>
      </c>
      <c r="S477" s="319">
        <f t="shared" si="84"/>
        <v>0</v>
      </c>
    </row>
    <row r="478" spans="1:19">
      <c r="A478" s="152"/>
      <c r="B478" s="54"/>
      <c r="C478" s="21">
        <f t="shared" si="85"/>
        <v>1</v>
      </c>
      <c r="D478" s="673"/>
      <c r="E478" s="21">
        <f t="shared" si="86"/>
        <v>1</v>
      </c>
      <c r="F478" s="673"/>
      <c r="G478" s="21">
        <f t="shared" si="87"/>
        <v>1</v>
      </c>
      <c r="H478" s="673"/>
      <c r="I478" s="21">
        <f t="shared" si="88"/>
        <v>1</v>
      </c>
      <c r="J478" s="673"/>
      <c r="K478" s="21">
        <f t="shared" si="89"/>
        <v>1</v>
      </c>
      <c r="L478" s="673"/>
      <c r="M478" s="21">
        <f t="shared" si="90"/>
        <v>1</v>
      </c>
      <c r="N478" s="673"/>
      <c r="O478" s="21">
        <f t="shared" si="91"/>
        <v>1</v>
      </c>
      <c r="P478" s="673"/>
      <c r="Q478" s="21">
        <f t="shared" si="92"/>
        <v>1</v>
      </c>
      <c r="R478" s="669">
        <f t="shared" si="93"/>
        <v>0</v>
      </c>
      <c r="S478" s="319">
        <f t="shared" si="84"/>
        <v>0</v>
      </c>
    </row>
    <row r="479" spans="1:19">
      <c r="A479" s="152"/>
      <c r="B479" s="54"/>
      <c r="C479" s="21">
        <f t="shared" si="85"/>
        <v>1</v>
      </c>
      <c r="D479" s="673"/>
      <c r="E479" s="21">
        <f t="shared" si="86"/>
        <v>1</v>
      </c>
      <c r="F479" s="673"/>
      <c r="G479" s="21">
        <f t="shared" si="87"/>
        <v>1</v>
      </c>
      <c r="H479" s="673"/>
      <c r="I479" s="21">
        <f t="shared" si="88"/>
        <v>1</v>
      </c>
      <c r="J479" s="673"/>
      <c r="K479" s="21">
        <f t="shared" si="89"/>
        <v>1</v>
      </c>
      <c r="L479" s="673"/>
      <c r="M479" s="21">
        <f t="shared" si="90"/>
        <v>1</v>
      </c>
      <c r="N479" s="673"/>
      <c r="O479" s="21">
        <f t="shared" si="91"/>
        <v>1</v>
      </c>
      <c r="P479" s="673"/>
      <c r="Q479" s="21">
        <f t="shared" si="92"/>
        <v>1</v>
      </c>
      <c r="R479" s="669">
        <f t="shared" si="93"/>
        <v>0</v>
      </c>
      <c r="S479" s="319">
        <f t="shared" si="84"/>
        <v>0</v>
      </c>
    </row>
    <row r="480" spans="1:19">
      <c r="A480" s="152"/>
      <c r="B480" s="54"/>
      <c r="C480" s="21">
        <f t="shared" si="85"/>
        <v>1</v>
      </c>
      <c r="D480" s="673"/>
      <c r="E480" s="21">
        <f t="shared" si="86"/>
        <v>1</v>
      </c>
      <c r="F480" s="673"/>
      <c r="G480" s="21">
        <f t="shared" si="87"/>
        <v>1</v>
      </c>
      <c r="H480" s="673"/>
      <c r="I480" s="21">
        <f t="shared" si="88"/>
        <v>1</v>
      </c>
      <c r="J480" s="673"/>
      <c r="K480" s="21">
        <f t="shared" si="89"/>
        <v>1</v>
      </c>
      <c r="L480" s="673"/>
      <c r="M480" s="21">
        <f t="shared" si="90"/>
        <v>1</v>
      </c>
      <c r="N480" s="673"/>
      <c r="O480" s="21">
        <f t="shared" si="91"/>
        <v>1</v>
      </c>
      <c r="P480" s="673"/>
      <c r="Q480" s="21">
        <f t="shared" si="92"/>
        <v>1</v>
      </c>
      <c r="R480" s="669">
        <f t="shared" si="93"/>
        <v>0</v>
      </c>
      <c r="S480" s="319">
        <f t="shared" si="84"/>
        <v>0</v>
      </c>
    </row>
    <row r="481" spans="1:19">
      <c r="A481" s="152"/>
      <c r="B481" s="54"/>
      <c r="C481" s="21">
        <f t="shared" si="85"/>
        <v>1</v>
      </c>
      <c r="D481" s="673"/>
      <c r="E481" s="21">
        <f t="shared" si="86"/>
        <v>1</v>
      </c>
      <c r="F481" s="673"/>
      <c r="G481" s="21">
        <f t="shared" si="87"/>
        <v>1</v>
      </c>
      <c r="H481" s="673"/>
      <c r="I481" s="21">
        <f t="shared" si="88"/>
        <v>1</v>
      </c>
      <c r="J481" s="673"/>
      <c r="K481" s="21">
        <f t="shared" si="89"/>
        <v>1</v>
      </c>
      <c r="L481" s="673"/>
      <c r="M481" s="21">
        <f t="shared" si="90"/>
        <v>1</v>
      </c>
      <c r="N481" s="673"/>
      <c r="O481" s="21">
        <f t="shared" si="91"/>
        <v>1</v>
      </c>
      <c r="P481" s="673"/>
      <c r="Q481" s="21">
        <f t="shared" si="92"/>
        <v>1</v>
      </c>
      <c r="R481" s="669">
        <f t="shared" si="93"/>
        <v>0</v>
      </c>
      <c r="S481" s="319">
        <f t="shared" si="84"/>
        <v>0</v>
      </c>
    </row>
    <row r="482" spans="1:19">
      <c r="A482" s="152"/>
      <c r="B482" s="54"/>
      <c r="C482" s="21">
        <f t="shared" si="85"/>
        <v>1</v>
      </c>
      <c r="D482" s="673"/>
      <c r="E482" s="21">
        <f t="shared" si="86"/>
        <v>1</v>
      </c>
      <c r="F482" s="673"/>
      <c r="G482" s="21">
        <f t="shared" si="87"/>
        <v>1</v>
      </c>
      <c r="H482" s="673"/>
      <c r="I482" s="21">
        <f t="shared" si="88"/>
        <v>1</v>
      </c>
      <c r="J482" s="673"/>
      <c r="K482" s="21">
        <f t="shared" si="89"/>
        <v>1</v>
      </c>
      <c r="L482" s="673"/>
      <c r="M482" s="21">
        <f t="shared" si="90"/>
        <v>1</v>
      </c>
      <c r="N482" s="673"/>
      <c r="O482" s="21">
        <f t="shared" si="91"/>
        <v>1</v>
      </c>
      <c r="P482" s="673"/>
      <c r="Q482" s="21">
        <f t="shared" si="92"/>
        <v>1</v>
      </c>
      <c r="R482" s="669">
        <f t="shared" si="93"/>
        <v>0</v>
      </c>
      <c r="S482" s="319">
        <f t="shared" si="84"/>
        <v>0</v>
      </c>
    </row>
    <row r="483" spans="1:19">
      <c r="A483" s="152"/>
      <c r="B483" s="54"/>
      <c r="C483" s="21">
        <f t="shared" si="85"/>
        <v>1</v>
      </c>
      <c r="D483" s="673"/>
      <c r="E483" s="21">
        <f t="shared" si="86"/>
        <v>1</v>
      </c>
      <c r="F483" s="673"/>
      <c r="G483" s="21">
        <f t="shared" si="87"/>
        <v>1</v>
      </c>
      <c r="H483" s="673"/>
      <c r="I483" s="21">
        <f t="shared" si="88"/>
        <v>1</v>
      </c>
      <c r="J483" s="673"/>
      <c r="K483" s="21">
        <f t="shared" si="89"/>
        <v>1</v>
      </c>
      <c r="L483" s="673"/>
      <c r="M483" s="21">
        <f t="shared" si="90"/>
        <v>1</v>
      </c>
      <c r="N483" s="673"/>
      <c r="O483" s="21">
        <f t="shared" si="91"/>
        <v>1</v>
      </c>
      <c r="P483" s="673"/>
      <c r="Q483" s="21">
        <f t="shared" si="92"/>
        <v>1</v>
      </c>
      <c r="R483" s="669">
        <f t="shared" si="93"/>
        <v>0</v>
      </c>
      <c r="S483" s="319">
        <f t="shared" si="84"/>
        <v>0</v>
      </c>
    </row>
    <row r="484" spans="1:19">
      <c r="A484" s="152"/>
      <c r="B484" s="54"/>
      <c r="C484" s="21">
        <f t="shared" si="85"/>
        <v>1</v>
      </c>
      <c r="D484" s="673"/>
      <c r="E484" s="21">
        <f t="shared" si="86"/>
        <v>1</v>
      </c>
      <c r="F484" s="673"/>
      <c r="G484" s="21">
        <f t="shared" si="87"/>
        <v>1</v>
      </c>
      <c r="H484" s="673"/>
      <c r="I484" s="21">
        <f t="shared" si="88"/>
        <v>1</v>
      </c>
      <c r="J484" s="673"/>
      <c r="K484" s="21">
        <f t="shared" si="89"/>
        <v>1</v>
      </c>
      <c r="L484" s="673"/>
      <c r="M484" s="21">
        <f t="shared" si="90"/>
        <v>1</v>
      </c>
      <c r="N484" s="673"/>
      <c r="O484" s="21">
        <f t="shared" si="91"/>
        <v>1</v>
      </c>
      <c r="P484" s="673"/>
      <c r="Q484" s="21">
        <f t="shared" si="92"/>
        <v>1</v>
      </c>
      <c r="R484" s="669">
        <f t="shared" si="93"/>
        <v>0</v>
      </c>
      <c r="S484" s="319">
        <f t="shared" si="84"/>
        <v>0</v>
      </c>
    </row>
    <row r="485" spans="1:19">
      <c r="A485" s="152"/>
      <c r="B485" s="54"/>
      <c r="C485" s="21">
        <f t="shared" si="85"/>
        <v>1</v>
      </c>
      <c r="D485" s="673"/>
      <c r="E485" s="21">
        <f t="shared" si="86"/>
        <v>1</v>
      </c>
      <c r="F485" s="673"/>
      <c r="G485" s="21">
        <f t="shared" si="87"/>
        <v>1</v>
      </c>
      <c r="H485" s="673"/>
      <c r="I485" s="21">
        <f t="shared" si="88"/>
        <v>1</v>
      </c>
      <c r="J485" s="673"/>
      <c r="K485" s="21">
        <f t="shared" si="89"/>
        <v>1</v>
      </c>
      <c r="L485" s="673"/>
      <c r="M485" s="21">
        <f t="shared" si="90"/>
        <v>1</v>
      </c>
      <c r="N485" s="673"/>
      <c r="O485" s="21">
        <f t="shared" si="91"/>
        <v>1</v>
      </c>
      <c r="P485" s="673"/>
      <c r="Q485" s="21">
        <f t="shared" si="92"/>
        <v>1</v>
      </c>
      <c r="R485" s="669">
        <f t="shared" si="93"/>
        <v>0</v>
      </c>
      <c r="S485" s="319">
        <f t="shared" si="84"/>
        <v>0</v>
      </c>
    </row>
    <row r="486" spans="1:19">
      <c r="A486" s="152"/>
      <c r="B486" s="54"/>
      <c r="C486" s="21">
        <f t="shared" si="85"/>
        <v>1</v>
      </c>
      <c r="D486" s="673"/>
      <c r="E486" s="21">
        <f t="shared" si="86"/>
        <v>1</v>
      </c>
      <c r="F486" s="673"/>
      <c r="G486" s="21">
        <f t="shared" si="87"/>
        <v>1</v>
      </c>
      <c r="H486" s="673"/>
      <c r="I486" s="21">
        <f t="shared" si="88"/>
        <v>1</v>
      </c>
      <c r="J486" s="673"/>
      <c r="K486" s="21">
        <f t="shared" si="89"/>
        <v>1</v>
      </c>
      <c r="L486" s="673"/>
      <c r="M486" s="21">
        <f t="shared" si="90"/>
        <v>1</v>
      </c>
      <c r="N486" s="673"/>
      <c r="O486" s="21">
        <f t="shared" si="91"/>
        <v>1</v>
      </c>
      <c r="P486" s="673"/>
      <c r="Q486" s="21">
        <f t="shared" si="92"/>
        <v>1</v>
      </c>
      <c r="R486" s="669">
        <f t="shared" si="93"/>
        <v>0</v>
      </c>
      <c r="S486" s="319">
        <f t="shared" si="84"/>
        <v>0</v>
      </c>
    </row>
    <row r="487" spans="1:19">
      <c r="A487" s="152"/>
      <c r="B487" s="54"/>
      <c r="C487" s="21">
        <f t="shared" si="85"/>
        <v>1</v>
      </c>
      <c r="D487" s="673"/>
      <c r="E487" s="21">
        <f t="shared" si="86"/>
        <v>1</v>
      </c>
      <c r="F487" s="673"/>
      <c r="G487" s="21">
        <f t="shared" si="87"/>
        <v>1</v>
      </c>
      <c r="H487" s="673"/>
      <c r="I487" s="21">
        <f t="shared" si="88"/>
        <v>1</v>
      </c>
      <c r="J487" s="673"/>
      <c r="K487" s="21">
        <f t="shared" si="89"/>
        <v>1</v>
      </c>
      <c r="L487" s="673"/>
      <c r="M487" s="21">
        <f t="shared" si="90"/>
        <v>1</v>
      </c>
      <c r="N487" s="673"/>
      <c r="O487" s="21">
        <f t="shared" si="91"/>
        <v>1</v>
      </c>
      <c r="P487" s="673"/>
      <c r="Q487" s="21">
        <f t="shared" si="92"/>
        <v>1</v>
      </c>
      <c r="R487" s="669">
        <f t="shared" si="93"/>
        <v>0</v>
      </c>
      <c r="S487" s="319">
        <f t="shared" si="84"/>
        <v>0</v>
      </c>
    </row>
    <row r="488" spans="1:19">
      <c r="A488" s="152"/>
      <c r="B488" s="54"/>
      <c r="C488" s="21">
        <f t="shared" si="85"/>
        <v>1</v>
      </c>
      <c r="D488" s="673"/>
      <c r="E488" s="21">
        <f t="shared" si="86"/>
        <v>1</v>
      </c>
      <c r="F488" s="673"/>
      <c r="G488" s="21">
        <f t="shared" si="87"/>
        <v>1</v>
      </c>
      <c r="H488" s="673"/>
      <c r="I488" s="21">
        <f t="shared" si="88"/>
        <v>1</v>
      </c>
      <c r="J488" s="673"/>
      <c r="K488" s="21">
        <f t="shared" si="89"/>
        <v>1</v>
      </c>
      <c r="L488" s="673"/>
      <c r="M488" s="21">
        <f t="shared" si="90"/>
        <v>1</v>
      </c>
      <c r="N488" s="673"/>
      <c r="O488" s="21">
        <f t="shared" si="91"/>
        <v>1</v>
      </c>
      <c r="P488" s="673"/>
      <c r="Q488" s="21">
        <f t="shared" si="92"/>
        <v>1</v>
      </c>
      <c r="R488" s="669">
        <f t="shared" si="93"/>
        <v>0</v>
      </c>
      <c r="S488" s="319">
        <f t="shared" si="84"/>
        <v>0</v>
      </c>
    </row>
    <row r="489" spans="1:19">
      <c r="A489" s="152"/>
      <c r="B489" s="54"/>
      <c r="C489" s="21">
        <f t="shared" si="85"/>
        <v>1</v>
      </c>
      <c r="D489" s="673"/>
      <c r="E489" s="21">
        <f t="shared" si="86"/>
        <v>1</v>
      </c>
      <c r="F489" s="673"/>
      <c r="G489" s="21">
        <f t="shared" si="87"/>
        <v>1</v>
      </c>
      <c r="H489" s="673"/>
      <c r="I489" s="21">
        <f t="shared" si="88"/>
        <v>1</v>
      </c>
      <c r="J489" s="673"/>
      <c r="K489" s="21">
        <f t="shared" si="89"/>
        <v>1</v>
      </c>
      <c r="L489" s="673"/>
      <c r="M489" s="21">
        <f t="shared" si="90"/>
        <v>1</v>
      </c>
      <c r="N489" s="673"/>
      <c r="O489" s="21">
        <f t="shared" si="91"/>
        <v>1</v>
      </c>
      <c r="P489" s="673"/>
      <c r="Q489" s="21">
        <f t="shared" si="92"/>
        <v>1</v>
      </c>
      <c r="R489" s="669">
        <f t="shared" si="93"/>
        <v>0</v>
      </c>
      <c r="S489" s="319">
        <f t="shared" si="84"/>
        <v>0</v>
      </c>
    </row>
    <row r="490" spans="1:19">
      <c r="A490" s="152"/>
      <c r="B490" s="54"/>
      <c r="C490" s="21">
        <f t="shared" si="85"/>
        <v>1</v>
      </c>
      <c r="D490" s="673"/>
      <c r="E490" s="21">
        <f t="shared" si="86"/>
        <v>1</v>
      </c>
      <c r="F490" s="673"/>
      <c r="G490" s="21">
        <f t="shared" si="87"/>
        <v>1</v>
      </c>
      <c r="H490" s="673"/>
      <c r="I490" s="21">
        <f t="shared" si="88"/>
        <v>1</v>
      </c>
      <c r="J490" s="673"/>
      <c r="K490" s="21">
        <f t="shared" si="89"/>
        <v>1</v>
      </c>
      <c r="L490" s="673"/>
      <c r="M490" s="21">
        <f t="shared" si="90"/>
        <v>1</v>
      </c>
      <c r="N490" s="673"/>
      <c r="O490" s="21">
        <f t="shared" si="91"/>
        <v>1</v>
      </c>
      <c r="P490" s="673"/>
      <c r="Q490" s="21">
        <f t="shared" si="92"/>
        <v>1</v>
      </c>
      <c r="R490" s="669">
        <f t="shared" si="93"/>
        <v>0</v>
      </c>
      <c r="S490" s="319">
        <f t="shared" si="84"/>
        <v>0</v>
      </c>
    </row>
    <row r="491" spans="1:19">
      <c r="A491" s="152"/>
      <c r="B491" s="54"/>
      <c r="C491" s="21">
        <f t="shared" si="85"/>
        <v>1</v>
      </c>
      <c r="D491" s="673"/>
      <c r="E491" s="21">
        <f t="shared" si="86"/>
        <v>1</v>
      </c>
      <c r="F491" s="673"/>
      <c r="G491" s="21">
        <f t="shared" si="87"/>
        <v>1</v>
      </c>
      <c r="H491" s="673"/>
      <c r="I491" s="21">
        <f t="shared" si="88"/>
        <v>1</v>
      </c>
      <c r="J491" s="673"/>
      <c r="K491" s="21">
        <f t="shared" si="89"/>
        <v>1</v>
      </c>
      <c r="L491" s="673"/>
      <c r="M491" s="21">
        <f t="shared" si="90"/>
        <v>1</v>
      </c>
      <c r="N491" s="673"/>
      <c r="O491" s="21">
        <f t="shared" si="91"/>
        <v>1</v>
      </c>
      <c r="P491" s="673"/>
      <c r="Q491" s="21">
        <f t="shared" si="92"/>
        <v>1</v>
      </c>
      <c r="R491" s="669">
        <f t="shared" si="93"/>
        <v>0</v>
      </c>
      <c r="S491" s="319">
        <f t="shared" si="84"/>
        <v>0</v>
      </c>
    </row>
    <row r="492" spans="1:19">
      <c r="A492" s="152"/>
      <c r="B492" s="54"/>
      <c r="C492" s="21">
        <f t="shared" si="85"/>
        <v>1</v>
      </c>
      <c r="D492" s="673"/>
      <c r="E492" s="21">
        <f t="shared" si="86"/>
        <v>1</v>
      </c>
      <c r="F492" s="673"/>
      <c r="G492" s="21">
        <f t="shared" si="87"/>
        <v>1</v>
      </c>
      <c r="H492" s="673"/>
      <c r="I492" s="21">
        <f t="shared" si="88"/>
        <v>1</v>
      </c>
      <c r="J492" s="673"/>
      <c r="K492" s="21">
        <f t="shared" si="89"/>
        <v>1</v>
      </c>
      <c r="L492" s="673"/>
      <c r="M492" s="21">
        <f t="shared" si="90"/>
        <v>1</v>
      </c>
      <c r="N492" s="673"/>
      <c r="O492" s="21">
        <f t="shared" si="91"/>
        <v>1</v>
      </c>
      <c r="P492" s="673"/>
      <c r="Q492" s="21">
        <f t="shared" si="92"/>
        <v>1</v>
      </c>
      <c r="R492" s="669">
        <f t="shared" si="93"/>
        <v>0</v>
      </c>
      <c r="S492" s="319">
        <f t="shared" si="84"/>
        <v>0</v>
      </c>
    </row>
    <row r="493" spans="1:19">
      <c r="A493" s="152"/>
      <c r="B493" s="54"/>
      <c r="C493" s="21">
        <f t="shared" si="85"/>
        <v>1</v>
      </c>
      <c r="D493" s="673"/>
      <c r="E493" s="21">
        <f t="shared" si="86"/>
        <v>1</v>
      </c>
      <c r="F493" s="673"/>
      <c r="G493" s="21">
        <f t="shared" si="87"/>
        <v>1</v>
      </c>
      <c r="H493" s="673"/>
      <c r="I493" s="21">
        <f t="shared" si="88"/>
        <v>1</v>
      </c>
      <c r="J493" s="673"/>
      <c r="K493" s="21">
        <f t="shared" si="89"/>
        <v>1</v>
      </c>
      <c r="L493" s="673"/>
      <c r="M493" s="21">
        <f t="shared" si="90"/>
        <v>1</v>
      </c>
      <c r="N493" s="673"/>
      <c r="O493" s="21">
        <f t="shared" si="91"/>
        <v>1</v>
      </c>
      <c r="P493" s="673"/>
      <c r="Q493" s="21">
        <f t="shared" si="92"/>
        <v>1</v>
      </c>
      <c r="R493" s="669">
        <f t="shared" si="93"/>
        <v>0</v>
      </c>
      <c r="S493" s="319">
        <f t="shared" si="84"/>
        <v>0</v>
      </c>
    </row>
    <row r="494" spans="1:19">
      <c r="A494" s="152"/>
      <c r="B494" s="54"/>
      <c r="C494" s="21">
        <f t="shared" si="85"/>
        <v>1</v>
      </c>
      <c r="D494" s="673"/>
      <c r="E494" s="21">
        <f t="shared" si="86"/>
        <v>1</v>
      </c>
      <c r="F494" s="673"/>
      <c r="G494" s="21">
        <f t="shared" si="87"/>
        <v>1</v>
      </c>
      <c r="H494" s="673"/>
      <c r="I494" s="21">
        <f t="shared" si="88"/>
        <v>1</v>
      </c>
      <c r="J494" s="673"/>
      <c r="K494" s="21">
        <f t="shared" si="89"/>
        <v>1</v>
      </c>
      <c r="L494" s="673"/>
      <c r="M494" s="21">
        <f t="shared" si="90"/>
        <v>1</v>
      </c>
      <c r="N494" s="673"/>
      <c r="O494" s="21">
        <f t="shared" si="91"/>
        <v>1</v>
      </c>
      <c r="P494" s="673"/>
      <c r="Q494" s="21">
        <f t="shared" si="92"/>
        <v>1</v>
      </c>
      <c r="R494" s="669">
        <f t="shared" si="93"/>
        <v>0</v>
      </c>
      <c r="S494" s="319">
        <f t="shared" si="84"/>
        <v>0</v>
      </c>
    </row>
    <row r="495" spans="1:19">
      <c r="A495" s="152"/>
      <c r="B495" s="54"/>
      <c r="C495" s="21">
        <f t="shared" si="85"/>
        <v>1</v>
      </c>
      <c r="D495" s="673"/>
      <c r="E495" s="21">
        <f t="shared" si="86"/>
        <v>1</v>
      </c>
      <c r="F495" s="673"/>
      <c r="G495" s="21">
        <f t="shared" si="87"/>
        <v>1</v>
      </c>
      <c r="H495" s="673"/>
      <c r="I495" s="21">
        <f t="shared" si="88"/>
        <v>1</v>
      </c>
      <c r="J495" s="673"/>
      <c r="K495" s="21">
        <f t="shared" si="89"/>
        <v>1</v>
      </c>
      <c r="L495" s="673"/>
      <c r="M495" s="21">
        <f t="shared" si="90"/>
        <v>1</v>
      </c>
      <c r="N495" s="673"/>
      <c r="O495" s="21">
        <f t="shared" si="91"/>
        <v>1</v>
      </c>
      <c r="P495" s="673"/>
      <c r="Q495" s="21">
        <f t="shared" si="92"/>
        <v>1</v>
      </c>
      <c r="R495" s="669">
        <f t="shared" si="93"/>
        <v>0</v>
      </c>
      <c r="S495" s="319">
        <f t="shared" si="84"/>
        <v>0</v>
      </c>
    </row>
    <row r="496" spans="1:19">
      <c r="A496" s="152"/>
      <c r="B496" s="54"/>
      <c r="C496" s="21">
        <f t="shared" si="85"/>
        <v>1</v>
      </c>
      <c r="D496" s="673"/>
      <c r="E496" s="21">
        <f t="shared" si="86"/>
        <v>1</v>
      </c>
      <c r="F496" s="673"/>
      <c r="G496" s="21">
        <f t="shared" si="87"/>
        <v>1</v>
      </c>
      <c r="H496" s="673"/>
      <c r="I496" s="21">
        <f t="shared" si="88"/>
        <v>1</v>
      </c>
      <c r="J496" s="673"/>
      <c r="K496" s="21">
        <f t="shared" si="89"/>
        <v>1</v>
      </c>
      <c r="L496" s="673"/>
      <c r="M496" s="21">
        <f t="shared" si="90"/>
        <v>1</v>
      </c>
      <c r="N496" s="673"/>
      <c r="O496" s="21">
        <f t="shared" si="91"/>
        <v>1</v>
      </c>
      <c r="P496" s="673"/>
      <c r="Q496" s="21">
        <f t="shared" si="92"/>
        <v>1</v>
      </c>
      <c r="R496" s="669">
        <f t="shared" si="93"/>
        <v>0</v>
      </c>
      <c r="S496" s="319">
        <f t="shared" si="84"/>
        <v>0</v>
      </c>
    </row>
    <row r="497" spans="1:19">
      <c r="A497" s="152"/>
      <c r="B497" s="54"/>
      <c r="C497" s="21">
        <f t="shared" si="85"/>
        <v>1</v>
      </c>
      <c r="D497" s="673"/>
      <c r="E497" s="21">
        <f t="shared" si="86"/>
        <v>1</v>
      </c>
      <c r="F497" s="673"/>
      <c r="G497" s="21">
        <f t="shared" si="87"/>
        <v>1</v>
      </c>
      <c r="H497" s="673"/>
      <c r="I497" s="21">
        <f t="shared" si="88"/>
        <v>1</v>
      </c>
      <c r="J497" s="673"/>
      <c r="K497" s="21">
        <f t="shared" si="89"/>
        <v>1</v>
      </c>
      <c r="L497" s="673"/>
      <c r="M497" s="21">
        <f t="shared" si="90"/>
        <v>1</v>
      </c>
      <c r="N497" s="673"/>
      <c r="O497" s="21">
        <f t="shared" si="91"/>
        <v>1</v>
      </c>
      <c r="P497" s="673"/>
      <c r="Q497" s="21">
        <f t="shared" si="92"/>
        <v>1</v>
      </c>
      <c r="R497" s="669">
        <f t="shared" si="93"/>
        <v>0</v>
      </c>
      <c r="S497" s="319">
        <f t="shared" si="84"/>
        <v>0</v>
      </c>
    </row>
    <row r="498" spans="1:19">
      <c r="A498" s="152"/>
      <c r="B498" s="54"/>
      <c r="C498" s="21">
        <f t="shared" si="85"/>
        <v>1</v>
      </c>
      <c r="D498" s="673"/>
      <c r="E498" s="21">
        <f t="shared" si="86"/>
        <v>1</v>
      </c>
      <c r="F498" s="673"/>
      <c r="G498" s="21">
        <f t="shared" si="87"/>
        <v>1</v>
      </c>
      <c r="H498" s="673"/>
      <c r="I498" s="21">
        <f t="shared" si="88"/>
        <v>1</v>
      </c>
      <c r="J498" s="673"/>
      <c r="K498" s="21">
        <f t="shared" si="89"/>
        <v>1</v>
      </c>
      <c r="L498" s="673"/>
      <c r="M498" s="21">
        <f t="shared" si="90"/>
        <v>1</v>
      </c>
      <c r="N498" s="673"/>
      <c r="O498" s="21">
        <f t="shared" si="91"/>
        <v>1</v>
      </c>
      <c r="P498" s="673"/>
      <c r="Q498" s="21">
        <f t="shared" si="92"/>
        <v>1</v>
      </c>
      <c r="R498" s="669">
        <f t="shared" si="93"/>
        <v>0</v>
      </c>
      <c r="S498" s="319">
        <f t="shared" ref="S498:S524" si="94">ROUND(R498*B498/10000,0)</f>
        <v>0</v>
      </c>
    </row>
    <row r="499" spans="1:19">
      <c r="A499" s="152"/>
      <c r="B499" s="54"/>
      <c r="C499" s="21">
        <f t="shared" si="85"/>
        <v>1</v>
      </c>
      <c r="D499" s="673"/>
      <c r="E499" s="21">
        <f t="shared" si="86"/>
        <v>1</v>
      </c>
      <c r="F499" s="673"/>
      <c r="G499" s="21">
        <f t="shared" si="87"/>
        <v>1</v>
      </c>
      <c r="H499" s="673"/>
      <c r="I499" s="21">
        <f t="shared" si="88"/>
        <v>1</v>
      </c>
      <c r="J499" s="673"/>
      <c r="K499" s="21">
        <f t="shared" si="89"/>
        <v>1</v>
      </c>
      <c r="L499" s="673"/>
      <c r="M499" s="21">
        <f t="shared" si="90"/>
        <v>1</v>
      </c>
      <c r="N499" s="673"/>
      <c r="O499" s="21">
        <f t="shared" si="91"/>
        <v>1</v>
      </c>
      <c r="P499" s="673"/>
      <c r="Q499" s="21">
        <f t="shared" si="92"/>
        <v>1</v>
      </c>
      <c r="R499" s="669">
        <f t="shared" si="93"/>
        <v>0</v>
      </c>
      <c r="S499" s="319">
        <f t="shared" si="94"/>
        <v>0</v>
      </c>
    </row>
    <row r="500" spans="1:19">
      <c r="A500" s="152"/>
      <c r="B500" s="54"/>
      <c r="C500" s="21">
        <f t="shared" si="85"/>
        <v>1</v>
      </c>
      <c r="D500" s="673"/>
      <c r="E500" s="21">
        <f t="shared" si="86"/>
        <v>1</v>
      </c>
      <c r="F500" s="673"/>
      <c r="G500" s="21">
        <f t="shared" si="87"/>
        <v>1</v>
      </c>
      <c r="H500" s="673"/>
      <c r="I500" s="21">
        <f t="shared" si="88"/>
        <v>1</v>
      </c>
      <c r="J500" s="673"/>
      <c r="K500" s="21">
        <f t="shared" si="89"/>
        <v>1</v>
      </c>
      <c r="L500" s="673"/>
      <c r="M500" s="21">
        <f t="shared" si="90"/>
        <v>1</v>
      </c>
      <c r="N500" s="673"/>
      <c r="O500" s="21">
        <f t="shared" si="91"/>
        <v>1</v>
      </c>
      <c r="P500" s="673"/>
      <c r="Q500" s="21">
        <f t="shared" si="92"/>
        <v>1</v>
      </c>
      <c r="R500" s="669">
        <f t="shared" si="93"/>
        <v>0</v>
      </c>
      <c r="S500" s="319">
        <f t="shared" si="94"/>
        <v>0</v>
      </c>
    </row>
    <row r="501" spans="1:19">
      <c r="A501" s="152"/>
      <c r="B501" s="54"/>
      <c r="C501" s="21">
        <f t="shared" si="85"/>
        <v>1</v>
      </c>
      <c r="D501" s="673"/>
      <c r="E501" s="21">
        <f t="shared" si="86"/>
        <v>1</v>
      </c>
      <c r="F501" s="673"/>
      <c r="G501" s="21">
        <f t="shared" si="87"/>
        <v>1</v>
      </c>
      <c r="H501" s="673"/>
      <c r="I501" s="21">
        <f t="shared" si="88"/>
        <v>1</v>
      </c>
      <c r="J501" s="673"/>
      <c r="K501" s="21">
        <f t="shared" si="89"/>
        <v>1</v>
      </c>
      <c r="L501" s="673"/>
      <c r="M501" s="21">
        <f t="shared" si="90"/>
        <v>1</v>
      </c>
      <c r="N501" s="673"/>
      <c r="O501" s="21">
        <f t="shared" si="91"/>
        <v>1</v>
      </c>
      <c r="P501" s="673"/>
      <c r="Q501" s="21">
        <f t="shared" si="92"/>
        <v>1</v>
      </c>
      <c r="R501" s="669">
        <f t="shared" si="93"/>
        <v>0</v>
      </c>
      <c r="S501" s="319">
        <f t="shared" si="94"/>
        <v>0</v>
      </c>
    </row>
    <row r="502" spans="1:19">
      <c r="A502" s="152"/>
      <c r="B502" s="54"/>
      <c r="C502" s="21">
        <f t="shared" si="85"/>
        <v>1</v>
      </c>
      <c r="D502" s="673"/>
      <c r="E502" s="21">
        <f t="shared" si="86"/>
        <v>1</v>
      </c>
      <c r="F502" s="673"/>
      <c r="G502" s="21">
        <f t="shared" si="87"/>
        <v>1</v>
      </c>
      <c r="H502" s="673"/>
      <c r="I502" s="21">
        <f t="shared" si="88"/>
        <v>1</v>
      </c>
      <c r="J502" s="673"/>
      <c r="K502" s="21">
        <f t="shared" si="89"/>
        <v>1</v>
      </c>
      <c r="L502" s="673"/>
      <c r="M502" s="21">
        <f t="shared" si="90"/>
        <v>1</v>
      </c>
      <c r="N502" s="673"/>
      <c r="O502" s="21">
        <f t="shared" si="91"/>
        <v>1</v>
      </c>
      <c r="P502" s="673"/>
      <c r="Q502" s="21">
        <f t="shared" si="92"/>
        <v>1</v>
      </c>
      <c r="R502" s="669">
        <f t="shared" si="93"/>
        <v>0</v>
      </c>
      <c r="S502" s="319">
        <f t="shared" si="94"/>
        <v>0</v>
      </c>
    </row>
    <row r="503" spans="1:19">
      <c r="A503" s="152"/>
      <c r="B503" s="54"/>
      <c r="C503" s="21">
        <f t="shared" si="85"/>
        <v>1</v>
      </c>
      <c r="D503" s="673"/>
      <c r="E503" s="21">
        <f t="shared" si="86"/>
        <v>1</v>
      </c>
      <c r="F503" s="673"/>
      <c r="G503" s="21">
        <f t="shared" si="87"/>
        <v>1</v>
      </c>
      <c r="H503" s="673"/>
      <c r="I503" s="21">
        <f t="shared" si="88"/>
        <v>1</v>
      </c>
      <c r="J503" s="673"/>
      <c r="K503" s="21">
        <f t="shared" si="89"/>
        <v>1</v>
      </c>
      <c r="L503" s="673"/>
      <c r="M503" s="21">
        <f t="shared" si="90"/>
        <v>1</v>
      </c>
      <c r="N503" s="673"/>
      <c r="O503" s="21">
        <f t="shared" si="91"/>
        <v>1</v>
      </c>
      <c r="P503" s="673"/>
      <c r="Q503" s="21">
        <f t="shared" si="92"/>
        <v>1</v>
      </c>
      <c r="R503" s="669">
        <f t="shared" si="93"/>
        <v>0</v>
      </c>
      <c r="S503" s="319">
        <f t="shared" si="94"/>
        <v>0</v>
      </c>
    </row>
    <row r="504" spans="1:19">
      <c r="A504" s="152"/>
      <c r="B504" s="54"/>
      <c r="C504" s="21">
        <f t="shared" si="85"/>
        <v>1</v>
      </c>
      <c r="D504" s="673"/>
      <c r="E504" s="21">
        <f t="shared" si="86"/>
        <v>1</v>
      </c>
      <c r="F504" s="673"/>
      <c r="G504" s="21">
        <f t="shared" si="87"/>
        <v>1</v>
      </c>
      <c r="H504" s="673"/>
      <c r="I504" s="21">
        <f t="shared" si="88"/>
        <v>1</v>
      </c>
      <c r="J504" s="673"/>
      <c r="K504" s="21">
        <f t="shared" si="89"/>
        <v>1</v>
      </c>
      <c r="L504" s="673"/>
      <c r="M504" s="21">
        <f t="shared" si="90"/>
        <v>1</v>
      </c>
      <c r="N504" s="673"/>
      <c r="O504" s="21">
        <f t="shared" si="91"/>
        <v>1</v>
      </c>
      <c r="P504" s="673"/>
      <c r="Q504" s="21">
        <f t="shared" si="92"/>
        <v>1</v>
      </c>
      <c r="R504" s="669">
        <f t="shared" si="93"/>
        <v>0</v>
      </c>
      <c r="S504" s="319">
        <f t="shared" si="94"/>
        <v>0</v>
      </c>
    </row>
    <row r="505" spans="1:19">
      <c r="A505" s="152"/>
      <c r="B505" s="54"/>
      <c r="C505" s="21">
        <f t="shared" si="85"/>
        <v>1</v>
      </c>
      <c r="D505" s="673"/>
      <c r="E505" s="21">
        <f t="shared" si="86"/>
        <v>1</v>
      </c>
      <c r="F505" s="673"/>
      <c r="G505" s="21">
        <f t="shared" si="87"/>
        <v>1</v>
      </c>
      <c r="H505" s="673"/>
      <c r="I505" s="21">
        <f t="shared" si="88"/>
        <v>1</v>
      </c>
      <c r="J505" s="673"/>
      <c r="K505" s="21">
        <f t="shared" si="89"/>
        <v>1</v>
      </c>
      <c r="L505" s="673"/>
      <c r="M505" s="21">
        <f t="shared" si="90"/>
        <v>1</v>
      </c>
      <c r="N505" s="673"/>
      <c r="O505" s="21">
        <f t="shared" si="91"/>
        <v>1</v>
      </c>
      <c r="P505" s="673"/>
      <c r="Q505" s="21">
        <f t="shared" si="92"/>
        <v>1</v>
      </c>
      <c r="R505" s="669">
        <f t="shared" si="93"/>
        <v>0</v>
      </c>
      <c r="S505" s="319">
        <f t="shared" si="94"/>
        <v>0</v>
      </c>
    </row>
    <row r="506" spans="1:19">
      <c r="A506" s="152"/>
      <c r="B506" s="54"/>
      <c r="C506" s="21">
        <f t="shared" si="85"/>
        <v>1</v>
      </c>
      <c r="D506" s="673"/>
      <c r="E506" s="21">
        <f t="shared" si="86"/>
        <v>1</v>
      </c>
      <c r="F506" s="673"/>
      <c r="G506" s="21">
        <f t="shared" si="87"/>
        <v>1</v>
      </c>
      <c r="H506" s="673"/>
      <c r="I506" s="21">
        <f t="shared" si="88"/>
        <v>1</v>
      </c>
      <c r="J506" s="673"/>
      <c r="K506" s="21">
        <f t="shared" si="89"/>
        <v>1</v>
      </c>
      <c r="L506" s="673"/>
      <c r="M506" s="21">
        <f t="shared" si="90"/>
        <v>1</v>
      </c>
      <c r="N506" s="673"/>
      <c r="O506" s="21">
        <f t="shared" si="91"/>
        <v>1</v>
      </c>
      <c r="P506" s="673"/>
      <c r="Q506" s="21">
        <f t="shared" si="92"/>
        <v>1</v>
      </c>
      <c r="R506" s="669">
        <f t="shared" si="93"/>
        <v>0</v>
      </c>
      <c r="S506" s="319">
        <f t="shared" si="94"/>
        <v>0</v>
      </c>
    </row>
    <row r="507" spans="1:19">
      <c r="A507" s="152"/>
      <c r="B507" s="54"/>
      <c r="C507" s="21">
        <f t="shared" si="85"/>
        <v>1</v>
      </c>
      <c r="D507" s="673"/>
      <c r="E507" s="21">
        <f t="shared" si="86"/>
        <v>1</v>
      </c>
      <c r="F507" s="673"/>
      <c r="G507" s="21">
        <f t="shared" si="87"/>
        <v>1</v>
      </c>
      <c r="H507" s="673"/>
      <c r="I507" s="21">
        <f t="shared" si="88"/>
        <v>1</v>
      </c>
      <c r="J507" s="673"/>
      <c r="K507" s="21">
        <f t="shared" si="89"/>
        <v>1</v>
      </c>
      <c r="L507" s="673"/>
      <c r="M507" s="21">
        <f t="shared" si="90"/>
        <v>1</v>
      </c>
      <c r="N507" s="673"/>
      <c r="O507" s="21">
        <f t="shared" si="91"/>
        <v>1</v>
      </c>
      <c r="P507" s="673"/>
      <c r="Q507" s="21">
        <f t="shared" si="92"/>
        <v>1</v>
      </c>
      <c r="R507" s="669">
        <f t="shared" si="93"/>
        <v>0</v>
      </c>
      <c r="S507" s="319">
        <f t="shared" si="94"/>
        <v>0</v>
      </c>
    </row>
    <row r="508" spans="1:19">
      <c r="A508" s="152"/>
      <c r="B508" s="54"/>
      <c r="C508" s="21">
        <f t="shared" si="85"/>
        <v>1</v>
      </c>
      <c r="D508" s="673"/>
      <c r="E508" s="21">
        <f t="shared" si="86"/>
        <v>1</v>
      </c>
      <c r="F508" s="673"/>
      <c r="G508" s="21">
        <f t="shared" si="87"/>
        <v>1</v>
      </c>
      <c r="H508" s="673"/>
      <c r="I508" s="21">
        <f t="shared" si="88"/>
        <v>1</v>
      </c>
      <c r="J508" s="673"/>
      <c r="K508" s="21">
        <f t="shared" si="89"/>
        <v>1</v>
      </c>
      <c r="L508" s="673"/>
      <c r="M508" s="21">
        <f t="shared" si="90"/>
        <v>1</v>
      </c>
      <c r="N508" s="673"/>
      <c r="O508" s="21">
        <f t="shared" si="91"/>
        <v>1</v>
      </c>
      <c r="P508" s="673"/>
      <c r="Q508" s="21">
        <f t="shared" si="92"/>
        <v>1</v>
      </c>
      <c r="R508" s="669">
        <f t="shared" si="93"/>
        <v>0</v>
      </c>
      <c r="S508" s="319">
        <f t="shared" si="94"/>
        <v>0</v>
      </c>
    </row>
    <row r="509" spans="1:19">
      <c r="A509" s="152"/>
      <c r="B509" s="54"/>
      <c r="C509" s="21">
        <f t="shared" si="85"/>
        <v>1</v>
      </c>
      <c r="D509" s="673"/>
      <c r="E509" s="21">
        <f t="shared" si="86"/>
        <v>1</v>
      </c>
      <c r="F509" s="673"/>
      <c r="G509" s="21">
        <f t="shared" si="87"/>
        <v>1</v>
      </c>
      <c r="H509" s="673"/>
      <c r="I509" s="21">
        <f t="shared" si="88"/>
        <v>1</v>
      </c>
      <c r="J509" s="673"/>
      <c r="K509" s="21">
        <f t="shared" si="89"/>
        <v>1</v>
      </c>
      <c r="L509" s="673"/>
      <c r="M509" s="21">
        <f t="shared" si="90"/>
        <v>1</v>
      </c>
      <c r="N509" s="673"/>
      <c r="O509" s="21">
        <f t="shared" si="91"/>
        <v>1</v>
      </c>
      <c r="P509" s="673"/>
      <c r="Q509" s="21">
        <f t="shared" si="92"/>
        <v>1</v>
      </c>
      <c r="R509" s="669">
        <f t="shared" si="93"/>
        <v>0</v>
      </c>
      <c r="S509" s="319">
        <f t="shared" si="94"/>
        <v>0</v>
      </c>
    </row>
    <row r="510" spans="1:19">
      <c r="A510" s="152"/>
      <c r="B510" s="54"/>
      <c r="C510" s="21">
        <f t="shared" si="85"/>
        <v>1</v>
      </c>
      <c r="D510" s="673"/>
      <c r="E510" s="21">
        <f t="shared" si="86"/>
        <v>1</v>
      </c>
      <c r="F510" s="673"/>
      <c r="G510" s="21">
        <f t="shared" si="87"/>
        <v>1</v>
      </c>
      <c r="H510" s="673"/>
      <c r="I510" s="21">
        <f t="shared" si="88"/>
        <v>1</v>
      </c>
      <c r="J510" s="673"/>
      <c r="K510" s="21">
        <f t="shared" si="89"/>
        <v>1</v>
      </c>
      <c r="L510" s="673"/>
      <c r="M510" s="21">
        <f t="shared" si="90"/>
        <v>1</v>
      </c>
      <c r="N510" s="673"/>
      <c r="O510" s="21">
        <f t="shared" si="91"/>
        <v>1</v>
      </c>
      <c r="P510" s="673"/>
      <c r="Q510" s="21">
        <f t="shared" si="92"/>
        <v>1</v>
      </c>
      <c r="R510" s="669">
        <f t="shared" si="93"/>
        <v>0</v>
      </c>
      <c r="S510" s="319">
        <f t="shared" si="94"/>
        <v>0</v>
      </c>
    </row>
    <row r="511" spans="1:19">
      <c r="A511" s="152"/>
      <c r="B511" s="54"/>
      <c r="C511" s="21">
        <f t="shared" si="85"/>
        <v>1</v>
      </c>
      <c r="D511" s="673"/>
      <c r="E511" s="21">
        <f t="shared" si="86"/>
        <v>1</v>
      </c>
      <c r="F511" s="673"/>
      <c r="G511" s="21">
        <f t="shared" si="87"/>
        <v>1</v>
      </c>
      <c r="H511" s="673"/>
      <c r="I511" s="21">
        <f t="shared" si="88"/>
        <v>1</v>
      </c>
      <c r="J511" s="673"/>
      <c r="K511" s="21">
        <f t="shared" si="89"/>
        <v>1</v>
      </c>
      <c r="L511" s="673"/>
      <c r="M511" s="21">
        <f t="shared" si="90"/>
        <v>1</v>
      </c>
      <c r="N511" s="673"/>
      <c r="O511" s="21">
        <f t="shared" si="91"/>
        <v>1</v>
      </c>
      <c r="P511" s="673"/>
      <c r="Q511" s="21">
        <f t="shared" si="92"/>
        <v>1</v>
      </c>
      <c r="R511" s="669">
        <f t="shared" si="93"/>
        <v>0</v>
      </c>
      <c r="S511" s="319">
        <f t="shared" si="94"/>
        <v>0</v>
      </c>
    </row>
    <row r="512" spans="1:19">
      <c r="A512" s="152"/>
      <c r="B512" s="54"/>
      <c r="C512" s="21">
        <f t="shared" si="85"/>
        <v>1</v>
      </c>
      <c r="D512" s="673"/>
      <c r="E512" s="21">
        <f t="shared" si="86"/>
        <v>1</v>
      </c>
      <c r="F512" s="673"/>
      <c r="G512" s="21">
        <f t="shared" si="87"/>
        <v>1</v>
      </c>
      <c r="H512" s="673"/>
      <c r="I512" s="21">
        <f t="shared" si="88"/>
        <v>1</v>
      </c>
      <c r="J512" s="673"/>
      <c r="K512" s="21">
        <f t="shared" si="89"/>
        <v>1</v>
      </c>
      <c r="L512" s="673"/>
      <c r="M512" s="21">
        <f t="shared" si="90"/>
        <v>1</v>
      </c>
      <c r="N512" s="673"/>
      <c r="O512" s="21">
        <f t="shared" si="91"/>
        <v>1</v>
      </c>
      <c r="P512" s="673"/>
      <c r="Q512" s="21">
        <f t="shared" si="92"/>
        <v>1</v>
      </c>
      <c r="R512" s="669">
        <f t="shared" si="93"/>
        <v>0</v>
      </c>
      <c r="S512" s="319">
        <f t="shared" si="94"/>
        <v>0</v>
      </c>
    </row>
    <row r="513" spans="1:19">
      <c r="A513" s="152"/>
      <c r="B513" s="54"/>
      <c r="C513" s="21">
        <f t="shared" si="85"/>
        <v>1</v>
      </c>
      <c r="D513" s="673"/>
      <c r="E513" s="21">
        <f t="shared" si="86"/>
        <v>1</v>
      </c>
      <c r="F513" s="673"/>
      <c r="G513" s="21">
        <f t="shared" si="87"/>
        <v>1</v>
      </c>
      <c r="H513" s="673"/>
      <c r="I513" s="21">
        <f t="shared" si="88"/>
        <v>1</v>
      </c>
      <c r="J513" s="673"/>
      <c r="K513" s="21">
        <f t="shared" si="89"/>
        <v>1</v>
      </c>
      <c r="L513" s="673"/>
      <c r="M513" s="21">
        <f t="shared" si="90"/>
        <v>1</v>
      </c>
      <c r="N513" s="673"/>
      <c r="O513" s="21">
        <f t="shared" si="91"/>
        <v>1</v>
      </c>
      <c r="P513" s="673"/>
      <c r="Q513" s="21">
        <f t="shared" si="92"/>
        <v>1</v>
      </c>
      <c r="R513" s="669">
        <f t="shared" si="93"/>
        <v>0</v>
      </c>
      <c r="S513" s="319">
        <f t="shared" si="94"/>
        <v>0</v>
      </c>
    </row>
    <row r="514" spans="1:19">
      <c r="A514" s="152"/>
      <c r="B514" s="54"/>
      <c r="C514" s="21">
        <f t="shared" si="85"/>
        <v>1</v>
      </c>
      <c r="D514" s="673"/>
      <c r="E514" s="21">
        <f t="shared" si="86"/>
        <v>1</v>
      </c>
      <c r="F514" s="673"/>
      <c r="G514" s="21">
        <f t="shared" si="87"/>
        <v>1</v>
      </c>
      <c r="H514" s="673"/>
      <c r="I514" s="21">
        <f t="shared" si="88"/>
        <v>1</v>
      </c>
      <c r="J514" s="673"/>
      <c r="K514" s="21">
        <f t="shared" si="89"/>
        <v>1</v>
      </c>
      <c r="L514" s="673"/>
      <c r="M514" s="21">
        <f t="shared" si="90"/>
        <v>1</v>
      </c>
      <c r="N514" s="673"/>
      <c r="O514" s="21">
        <f t="shared" si="91"/>
        <v>1</v>
      </c>
      <c r="P514" s="673"/>
      <c r="Q514" s="21">
        <f t="shared" si="92"/>
        <v>1</v>
      </c>
      <c r="R514" s="669">
        <f t="shared" si="93"/>
        <v>0</v>
      </c>
      <c r="S514" s="319">
        <f t="shared" si="94"/>
        <v>0</v>
      </c>
    </row>
    <row r="515" spans="1:19">
      <c r="A515" s="152"/>
      <c r="B515" s="54"/>
      <c r="C515" s="21">
        <f t="shared" si="85"/>
        <v>1</v>
      </c>
      <c r="D515" s="673"/>
      <c r="E515" s="21">
        <f t="shared" si="86"/>
        <v>1</v>
      </c>
      <c r="F515" s="673"/>
      <c r="G515" s="21">
        <f t="shared" si="87"/>
        <v>1</v>
      </c>
      <c r="H515" s="673"/>
      <c r="I515" s="21">
        <f t="shared" si="88"/>
        <v>1</v>
      </c>
      <c r="J515" s="673"/>
      <c r="K515" s="21">
        <f t="shared" si="89"/>
        <v>1</v>
      </c>
      <c r="L515" s="673"/>
      <c r="M515" s="21">
        <f t="shared" si="90"/>
        <v>1</v>
      </c>
      <c r="N515" s="673"/>
      <c r="O515" s="21">
        <f t="shared" si="91"/>
        <v>1</v>
      </c>
      <c r="P515" s="673"/>
      <c r="Q515" s="21">
        <f t="shared" si="92"/>
        <v>1</v>
      </c>
      <c r="R515" s="669">
        <f t="shared" si="93"/>
        <v>0</v>
      </c>
      <c r="S515" s="319">
        <f t="shared" si="94"/>
        <v>0</v>
      </c>
    </row>
    <row r="516" spans="1:19">
      <c r="A516" s="152"/>
      <c r="B516" s="54"/>
      <c r="C516" s="21">
        <f t="shared" si="85"/>
        <v>1</v>
      </c>
      <c r="D516" s="673"/>
      <c r="E516" s="21">
        <f t="shared" si="86"/>
        <v>1</v>
      </c>
      <c r="F516" s="673"/>
      <c r="G516" s="21">
        <f t="shared" si="87"/>
        <v>1</v>
      </c>
      <c r="H516" s="673"/>
      <c r="I516" s="21">
        <f t="shared" si="88"/>
        <v>1</v>
      </c>
      <c r="J516" s="673"/>
      <c r="K516" s="21">
        <f t="shared" si="89"/>
        <v>1</v>
      </c>
      <c r="L516" s="673"/>
      <c r="M516" s="21">
        <f t="shared" si="90"/>
        <v>1</v>
      </c>
      <c r="N516" s="673"/>
      <c r="O516" s="21">
        <f t="shared" si="91"/>
        <v>1</v>
      </c>
      <c r="P516" s="673"/>
      <c r="Q516" s="21">
        <f t="shared" si="92"/>
        <v>1</v>
      </c>
      <c r="R516" s="669">
        <f t="shared" si="93"/>
        <v>0</v>
      </c>
      <c r="S516" s="319">
        <f t="shared" si="94"/>
        <v>0</v>
      </c>
    </row>
    <row r="517" spans="1:19">
      <c r="A517" s="152"/>
      <c r="B517" s="54"/>
      <c r="C517" s="21">
        <f t="shared" si="85"/>
        <v>1</v>
      </c>
      <c r="D517" s="673"/>
      <c r="E517" s="21">
        <f t="shared" si="86"/>
        <v>1</v>
      </c>
      <c r="F517" s="673"/>
      <c r="G517" s="21">
        <f t="shared" si="87"/>
        <v>1</v>
      </c>
      <c r="H517" s="673"/>
      <c r="I517" s="21">
        <f t="shared" si="88"/>
        <v>1</v>
      </c>
      <c r="J517" s="673"/>
      <c r="K517" s="21">
        <f t="shared" si="89"/>
        <v>1</v>
      </c>
      <c r="L517" s="673"/>
      <c r="M517" s="21">
        <f t="shared" si="90"/>
        <v>1</v>
      </c>
      <c r="N517" s="673"/>
      <c r="O517" s="21">
        <f t="shared" si="91"/>
        <v>1</v>
      </c>
      <c r="P517" s="673"/>
      <c r="Q517" s="21">
        <f t="shared" si="92"/>
        <v>1</v>
      </c>
      <c r="R517" s="669">
        <f t="shared" si="93"/>
        <v>0</v>
      </c>
      <c r="S517" s="319">
        <f t="shared" si="94"/>
        <v>0</v>
      </c>
    </row>
    <row r="518" spans="1:19">
      <c r="A518" s="152"/>
      <c r="B518" s="54"/>
      <c r="C518" s="21">
        <f t="shared" si="85"/>
        <v>1</v>
      </c>
      <c r="D518" s="673"/>
      <c r="E518" s="21">
        <f t="shared" si="86"/>
        <v>1</v>
      </c>
      <c r="F518" s="673"/>
      <c r="G518" s="21">
        <f t="shared" si="87"/>
        <v>1</v>
      </c>
      <c r="H518" s="673"/>
      <c r="I518" s="21">
        <f t="shared" si="88"/>
        <v>1</v>
      </c>
      <c r="J518" s="673"/>
      <c r="K518" s="21">
        <f t="shared" si="89"/>
        <v>1</v>
      </c>
      <c r="L518" s="673"/>
      <c r="M518" s="21">
        <f t="shared" si="90"/>
        <v>1</v>
      </c>
      <c r="N518" s="673"/>
      <c r="O518" s="21">
        <f t="shared" si="91"/>
        <v>1</v>
      </c>
      <c r="P518" s="673"/>
      <c r="Q518" s="21">
        <f t="shared" si="92"/>
        <v>1</v>
      </c>
      <c r="R518" s="669">
        <f t="shared" si="93"/>
        <v>0</v>
      </c>
      <c r="S518" s="319">
        <f t="shared" si="94"/>
        <v>0</v>
      </c>
    </row>
    <row r="519" spans="1:19">
      <c r="A519" s="152"/>
      <c r="B519" s="54"/>
      <c r="C519" s="21">
        <f t="shared" si="85"/>
        <v>1</v>
      </c>
      <c r="D519" s="673"/>
      <c r="E519" s="21">
        <f t="shared" si="86"/>
        <v>1</v>
      </c>
      <c r="F519" s="673"/>
      <c r="G519" s="21">
        <f t="shared" si="87"/>
        <v>1</v>
      </c>
      <c r="H519" s="673"/>
      <c r="I519" s="21">
        <f t="shared" si="88"/>
        <v>1</v>
      </c>
      <c r="J519" s="673"/>
      <c r="K519" s="21">
        <f t="shared" si="89"/>
        <v>1</v>
      </c>
      <c r="L519" s="673"/>
      <c r="M519" s="21">
        <f t="shared" si="90"/>
        <v>1</v>
      </c>
      <c r="N519" s="673"/>
      <c r="O519" s="21">
        <f t="shared" si="91"/>
        <v>1</v>
      </c>
      <c r="P519" s="673"/>
      <c r="Q519" s="21">
        <f t="shared" si="92"/>
        <v>1</v>
      </c>
      <c r="R519" s="669">
        <f t="shared" si="93"/>
        <v>0</v>
      </c>
      <c r="S519" s="319">
        <f t="shared" si="94"/>
        <v>0</v>
      </c>
    </row>
    <row r="520" spans="1:19">
      <c r="A520" s="152"/>
      <c r="B520" s="54"/>
      <c r="C520" s="21">
        <f t="shared" si="85"/>
        <v>1</v>
      </c>
      <c r="D520" s="673"/>
      <c r="E520" s="21">
        <f t="shared" si="86"/>
        <v>1</v>
      </c>
      <c r="F520" s="673"/>
      <c r="G520" s="21">
        <f t="shared" si="87"/>
        <v>1</v>
      </c>
      <c r="H520" s="673"/>
      <c r="I520" s="21">
        <f t="shared" si="88"/>
        <v>1</v>
      </c>
      <c r="J520" s="673"/>
      <c r="K520" s="21">
        <f t="shared" si="89"/>
        <v>1</v>
      </c>
      <c r="L520" s="673"/>
      <c r="M520" s="21">
        <f t="shared" si="90"/>
        <v>1</v>
      </c>
      <c r="N520" s="673"/>
      <c r="O520" s="21">
        <f t="shared" si="91"/>
        <v>1</v>
      </c>
      <c r="P520" s="673"/>
      <c r="Q520" s="21">
        <f t="shared" si="92"/>
        <v>1</v>
      </c>
      <c r="R520" s="669">
        <f t="shared" si="93"/>
        <v>0</v>
      </c>
      <c r="S520" s="319">
        <f t="shared" si="94"/>
        <v>0</v>
      </c>
    </row>
    <row r="521" spans="1:19">
      <c r="A521" s="152"/>
      <c r="B521" s="54"/>
      <c r="C521" s="21">
        <f t="shared" si="85"/>
        <v>1</v>
      </c>
      <c r="D521" s="673"/>
      <c r="E521" s="21">
        <f t="shared" si="86"/>
        <v>1</v>
      </c>
      <c r="F521" s="673"/>
      <c r="G521" s="21">
        <f t="shared" si="87"/>
        <v>1</v>
      </c>
      <c r="H521" s="673"/>
      <c r="I521" s="21">
        <f t="shared" si="88"/>
        <v>1</v>
      </c>
      <c r="J521" s="673"/>
      <c r="K521" s="21">
        <f t="shared" si="89"/>
        <v>1</v>
      </c>
      <c r="L521" s="673"/>
      <c r="M521" s="21">
        <f t="shared" si="90"/>
        <v>1</v>
      </c>
      <c r="N521" s="673"/>
      <c r="O521" s="21">
        <f t="shared" si="91"/>
        <v>1</v>
      </c>
      <c r="P521" s="673"/>
      <c r="Q521" s="21">
        <f t="shared" si="92"/>
        <v>1</v>
      </c>
      <c r="R521" s="669">
        <f t="shared" si="93"/>
        <v>0</v>
      </c>
      <c r="S521" s="319">
        <f t="shared" si="94"/>
        <v>0</v>
      </c>
    </row>
    <row r="522" spans="1:19">
      <c r="A522" s="152"/>
      <c r="B522" s="54"/>
      <c r="C522" s="21">
        <f t="shared" si="85"/>
        <v>1</v>
      </c>
      <c r="D522" s="673"/>
      <c r="E522" s="21">
        <f t="shared" si="86"/>
        <v>1</v>
      </c>
      <c r="F522" s="673"/>
      <c r="G522" s="21">
        <f t="shared" si="87"/>
        <v>1</v>
      </c>
      <c r="H522" s="673"/>
      <c r="I522" s="21">
        <f t="shared" si="88"/>
        <v>1</v>
      </c>
      <c r="J522" s="673"/>
      <c r="K522" s="21">
        <f t="shared" si="89"/>
        <v>1</v>
      </c>
      <c r="L522" s="673"/>
      <c r="M522" s="21">
        <f t="shared" si="90"/>
        <v>1</v>
      </c>
      <c r="N522" s="673"/>
      <c r="O522" s="21">
        <f t="shared" si="91"/>
        <v>1</v>
      </c>
      <c r="P522" s="673"/>
      <c r="Q522" s="21">
        <f t="shared" si="92"/>
        <v>1</v>
      </c>
      <c r="R522" s="669">
        <f t="shared" si="93"/>
        <v>0</v>
      </c>
      <c r="S522" s="319">
        <f t="shared" si="94"/>
        <v>0</v>
      </c>
    </row>
    <row r="523" spans="1:19">
      <c r="A523" s="152"/>
      <c r="B523" s="54"/>
      <c r="C523" s="21">
        <f t="shared" si="85"/>
        <v>1</v>
      </c>
      <c r="D523" s="673"/>
      <c r="E523" s="21">
        <f t="shared" si="86"/>
        <v>1</v>
      </c>
      <c r="F523" s="673"/>
      <c r="G523" s="21">
        <f t="shared" si="87"/>
        <v>1</v>
      </c>
      <c r="H523" s="673"/>
      <c r="I523" s="21">
        <f t="shared" si="88"/>
        <v>1</v>
      </c>
      <c r="J523" s="673"/>
      <c r="K523" s="21">
        <f t="shared" si="89"/>
        <v>1</v>
      </c>
      <c r="L523" s="673"/>
      <c r="M523" s="21">
        <f t="shared" si="90"/>
        <v>1</v>
      </c>
      <c r="N523" s="673"/>
      <c r="O523" s="21">
        <f t="shared" si="91"/>
        <v>1</v>
      </c>
      <c r="P523" s="673"/>
      <c r="Q523" s="21">
        <f t="shared" si="92"/>
        <v>1</v>
      </c>
      <c r="R523" s="669">
        <f t="shared" si="93"/>
        <v>0</v>
      </c>
      <c r="S523" s="319">
        <f t="shared" si="94"/>
        <v>0</v>
      </c>
    </row>
    <row r="524" spans="1:19">
      <c r="A524" s="152"/>
      <c r="B524" s="54"/>
      <c r="C524" s="21">
        <f t="shared" si="85"/>
        <v>1</v>
      </c>
      <c r="D524" s="673"/>
      <c r="E524" s="21">
        <f t="shared" si="86"/>
        <v>1</v>
      </c>
      <c r="F524" s="673"/>
      <c r="G524" s="21">
        <f t="shared" si="87"/>
        <v>1</v>
      </c>
      <c r="H524" s="673"/>
      <c r="I524" s="21">
        <f t="shared" si="88"/>
        <v>1</v>
      </c>
      <c r="J524" s="673"/>
      <c r="K524" s="21">
        <f t="shared" si="89"/>
        <v>1</v>
      </c>
      <c r="L524" s="673"/>
      <c r="M524" s="21">
        <f t="shared" si="90"/>
        <v>1</v>
      </c>
      <c r="N524" s="673"/>
      <c r="O524" s="21">
        <f t="shared" si="91"/>
        <v>1</v>
      </c>
      <c r="P524" s="673"/>
      <c r="Q524" s="21">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125" style="254" customWidth="1"/>
    <col min="3" max="3" width="12.125" style="254" customWidth="1"/>
    <col min="4" max="5" width="11.125" style="275" customWidth="1"/>
    <col min="6" max="6" width="9.5" style="254" customWidth="1"/>
    <col min="7" max="7" width="31.875" style="254" customWidth="1"/>
    <col min="8" max="254" width="9" style="254" customWidth="1"/>
    <col min="255" max="16384" width="8.375" style="254"/>
  </cols>
  <sheetData>
    <row r="1" spans="1:7" s="203" customFormat="1" ht="20.25">
      <c r="A1" s="199" t="s">
        <v>60</v>
      </c>
      <c r="B1" s="200"/>
      <c r="C1" s="201"/>
      <c r="D1" s="201"/>
      <c r="E1" s="201"/>
      <c r="F1" s="201"/>
      <c r="G1" s="202"/>
    </row>
    <row r="2" spans="1:7" s="203" customFormat="1" ht="18" customHeight="1">
      <c r="A2" s="204" t="s">
        <v>61</v>
      </c>
      <c r="B2" s="205">
        <f ca="1">C52</f>
        <v>34532</v>
      </c>
      <c r="C2" s="2" t="s">
        <v>110</v>
      </c>
      <c r="D2" s="202"/>
      <c r="E2" s="202"/>
      <c r="F2" s="202"/>
      <c r="G2" s="202"/>
    </row>
    <row r="3" spans="1:7" s="203" customFormat="1" ht="18" customHeight="1" thickBot="1">
      <c r="A3" s="206" t="s">
        <v>62</v>
      </c>
      <c r="B3" s="207">
        <f ca="1">ROUND(B2*10000/'数据-汇总表'!E3,0)</f>
        <v>2758</v>
      </c>
      <c r="C3" s="2" t="s">
        <v>111</v>
      </c>
      <c r="D3" s="202"/>
      <c r="E3" s="202"/>
      <c r="F3" s="202"/>
      <c r="G3" s="202"/>
    </row>
    <row r="4" spans="1:7" s="211" customFormat="1" ht="15.75">
      <c r="A4" s="208" t="s">
        <v>63</v>
      </c>
      <c r="B4" s="209"/>
      <c r="C4" s="209"/>
      <c r="D4" s="209"/>
      <c r="E4" s="209"/>
      <c r="F4" s="209"/>
      <c r="G4" s="210"/>
    </row>
    <row r="5" spans="1:7" s="217" customFormat="1" ht="13.5" customHeight="1">
      <c r="A5" s="258" t="s">
        <v>999</v>
      </c>
      <c r="B5" s="213" t="s">
        <v>64</v>
      </c>
      <c r="C5" s="214">
        <f>C6+C7+C8</f>
        <v>20610</v>
      </c>
      <c r="D5" s="214" t="s">
        <v>65</v>
      </c>
      <c r="E5" s="215" t="s">
        <v>66</v>
      </c>
      <c r="F5" s="215" t="s">
        <v>67</v>
      </c>
      <c r="G5" s="216"/>
    </row>
    <row r="6" spans="1:7" s="217" customFormat="1" ht="13.5" customHeight="1">
      <c r="A6" s="883" t="s">
        <v>768</v>
      </c>
      <c r="B6" s="218" t="s">
        <v>68</v>
      </c>
      <c r="C6" s="219">
        <v>20000</v>
      </c>
      <c r="D6" s="220"/>
      <c r="E6" s="221"/>
      <c r="F6" s="221"/>
      <c r="G6" s="222"/>
    </row>
    <row r="7" spans="1:7" s="217" customFormat="1" ht="13.5" customHeight="1">
      <c r="A7" s="883" t="s">
        <v>769</v>
      </c>
      <c r="B7" s="218" t="s">
        <v>34</v>
      </c>
      <c r="C7" s="223">
        <f>ROUND(C6*F7,0)</f>
        <v>610</v>
      </c>
      <c r="D7" s="223"/>
      <c r="E7" s="221"/>
      <c r="F7" s="224">
        <f>'数据-取费表'!B48+'数据-取费表'!B49</f>
        <v>3.0499999999999999E-2</v>
      </c>
      <c r="G7" s="222"/>
    </row>
    <row r="8" spans="1:7" s="226" customFormat="1">
      <c r="A8" s="883" t="s">
        <v>770</v>
      </c>
      <c r="B8" s="218" t="s">
        <v>69</v>
      </c>
      <c r="C8" s="223" t="str">
        <f>IF(G8="已包含在土地购买价格中","0",'数据-取费表'!B29)</f>
        <v>0</v>
      </c>
      <c r="D8" s="225"/>
      <c r="E8" s="223"/>
      <c r="F8" s="224"/>
      <c r="G8" s="1" t="s">
        <v>1093</v>
      </c>
    </row>
    <row r="9" spans="1:7" s="217" customFormat="1" ht="13.5" customHeight="1">
      <c r="A9" s="884" t="s">
        <v>777</v>
      </c>
      <c r="B9" s="227" t="s">
        <v>70</v>
      </c>
      <c r="C9" s="228">
        <f>ROUND(D9*E9/10000,0)</f>
        <v>341</v>
      </c>
      <c r="D9" s="951">
        <f>'数据-汇总表'!E5</f>
        <v>68161.440000000002</v>
      </c>
      <c r="E9" s="228">
        <f>'数据-取费表'!B27</f>
        <v>50</v>
      </c>
      <c r="F9" s="224"/>
      <c r="G9" s="229"/>
    </row>
    <row r="10" spans="1:7" s="217" customFormat="1" ht="13.5" customHeight="1">
      <c r="A10" s="884" t="s">
        <v>778</v>
      </c>
      <c r="B10" s="227" t="s">
        <v>71</v>
      </c>
      <c r="C10" s="228">
        <f>ROUND(D10*E10/10000,0)</f>
        <v>685</v>
      </c>
      <c r="D10" s="951">
        <f>'数据-汇总表'!E6</f>
        <v>57041.97</v>
      </c>
      <c r="E10" s="228">
        <f>'数据-取费表'!B28</f>
        <v>120</v>
      </c>
      <c r="F10" s="224"/>
      <c r="G10" s="229"/>
    </row>
    <row r="11" spans="1:7" s="217" customFormat="1" ht="13.5" hidden="1" customHeight="1">
      <c r="A11" s="230" t="s">
        <v>4</v>
      </c>
      <c r="B11" s="218" t="s">
        <v>72</v>
      </c>
      <c r="C11" s="214"/>
      <c r="D11" s="953"/>
      <c r="E11" s="221"/>
      <c r="F11" s="221"/>
      <c r="G11" s="222"/>
    </row>
    <row r="12" spans="1:7" s="217" customFormat="1" ht="13.5" hidden="1" customHeight="1">
      <c r="A12" s="230" t="s">
        <v>5</v>
      </c>
      <c r="B12" s="218" t="s">
        <v>73</v>
      </c>
      <c r="C12" s="214">
        <v>0</v>
      </c>
      <c r="D12" s="953"/>
      <c r="E12" s="231"/>
      <c r="F12" s="224">
        <v>3.0499999999999999E-2</v>
      </c>
      <c r="G12" s="222"/>
    </row>
    <row r="13" spans="1:7" s="217" customFormat="1" ht="13.5" hidden="1" customHeight="1">
      <c r="A13" s="230" t="s">
        <v>6</v>
      </c>
      <c r="B13" s="218" t="s">
        <v>74</v>
      </c>
      <c r="C13" s="214"/>
      <c r="D13" s="953"/>
      <c r="E13" s="221"/>
      <c r="F13" s="221"/>
      <c r="G13" s="222"/>
    </row>
    <row r="14" spans="1:7" s="217" customFormat="1" ht="13.5" hidden="1" customHeight="1">
      <c r="A14" s="230" t="s">
        <v>7</v>
      </c>
      <c r="B14" s="218" t="s">
        <v>69</v>
      </c>
      <c r="C14" s="214"/>
      <c r="D14" s="953"/>
      <c r="E14" s="221"/>
      <c r="F14" s="221"/>
      <c r="G14" s="222" t="s">
        <v>75</v>
      </c>
    </row>
    <row r="15" spans="1:7" s="217" customFormat="1" ht="13.5" hidden="1" customHeight="1">
      <c r="A15" s="230" t="s">
        <v>8</v>
      </c>
      <c r="B15" s="218" t="s">
        <v>76</v>
      </c>
      <c r="C15" s="223"/>
      <c r="D15" s="953"/>
      <c r="E15" s="221"/>
      <c r="F15" s="221"/>
      <c r="G15" s="222" t="s">
        <v>77</v>
      </c>
    </row>
    <row r="16" spans="1:7" s="217" customFormat="1" ht="13.5" hidden="1" customHeight="1">
      <c r="A16" s="230" t="s">
        <v>9</v>
      </c>
      <c r="B16" s="218" t="s">
        <v>69</v>
      </c>
      <c r="C16" s="223"/>
      <c r="D16" s="953"/>
      <c r="E16" s="221"/>
      <c r="F16" s="221"/>
      <c r="G16" s="222"/>
    </row>
    <row r="17" spans="1:7" s="217" customFormat="1" ht="13.5" hidden="1" customHeight="1">
      <c r="A17" s="230" t="s">
        <v>10</v>
      </c>
      <c r="B17" s="218" t="s">
        <v>78</v>
      </c>
      <c r="C17" s="232"/>
      <c r="D17" s="954"/>
      <c r="E17" s="232"/>
      <c r="F17" s="232"/>
      <c r="G17" s="222" t="s">
        <v>77</v>
      </c>
    </row>
    <row r="18" spans="1:7" s="217" customFormat="1" ht="13.5" hidden="1" customHeight="1">
      <c r="A18" s="230" t="s">
        <v>11</v>
      </c>
      <c r="B18" s="218" t="s">
        <v>79</v>
      </c>
      <c r="C18" s="223">
        <v>0</v>
      </c>
      <c r="D18" s="953"/>
      <c r="E18" s="221"/>
      <c r="F18" s="224">
        <v>3.0499999999999999E-2</v>
      </c>
      <c r="G18" s="222" t="s">
        <v>80</v>
      </c>
    </row>
    <row r="19" spans="1:7" s="226" customFormat="1" ht="13.5" customHeight="1">
      <c r="A19" s="882" t="s">
        <v>1000</v>
      </c>
      <c r="B19" s="213" t="s">
        <v>88</v>
      </c>
      <c r="C19" s="214">
        <f>IF(G19="已包含在土地取得成本中","0",ROUND(D19*E19/10000,0))</f>
        <v>2504</v>
      </c>
      <c r="D19" s="955">
        <f>'数据-汇总表'!E3</f>
        <v>125203.41</v>
      </c>
      <c r="E19" s="214">
        <f>'数据-取费表'!B31</f>
        <v>200</v>
      </c>
      <c r="F19" s="234"/>
      <c r="G19" s="1" t="s">
        <v>1019</v>
      </c>
    </row>
    <row r="20" spans="1:7" s="217" customFormat="1" ht="13.5" customHeight="1">
      <c r="A20" s="882" t="s">
        <v>1002</v>
      </c>
      <c r="B20" s="213" t="s">
        <v>81</v>
      </c>
      <c r="C20" s="235">
        <f>ROUND((C5+C19)*F20,0)</f>
        <v>462</v>
      </c>
      <c r="D20" s="235"/>
      <c r="E20" s="235"/>
      <c r="F20" s="236">
        <f>'数据-取费表'!B37</f>
        <v>0.02</v>
      </c>
      <c r="G20" s="1196" t="s">
        <v>1013</v>
      </c>
    </row>
    <row r="21" spans="1:7" s="217" customFormat="1" ht="13.5" customHeight="1">
      <c r="A21" s="882" t="s">
        <v>1004</v>
      </c>
      <c r="B21" s="213" t="s">
        <v>82</v>
      </c>
      <c r="C21" s="238">
        <f>F21</f>
        <v>0.02</v>
      </c>
      <c r="D21" s="239" t="s">
        <v>103</v>
      </c>
      <c r="E21" s="235"/>
      <c r="F21" s="236">
        <f>'数据-取费表'!B38</f>
        <v>0.02</v>
      </c>
      <c r="G21" s="237" t="s">
        <v>83</v>
      </c>
    </row>
    <row r="22" spans="1:7" s="217" customFormat="1" ht="13.5" customHeight="1">
      <c r="A22" s="882" t="s">
        <v>763</v>
      </c>
      <c r="B22" s="213" t="s">
        <v>84</v>
      </c>
      <c r="C22" s="1261">
        <f ca="1">ROUND(SUM(C23:C25),0)</f>
        <v>267</v>
      </c>
      <c r="D22" s="238">
        <f ca="1">C26</f>
        <v>1E-4</v>
      </c>
      <c r="E22" s="239" t="s">
        <v>103</v>
      </c>
      <c r="F22" s="240">
        <f ca="1">'数据-取费表'!B40</f>
        <v>3.85E-2</v>
      </c>
      <c r="G22" s="1196" t="str">
        <f>IF('数据-取费表'!B22&lt;=1,"单利计息","复利计息")</f>
        <v>复利计息</v>
      </c>
    </row>
    <row r="23" spans="1:7" s="217" customFormat="1" ht="13.5" customHeight="1">
      <c r="A23" s="885" t="s">
        <v>771</v>
      </c>
      <c r="B23" s="218" t="s">
        <v>1006</v>
      </c>
      <c r="C23" s="1262">
        <f ca="1">ROUND(IF('数据-取费表'!B22&lt;=1,C5*F22*'数据-取费表'!B23,C5*(POWER((1+F22),'数据-取费表'!B23)-1)),0)</f>
        <v>235</v>
      </c>
      <c r="D23" s="241"/>
      <c r="E23" s="241"/>
      <c r="F23" s="242"/>
      <c r="G23" s="243" t="s">
        <v>85</v>
      </c>
    </row>
    <row r="24" spans="1:7" s="217" customFormat="1" ht="13.5" customHeight="1">
      <c r="A24" s="885" t="s">
        <v>769</v>
      </c>
      <c r="B24" s="218" t="s">
        <v>1001</v>
      </c>
      <c r="C24" s="1262">
        <f ca="1">ROUND(IF('数据-取费表'!B22&lt;=1,C19*F22*('数据-取费表'!B19/2+'数据-取费表'!B21),C19*(POWER((1+F22),('数据-取费表'!B19/2+'数据-取费表'!B21))-1)),0)</f>
        <v>29</v>
      </c>
      <c r="D24" s="241"/>
      <c r="E24" s="241"/>
      <c r="F24" s="242"/>
      <c r="G24" s="243" t="s">
        <v>86</v>
      </c>
    </row>
    <row r="25" spans="1:7" s="217" customFormat="1" ht="24">
      <c r="A25" s="885" t="s">
        <v>770</v>
      </c>
      <c r="B25" s="218" t="s">
        <v>1003</v>
      </c>
      <c r="C25" s="1262">
        <f ca="1">ROUND(IF('数据-取费表'!B22&lt;=1,C20*F22*'数据-取费表'!B23/2,C20*(POWER((1+F22),'数据-取费表'!B23/2)-1)),0)</f>
        <v>3</v>
      </c>
      <c r="D25" s="241"/>
      <c r="E25" s="244"/>
      <c r="F25" s="242"/>
      <c r="G25" s="245" t="s">
        <v>87</v>
      </c>
    </row>
    <row r="26" spans="1:7" s="217" customFormat="1">
      <c r="A26" s="885" t="s">
        <v>772</v>
      </c>
      <c r="B26" s="218" t="s">
        <v>1005</v>
      </c>
      <c r="C26" s="241">
        <f ca="1">ROUND(IF('数据-取费表'!B22&lt;=1,F21*F22*'数据-取费表'!B23/2,F21*(POWER((1+F22),'数据-取费表'!B23/2)-1)),4)</f>
        <v>1E-4</v>
      </c>
      <c r="D26" s="241"/>
      <c r="E26" s="244"/>
      <c r="F26" s="242"/>
      <c r="G26" s="246"/>
    </row>
    <row r="27" spans="1:7" s="217" customFormat="1" ht="24.75">
      <c r="A27" s="882" t="s">
        <v>764</v>
      </c>
      <c r="B27" s="247" t="s">
        <v>89</v>
      </c>
      <c r="C27" s="248">
        <f>C28</f>
        <v>707</v>
      </c>
      <c r="D27" s="238">
        <f>C29</f>
        <v>5.9999999999999995E-4</v>
      </c>
      <c r="E27" s="239" t="s">
        <v>103</v>
      </c>
      <c r="F27" s="249">
        <f>'数据-取费表'!Q16</f>
        <v>0.3</v>
      </c>
      <c r="G27" s="250" t="s">
        <v>1014</v>
      </c>
    </row>
    <row r="28" spans="1:7" s="217" customFormat="1" ht="13.5" customHeight="1">
      <c r="A28" s="885" t="s">
        <v>771</v>
      </c>
      <c r="B28" s="251" t="s">
        <v>1007</v>
      </c>
      <c r="C28" s="252">
        <f>ROUND((C5+C19+C20)*F27*'数据-取费表'!B21/'数据-取费表'!B20,0)</f>
        <v>707</v>
      </c>
      <c r="D28" s="238"/>
      <c r="E28" s="239"/>
      <c r="F28" s="249"/>
      <c r="G28" s="250"/>
    </row>
    <row r="29" spans="1:7" s="217" customFormat="1" ht="13.5" customHeight="1">
      <c r="A29" s="885" t="s">
        <v>769</v>
      </c>
      <c r="B29" s="251" t="s">
        <v>1008</v>
      </c>
      <c r="C29" s="241">
        <f>ROUND(C21*F27*'数据-取费表'!B21/'数据-取费表'!B20,4)</f>
        <v>5.9999999999999995E-4</v>
      </c>
      <c r="D29" s="238"/>
      <c r="E29" s="239"/>
      <c r="F29" s="249"/>
      <c r="G29" s="250"/>
    </row>
    <row r="30" spans="1:7" s="217" customFormat="1" ht="13.5" customHeight="1">
      <c r="A30" s="882" t="s">
        <v>765</v>
      </c>
      <c r="B30" s="213" t="s">
        <v>35</v>
      </c>
      <c r="C30" s="238">
        <f>F30</f>
        <v>5.6000000000000001E-2</v>
      </c>
      <c r="D30" s="239" t="s">
        <v>104</v>
      </c>
      <c r="E30" s="244"/>
      <c r="F30" s="240">
        <f>'数据-取费表'!B41</f>
        <v>5.6000000000000001E-2</v>
      </c>
      <c r="G30" s="237" t="s">
        <v>90</v>
      </c>
    </row>
    <row r="31" spans="1:7" ht="16.5" customHeight="1">
      <c r="A31" s="212">
        <v>1</v>
      </c>
      <c r="B31" s="213" t="s">
        <v>105</v>
      </c>
      <c r="C31" s="214">
        <f ca="1">ROUND((C5+C19+C20+C22+C27)/(1-C21-D22-D27-C30/(1+'数据-取费表'!B42)),0)</f>
        <v>26513</v>
      </c>
      <c r="D31" s="233"/>
      <c r="E31" s="214"/>
      <c r="F31" s="253"/>
      <c r="G31" s="237" t="s">
        <v>1015</v>
      </c>
    </row>
    <row r="32" spans="1:7" s="211" customFormat="1" ht="15.75">
      <c r="A32" s="255" t="s">
        <v>91</v>
      </c>
      <c r="B32" s="256"/>
      <c r="C32" s="256"/>
      <c r="D32" s="256"/>
      <c r="E32" s="256"/>
      <c r="F32" s="256"/>
      <c r="G32" s="257"/>
    </row>
    <row r="33" spans="1:7" s="217" customFormat="1" ht="13.5" customHeight="1">
      <c r="A33" s="258" t="s">
        <v>759</v>
      </c>
      <c r="B33" s="213" t="s">
        <v>92</v>
      </c>
      <c r="C33" s="259">
        <f>SUM(C34:C38)</f>
        <v>5543</v>
      </c>
      <c r="D33" s="235"/>
      <c r="E33" s="215"/>
      <c r="F33" s="244"/>
      <c r="G33" s="237"/>
    </row>
    <row r="34" spans="1:7" s="261" customFormat="1" ht="13.5" customHeight="1">
      <c r="A34" s="885" t="s">
        <v>771</v>
      </c>
      <c r="B34" s="218" t="s">
        <v>36</v>
      </c>
      <c r="C34" s="223">
        <f>IF(F34=100%,'数据-取费表'!M16-SUMIF('数据-取费表'!C:C,"公共配套",'数据-取费表'!M:M),'数据-取费表'!O16-SUMIF('数据-取费表'!C:C,"公共配套",'数据-取费表'!O:O))</f>
        <v>4935</v>
      </c>
      <c r="D34" s="220"/>
      <c r="E34" s="223"/>
      <c r="F34" s="260">
        <f>IF('数据-取费表'!B24=0,1,'数据-取费表'!N16)</f>
        <v>0.1</v>
      </c>
      <c r="G34" s="222" t="s">
        <v>93</v>
      </c>
    </row>
    <row r="35" spans="1:7" ht="13.5" customHeight="1">
      <c r="A35" s="885" t="s">
        <v>773</v>
      </c>
      <c r="B35" s="218" t="s">
        <v>37</v>
      </c>
      <c r="C35" s="223">
        <f>ROUND(C34*F35,0)</f>
        <v>148</v>
      </c>
      <c r="D35" s="223"/>
      <c r="E35" s="223"/>
      <c r="F35" s="262">
        <f>'数据-取费表'!B33</f>
        <v>0.03</v>
      </c>
      <c r="G35" s="222" t="s">
        <v>94</v>
      </c>
    </row>
    <row r="36" spans="1:7" ht="24">
      <c r="A36" s="885" t="s">
        <v>774</v>
      </c>
      <c r="B36" s="218" t="s">
        <v>38</v>
      </c>
      <c r="C36" s="223">
        <f>ROUND(IF(SUMIF('数据-取费表'!C:C,"住宅",IF(F34=100%,'数据-取费表'!M:M,'数据-取费表'!O:O))=0,0,IF(F36=0,SUMIF('数据-取费表'!C:C,"公共配套",IF(F34=100%,'数据-取费表'!M:M,'数据-取费表'!O:O)),SUMIF('数据-取费表'!C:C,"住宅",IF(F34=100%,'数据-取费表'!M:M,'数据-取费表'!O:O))*F36)),0)</f>
        <v>136</v>
      </c>
      <c r="D36" s="223"/>
      <c r="E36" s="223"/>
      <c r="F36" s="262">
        <f>'数据-取费表'!B34</f>
        <v>0.05</v>
      </c>
      <c r="G36" s="263" t="s">
        <v>39</v>
      </c>
    </row>
    <row r="37" spans="1:7" s="261" customFormat="1" ht="13.5" customHeight="1">
      <c r="A37" s="885" t="s">
        <v>775</v>
      </c>
      <c r="B37" s="218" t="s">
        <v>95</v>
      </c>
      <c r="C37" s="252">
        <f>ROUND(E37*D37*F34/10000,0)</f>
        <v>250</v>
      </c>
      <c r="D37" s="220">
        <f>'数据-汇总表'!E3</f>
        <v>125203.41</v>
      </c>
      <c r="E37" s="252">
        <f>'数据-取费表'!B35</f>
        <v>200</v>
      </c>
      <c r="F37" s="262"/>
      <c r="G37" s="264" t="s">
        <v>96</v>
      </c>
    </row>
    <row r="38" spans="1:7" ht="13.5" customHeight="1">
      <c r="A38" s="885" t="s">
        <v>776</v>
      </c>
      <c r="B38" s="218" t="s">
        <v>40</v>
      </c>
      <c r="C38" s="223">
        <f>ROUND(C34*F38,0)</f>
        <v>74</v>
      </c>
      <c r="D38" s="223"/>
      <c r="E38" s="223"/>
      <c r="F38" s="262">
        <f>'数据-取费表'!B36</f>
        <v>1.4999999999999999E-2</v>
      </c>
      <c r="G38" s="222" t="s">
        <v>94</v>
      </c>
    </row>
    <row r="39" spans="1:7" s="217" customFormat="1" ht="13.5" customHeight="1">
      <c r="A39" s="882" t="s">
        <v>760</v>
      </c>
      <c r="B39" s="213" t="s">
        <v>81</v>
      </c>
      <c r="C39" s="235">
        <f>ROUND(C33*F20,0)</f>
        <v>111</v>
      </c>
      <c r="D39" s="235"/>
      <c r="E39" s="235"/>
      <c r="F39" s="236"/>
      <c r="G39" s="1196" t="s">
        <v>1016</v>
      </c>
    </row>
    <row r="40" spans="1:7" s="217" customFormat="1" ht="13.5" customHeight="1">
      <c r="A40" s="882" t="s">
        <v>761</v>
      </c>
      <c r="B40" s="213" t="s">
        <v>82</v>
      </c>
      <c r="C40" s="265">
        <f>F21</f>
        <v>0.02</v>
      </c>
      <c r="D40" s="239" t="s">
        <v>106</v>
      </c>
      <c r="E40" s="235"/>
      <c r="F40" s="236"/>
      <c r="G40" s="237" t="s">
        <v>97</v>
      </c>
    </row>
    <row r="41" spans="1:7" s="217" customFormat="1" ht="13.5" customHeight="1">
      <c r="A41" s="882" t="s">
        <v>762</v>
      </c>
      <c r="B41" s="213" t="s">
        <v>84</v>
      </c>
      <c r="C41" s="235">
        <f ca="1">ROUND(SUM(C42:C43),0)</f>
        <v>32</v>
      </c>
      <c r="D41" s="238">
        <f ca="1">C44</f>
        <v>1E-4</v>
      </c>
      <c r="E41" s="239" t="s">
        <v>106</v>
      </c>
      <c r="F41" s="240"/>
      <c r="G41" s="1196" t="str">
        <f>IF('数据-取费表'!B22&lt;=1,"单利计息","复利计息")</f>
        <v>复利计息</v>
      </c>
    </row>
    <row r="42" spans="1:7" ht="13.5" customHeight="1">
      <c r="A42" s="885" t="s">
        <v>771</v>
      </c>
      <c r="B42" s="218" t="s">
        <v>1006</v>
      </c>
      <c r="C42" s="241">
        <f ca="1">ROUND(IF('数据-取费表'!B22&lt;=1,C33*F22*'数据-取费表'!B21/2,C33*(POWER((1+F22),'数据-取费表'!B21/2)-1)),0)</f>
        <v>31</v>
      </c>
      <c r="D42" s="241"/>
      <c r="E42" s="241"/>
      <c r="F42" s="242"/>
      <c r="G42" s="3299" t="s">
        <v>98</v>
      </c>
    </row>
    <row r="43" spans="1:7" ht="13.5" customHeight="1">
      <c r="A43" s="885" t="s">
        <v>769</v>
      </c>
      <c r="B43" s="218" t="s">
        <v>1009</v>
      </c>
      <c r="C43" s="241">
        <f ca="1">ROUND(IF('数据-取费表'!B22&lt;=1,C39*F22*'数据-取费表'!B21/2,C39*(POWER((1+F22),'数据-取费表'!B21/2)-1)),0)</f>
        <v>1</v>
      </c>
      <c r="D43" s="241"/>
      <c r="E43" s="241"/>
      <c r="F43" s="242"/>
      <c r="G43" s="3300"/>
    </row>
    <row r="44" spans="1:7" ht="13.5" customHeight="1">
      <c r="A44" s="885" t="s">
        <v>770</v>
      </c>
      <c r="B44" s="218" t="s">
        <v>1011</v>
      </c>
      <c r="C44" s="241">
        <f ca="1">ROUND(IF('数据-取费表'!B22&lt;=1,C40*F22*'数据-取费表'!B21/2,C40*(POWER((1+F22),'数据-取费表'!B21/2)-1)),4)</f>
        <v>1E-4</v>
      </c>
      <c r="D44" s="241"/>
      <c r="E44" s="241"/>
      <c r="F44" s="242"/>
      <c r="G44" s="3301"/>
    </row>
    <row r="45" spans="1:7" s="217" customFormat="1" ht="13.5" customHeight="1">
      <c r="A45" s="882" t="s">
        <v>763</v>
      </c>
      <c r="B45" s="247" t="s">
        <v>89</v>
      </c>
      <c r="C45" s="248">
        <f>C46</f>
        <v>1696</v>
      </c>
      <c r="D45" s="238">
        <f>C47</f>
        <v>6.0000000000000001E-3</v>
      </c>
      <c r="E45" s="239" t="s">
        <v>106</v>
      </c>
      <c r="F45" s="249"/>
      <c r="G45" s="250" t="s">
        <v>1017</v>
      </c>
    </row>
    <row r="46" spans="1:7" s="217" customFormat="1" ht="13.5" customHeight="1">
      <c r="A46" s="885" t="s">
        <v>771</v>
      </c>
      <c r="B46" s="251" t="s">
        <v>1010</v>
      </c>
      <c r="C46" s="252">
        <f>ROUND((C33+C39)*F27,0)</f>
        <v>1696</v>
      </c>
      <c r="D46" s="266"/>
      <c r="E46" s="239"/>
      <c r="F46" s="249"/>
      <c r="G46" s="250"/>
    </row>
    <row r="47" spans="1:7" s="217" customFormat="1" ht="13.5" customHeight="1">
      <c r="A47" s="885" t="s">
        <v>769</v>
      </c>
      <c r="B47" s="251" t="s">
        <v>1012</v>
      </c>
      <c r="C47" s="241">
        <f>ROUND(C40*F27,4)</f>
        <v>6.0000000000000001E-3</v>
      </c>
      <c r="D47" s="266"/>
      <c r="E47" s="239"/>
      <c r="F47" s="249"/>
      <c r="G47" s="250"/>
    </row>
    <row r="48" spans="1:7" s="217" customFormat="1" ht="13.5" customHeight="1">
      <c r="A48" s="882" t="s">
        <v>764</v>
      </c>
      <c r="B48" s="213" t="s">
        <v>99</v>
      </c>
      <c r="C48" s="265">
        <f>F30</f>
        <v>5.6000000000000001E-2</v>
      </c>
      <c r="D48" s="239" t="s">
        <v>107</v>
      </c>
      <c r="E48" s="235"/>
      <c r="F48" s="240"/>
      <c r="G48" s="237" t="s">
        <v>100</v>
      </c>
    </row>
    <row r="49" spans="1:7" ht="16.5" customHeight="1">
      <c r="A49" s="882" t="s">
        <v>765</v>
      </c>
      <c r="B49" s="213" t="s">
        <v>108</v>
      </c>
      <c r="C49" s="235">
        <f ca="1">ROUND((C33+C39+C41+C45)/(1-C40-D41-D45-C48/(1+'数据-取费表'!B42)),0)</f>
        <v>8019</v>
      </c>
      <c r="D49" s="235"/>
      <c r="E49" s="235"/>
      <c r="F49" s="267"/>
      <c r="G49" s="237" t="s">
        <v>1018</v>
      </c>
    </row>
    <row r="50" spans="1:7" s="261" customFormat="1" ht="24">
      <c r="A50" s="882" t="s">
        <v>766</v>
      </c>
      <c r="B50" s="213" t="s">
        <v>101</v>
      </c>
      <c r="C50" s="235"/>
      <c r="D50" s="235"/>
      <c r="E50" s="235"/>
      <c r="F50" s="267">
        <f>IF('数据-取费表'!B24=0,'数据-取费表'!N16,1)</f>
        <v>1</v>
      </c>
      <c r="G50" s="250" t="s">
        <v>102</v>
      </c>
    </row>
    <row r="51" spans="1:7" ht="16.5" customHeight="1">
      <c r="A51" s="882" t="s">
        <v>767</v>
      </c>
      <c r="B51" s="213" t="s">
        <v>109</v>
      </c>
      <c r="C51" s="235">
        <f ca="1">ROUND(C49*F50,0)</f>
        <v>8019</v>
      </c>
      <c r="D51" s="235"/>
      <c r="E51" s="235"/>
      <c r="F51" s="267"/>
      <c r="G51" s="237" t="s">
        <v>41</v>
      </c>
    </row>
    <row r="52" spans="1:7" s="211" customFormat="1" ht="16.5" thickBot="1">
      <c r="A52" s="268" t="s">
        <v>42</v>
      </c>
      <c r="B52" s="269"/>
      <c r="C52" s="270">
        <f ca="1">C31+C51</f>
        <v>34532</v>
      </c>
      <c r="D52" s="269"/>
      <c r="E52" s="269"/>
      <c r="F52" s="269"/>
      <c r="G52" s="271"/>
    </row>
    <row r="55" spans="1:7" ht="15">
      <c r="B55" s="273" t="s">
        <v>43</v>
      </c>
      <c r="C55" s="274"/>
    </row>
    <row r="56" spans="1:7">
      <c r="B56" s="276" t="s">
        <v>44</v>
      </c>
      <c r="C56" s="277">
        <f ca="1">ROUND(C51/C52,3)</f>
        <v>0.23200000000000001</v>
      </c>
    </row>
    <row r="57" spans="1:7">
      <c r="B57" s="276" t="s">
        <v>45</v>
      </c>
      <c r="C57" s="278">
        <f ca="1">1-C56</f>
        <v>0.76800000000000002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125" style="749" customWidth="1"/>
    <col min="6" max="6" width="9" style="749"/>
    <col min="7" max="8" width="9" style="764"/>
    <col min="9" max="16384" width="9" style="749"/>
  </cols>
  <sheetData>
    <row r="1" spans="1:19">
      <c r="A1" s="3445" t="s">
        <v>133</v>
      </c>
      <c r="B1" s="3445"/>
      <c r="C1" s="3445"/>
      <c r="D1" s="3445"/>
      <c r="E1" s="3445"/>
      <c r="F1" s="3445"/>
      <c r="H1" s="766" t="s">
        <v>134</v>
      </c>
      <c r="I1" s="767" t="s">
        <v>135</v>
      </c>
      <c r="J1" s="767" t="s">
        <v>136</v>
      </c>
      <c r="K1" s="767" t="s">
        <v>137</v>
      </c>
      <c r="L1" s="767" t="s">
        <v>138</v>
      </c>
      <c r="M1" s="767" t="s">
        <v>139</v>
      </c>
      <c r="N1" s="767" t="s">
        <v>140</v>
      </c>
      <c r="O1" s="767" t="s">
        <v>141</v>
      </c>
      <c r="P1" s="767" t="s">
        <v>142</v>
      </c>
      <c r="Q1" s="767" t="s">
        <v>143</v>
      </c>
      <c r="R1" s="767" t="s">
        <v>144</v>
      </c>
      <c r="S1" s="768" t="s">
        <v>145</v>
      </c>
    </row>
    <row r="2" spans="1:19" ht="14.25" thickBot="1">
      <c r="A2" s="3446" t="s">
        <v>146</v>
      </c>
      <c r="B2" s="3446"/>
      <c r="C2" s="3446"/>
      <c r="D2" s="3446"/>
      <c r="E2" s="3446"/>
      <c r="F2" s="3446"/>
      <c r="H2" s="769" t="s">
        <v>147</v>
      </c>
      <c r="I2" s="770" t="s">
        <v>148</v>
      </c>
      <c r="J2" s="770" t="s">
        <v>149</v>
      </c>
      <c r="K2" s="770" t="s">
        <v>150</v>
      </c>
      <c r="L2" s="770" t="s">
        <v>151</v>
      </c>
      <c r="M2" s="770" t="s">
        <v>152</v>
      </c>
      <c r="N2" s="770" t="s">
        <v>153</v>
      </c>
      <c r="O2" s="770" t="s">
        <v>154</v>
      </c>
      <c r="P2" s="770" t="s">
        <v>155</v>
      </c>
      <c r="Q2" s="770" t="s">
        <v>156</v>
      </c>
      <c r="R2" s="770" t="s">
        <v>157</v>
      </c>
      <c r="S2" s="770" t="s">
        <v>158</v>
      </c>
    </row>
    <row r="3" spans="1:19" s="765" customFormat="1" ht="19.5" customHeight="1">
      <c r="A3" s="3447" t="s">
        <v>159</v>
      </c>
      <c r="B3" s="771"/>
      <c r="C3" s="772" t="s">
        <v>160</v>
      </c>
      <c r="D3" s="772" t="s">
        <v>161</v>
      </c>
      <c r="E3" s="772" t="s">
        <v>728</v>
      </c>
      <c r="F3" s="772" t="s">
        <v>163</v>
      </c>
      <c r="G3" s="773"/>
      <c r="H3" s="769" t="s">
        <v>164</v>
      </c>
      <c r="I3" s="770" t="s">
        <v>165</v>
      </c>
      <c r="J3" s="770" t="s">
        <v>166</v>
      </c>
      <c r="K3" s="770" t="s">
        <v>167</v>
      </c>
      <c r="L3" s="770" t="s">
        <v>168</v>
      </c>
      <c r="M3" s="770" t="s">
        <v>169</v>
      </c>
      <c r="N3" s="770" t="s">
        <v>170</v>
      </c>
      <c r="O3" s="770" t="s">
        <v>171</v>
      </c>
      <c r="P3" s="770" t="s">
        <v>172</v>
      </c>
      <c r="Q3" s="770" t="s">
        <v>173</v>
      </c>
      <c r="R3" s="770" t="s">
        <v>174</v>
      </c>
      <c r="S3" s="770" t="s">
        <v>175</v>
      </c>
    </row>
    <row r="4" spans="1:19" s="765" customFormat="1" ht="19.5" customHeight="1" thickBot="1">
      <c r="A4" s="3448"/>
      <c r="B4" s="774" t="s">
        <v>176</v>
      </c>
      <c r="C4" s="774" t="s">
        <v>177</v>
      </c>
      <c r="D4" s="774" t="s">
        <v>177</v>
      </c>
      <c r="E4" s="774" t="s">
        <v>177</v>
      </c>
      <c r="F4" s="775" t="s">
        <v>177</v>
      </c>
      <c r="G4" s="773"/>
      <c r="H4" s="769" t="s">
        <v>178</v>
      </c>
      <c r="I4" s="770" t="s">
        <v>115</v>
      </c>
      <c r="J4" s="770" t="s">
        <v>179</v>
      </c>
      <c r="K4" s="770" t="s">
        <v>180</v>
      </c>
      <c r="L4" s="770" t="s">
        <v>181</v>
      </c>
      <c r="M4" s="770" t="s">
        <v>182</v>
      </c>
      <c r="N4" s="770" t="s">
        <v>183</v>
      </c>
      <c r="O4" s="770" t="s">
        <v>184</v>
      </c>
      <c r="P4" s="770" t="s">
        <v>185</v>
      </c>
      <c r="Q4" s="770" t="s">
        <v>186</v>
      </c>
      <c r="R4" s="770" t="s">
        <v>187</v>
      </c>
      <c r="S4" s="770" t="s">
        <v>188</v>
      </c>
    </row>
    <row r="5" spans="1:19" ht="14.25" customHeight="1" thickBot="1">
      <c r="A5" s="776" t="s">
        <v>793</v>
      </c>
      <c r="B5" s="777" t="s">
        <v>794</v>
      </c>
      <c r="C5" s="777">
        <v>29530</v>
      </c>
      <c r="D5" s="777">
        <v>28130</v>
      </c>
      <c r="E5" s="777">
        <v>27930</v>
      </c>
      <c r="F5" s="778">
        <v>11300</v>
      </c>
      <c r="G5" s="773"/>
      <c r="H5" s="769" t="s">
        <v>190</v>
      </c>
      <c r="I5" s="770" t="s">
        <v>191</v>
      </c>
      <c r="J5" s="770" t="s">
        <v>192</v>
      </c>
      <c r="K5" s="770" t="s">
        <v>193</v>
      </c>
      <c r="L5" s="770" t="s">
        <v>194</v>
      </c>
      <c r="M5" s="770" t="s">
        <v>195</v>
      </c>
      <c r="N5" s="770" t="s">
        <v>196</v>
      </c>
      <c r="O5" s="770" t="s">
        <v>197</v>
      </c>
      <c r="P5" s="770" t="s">
        <v>198</v>
      </c>
      <c r="Q5" s="770" t="s">
        <v>199</v>
      </c>
      <c r="R5" s="770" t="s">
        <v>200</v>
      </c>
      <c r="S5" s="770" t="s">
        <v>201</v>
      </c>
    </row>
    <row r="6" spans="1:19" ht="14.25" customHeight="1" thickBot="1">
      <c r="A6" s="776" t="s">
        <v>189</v>
      </c>
      <c r="B6" s="770" t="s">
        <v>164</v>
      </c>
      <c r="C6" s="770">
        <v>30290</v>
      </c>
      <c r="D6" s="770">
        <v>29210</v>
      </c>
      <c r="E6" s="770">
        <v>28860</v>
      </c>
      <c r="F6" s="779">
        <v>12600</v>
      </c>
      <c r="G6" s="773"/>
      <c r="H6" s="769" t="s">
        <v>202</v>
      </c>
      <c r="I6" s="770" t="s">
        <v>203</v>
      </c>
      <c r="J6" s="770" t="s">
        <v>204</v>
      </c>
      <c r="K6" s="770" t="s">
        <v>205</v>
      </c>
      <c r="L6" s="770" t="s">
        <v>206</v>
      </c>
      <c r="M6" s="770" t="s">
        <v>207</v>
      </c>
      <c r="N6" s="770" t="s">
        <v>208</v>
      </c>
      <c r="O6" s="770" t="s">
        <v>209</v>
      </c>
      <c r="P6" s="770" t="s">
        <v>210</v>
      </c>
      <c r="Q6" s="770" t="s">
        <v>211</v>
      </c>
      <c r="R6" s="770" t="s">
        <v>212</v>
      </c>
      <c r="S6" s="770" t="s">
        <v>213</v>
      </c>
    </row>
    <row r="7" spans="1:19" ht="14.25" customHeight="1" thickBot="1">
      <c r="A7" s="776" t="s">
        <v>189</v>
      </c>
      <c r="B7" s="780" t="s">
        <v>178</v>
      </c>
      <c r="C7" s="770">
        <v>29350</v>
      </c>
      <c r="D7" s="770">
        <v>28410</v>
      </c>
      <c r="E7" s="770">
        <v>27990</v>
      </c>
      <c r="F7" s="779">
        <v>12300</v>
      </c>
      <c r="G7" s="773"/>
      <c r="I7" s="770" t="s">
        <v>214</v>
      </c>
      <c r="J7" s="770" t="s">
        <v>215</v>
      </c>
      <c r="K7" s="770" t="s">
        <v>216</v>
      </c>
      <c r="L7" s="770" t="s">
        <v>217</v>
      </c>
      <c r="M7" s="770" t="s">
        <v>218</v>
      </c>
      <c r="N7" s="770" t="s">
        <v>219</v>
      </c>
      <c r="O7" s="770" t="s">
        <v>220</v>
      </c>
      <c r="P7" s="770" t="s">
        <v>221</v>
      </c>
      <c r="Q7" s="770" t="s">
        <v>222</v>
      </c>
      <c r="R7" s="770" t="s">
        <v>223</v>
      </c>
      <c r="S7" s="780" t="s">
        <v>224</v>
      </c>
    </row>
    <row r="8" spans="1:19" ht="14.25" customHeight="1" thickBot="1">
      <c r="A8" s="776" t="s">
        <v>189</v>
      </c>
      <c r="B8" s="770" t="s">
        <v>190</v>
      </c>
      <c r="C8" s="770">
        <v>30890</v>
      </c>
      <c r="D8" s="770">
        <v>29780</v>
      </c>
      <c r="E8" s="770">
        <v>29270</v>
      </c>
      <c r="F8" s="779">
        <v>11600</v>
      </c>
      <c r="G8" s="773"/>
      <c r="I8" s="770" t="s">
        <v>225</v>
      </c>
      <c r="J8" s="770" t="s">
        <v>226</v>
      </c>
      <c r="K8" s="770" t="s">
        <v>227</v>
      </c>
      <c r="L8" s="770" t="s">
        <v>228</v>
      </c>
      <c r="M8" s="770" t="s">
        <v>229</v>
      </c>
      <c r="N8" s="770" t="s">
        <v>230</v>
      </c>
      <c r="O8" s="770" t="s">
        <v>231</v>
      </c>
      <c r="P8" s="770" t="s">
        <v>232</v>
      </c>
      <c r="Q8" s="770" t="s">
        <v>233</v>
      </c>
      <c r="R8" s="770" t="s">
        <v>234</v>
      </c>
      <c r="S8" s="770" t="s">
        <v>235</v>
      </c>
    </row>
    <row r="9" spans="1:19" ht="14.25" customHeight="1" thickBot="1">
      <c r="A9" s="776" t="s">
        <v>189</v>
      </c>
      <c r="B9" s="781" t="s">
        <v>202</v>
      </c>
      <c r="C9" s="782">
        <v>28140</v>
      </c>
      <c r="D9" s="782"/>
      <c r="E9" s="782"/>
      <c r="F9" s="783"/>
      <c r="G9" s="773"/>
      <c r="I9" s="770" t="s">
        <v>236</v>
      </c>
      <c r="J9" s="770" t="s">
        <v>237</v>
      </c>
      <c r="K9" s="770" t="s">
        <v>238</v>
      </c>
      <c r="L9" s="770" t="s">
        <v>239</v>
      </c>
      <c r="M9" s="770" t="s">
        <v>240</v>
      </c>
      <c r="N9" s="770" t="s">
        <v>241</v>
      </c>
      <c r="O9" s="770" t="s">
        <v>242</v>
      </c>
      <c r="P9" s="770" t="s">
        <v>243</v>
      </c>
      <c r="Q9" s="770" t="s">
        <v>244</v>
      </c>
      <c r="R9" s="770" t="s">
        <v>245</v>
      </c>
    </row>
    <row r="10" spans="1:19" ht="14.25" customHeight="1" thickBot="1">
      <c r="A10" s="776" t="s">
        <v>246</v>
      </c>
      <c r="B10" s="777" t="s">
        <v>247</v>
      </c>
      <c r="C10" s="777">
        <v>27450</v>
      </c>
      <c r="D10" s="777">
        <v>26180</v>
      </c>
      <c r="E10" s="777">
        <v>25980</v>
      </c>
      <c r="F10" s="778">
        <v>8910</v>
      </c>
      <c r="G10" s="773"/>
      <c r="I10" s="770" t="s">
        <v>248</v>
      </c>
      <c r="J10" s="770" t="s">
        <v>249</v>
      </c>
      <c r="K10" s="770" t="s">
        <v>250</v>
      </c>
      <c r="L10" s="770" t="s">
        <v>251</v>
      </c>
      <c r="M10" s="770" t="s">
        <v>252</v>
      </c>
      <c r="N10" s="770" t="s">
        <v>253</v>
      </c>
      <c r="O10" s="770" t="s">
        <v>254</v>
      </c>
      <c r="P10" s="770" t="s">
        <v>255</v>
      </c>
      <c r="Q10" s="770" t="s">
        <v>256</v>
      </c>
      <c r="R10" s="770" t="s">
        <v>257</v>
      </c>
    </row>
    <row r="11" spans="1:19" ht="14.25" customHeight="1" thickBot="1">
      <c r="A11" s="776" t="s">
        <v>246</v>
      </c>
      <c r="B11" s="780" t="s">
        <v>165</v>
      </c>
      <c r="C11" s="770">
        <v>22950</v>
      </c>
      <c r="D11" s="770">
        <v>22630</v>
      </c>
      <c r="E11" s="770">
        <v>22030</v>
      </c>
      <c r="F11" s="784">
        <v>8330</v>
      </c>
      <c r="G11" s="773"/>
      <c r="I11" s="770" t="s">
        <v>258</v>
      </c>
      <c r="J11" s="770" t="s">
        <v>259</v>
      </c>
      <c r="K11" s="770" t="s">
        <v>260</v>
      </c>
      <c r="L11" s="770" t="s">
        <v>261</v>
      </c>
      <c r="M11" s="770" t="s">
        <v>262</v>
      </c>
      <c r="N11" s="770" t="s">
        <v>263</v>
      </c>
      <c r="O11" s="770" t="s">
        <v>264</v>
      </c>
      <c r="P11" s="770" t="s">
        <v>265</v>
      </c>
      <c r="Q11" s="770" t="s">
        <v>266</v>
      </c>
      <c r="R11" s="770" t="s">
        <v>267</v>
      </c>
    </row>
    <row r="12" spans="1:19" ht="14.25" customHeight="1" thickBot="1">
      <c r="A12" s="776" t="s">
        <v>246</v>
      </c>
      <c r="B12" s="780" t="s">
        <v>115</v>
      </c>
      <c r="C12" s="770">
        <v>24940</v>
      </c>
      <c r="D12" s="770">
        <v>23180</v>
      </c>
      <c r="E12" s="770">
        <v>22910</v>
      </c>
      <c r="F12" s="784">
        <v>7180</v>
      </c>
      <c r="G12" s="773"/>
      <c r="I12" s="770" t="s">
        <v>268</v>
      </c>
      <c r="J12" s="770" t="s">
        <v>269</v>
      </c>
      <c r="K12" s="770" t="s">
        <v>270</v>
      </c>
      <c r="L12" s="770" t="s">
        <v>271</v>
      </c>
      <c r="M12" s="770" t="s">
        <v>272</v>
      </c>
      <c r="N12" s="770" t="s">
        <v>273</v>
      </c>
      <c r="O12" s="770" t="s">
        <v>274</v>
      </c>
      <c r="P12" s="770" t="s">
        <v>275</v>
      </c>
      <c r="Q12" s="770" t="s">
        <v>276</v>
      </c>
      <c r="R12" s="770" t="s">
        <v>277</v>
      </c>
    </row>
    <row r="13" spans="1:19" ht="14.25" customHeight="1" thickBot="1">
      <c r="A13" s="776" t="s">
        <v>246</v>
      </c>
      <c r="B13" s="780" t="s">
        <v>191</v>
      </c>
      <c r="C13" s="770">
        <v>24140</v>
      </c>
      <c r="D13" s="770">
        <v>22270</v>
      </c>
      <c r="E13" s="770">
        <v>21950</v>
      </c>
      <c r="F13" s="784">
        <v>7600</v>
      </c>
      <c r="G13" s="773"/>
      <c r="I13" s="770" t="s">
        <v>278</v>
      </c>
      <c r="J13" s="770" t="s">
        <v>279</v>
      </c>
      <c r="K13" s="770" t="s">
        <v>280</v>
      </c>
      <c r="L13" s="770" t="s">
        <v>281</v>
      </c>
      <c r="M13" s="770" t="s">
        <v>282</v>
      </c>
      <c r="N13" s="770" t="s">
        <v>283</v>
      </c>
      <c r="O13" s="770" t="s">
        <v>284</v>
      </c>
      <c r="P13" s="770" t="s">
        <v>285</v>
      </c>
      <c r="Q13" s="770" t="s">
        <v>286</v>
      </c>
      <c r="R13" s="770" t="s">
        <v>287</v>
      </c>
    </row>
    <row r="14" spans="1:19" ht="14.25" customHeight="1" thickBot="1">
      <c r="A14" s="776" t="s">
        <v>246</v>
      </c>
      <c r="B14" s="780" t="s">
        <v>203</v>
      </c>
      <c r="C14" s="770">
        <v>25600</v>
      </c>
      <c r="D14" s="770">
        <v>22260</v>
      </c>
      <c r="E14" s="770">
        <v>22110</v>
      </c>
      <c r="F14" s="784">
        <v>7630</v>
      </c>
      <c r="G14" s="773"/>
      <c r="I14" s="770" t="s">
        <v>288</v>
      </c>
      <c r="J14" s="770" t="s">
        <v>289</v>
      </c>
      <c r="K14" s="770" t="s">
        <v>290</v>
      </c>
      <c r="L14" s="770" t="s">
        <v>291</v>
      </c>
      <c r="M14" s="770" t="s">
        <v>292</v>
      </c>
      <c r="N14" s="770" t="s">
        <v>293</v>
      </c>
      <c r="O14" s="770" t="s">
        <v>294</v>
      </c>
      <c r="P14" s="770" t="s">
        <v>295</v>
      </c>
      <c r="Q14" s="770" t="s">
        <v>296</v>
      </c>
      <c r="R14" s="770" t="s">
        <v>297</v>
      </c>
    </row>
    <row r="15" spans="1:19" ht="14.25" customHeight="1" thickBot="1">
      <c r="A15" s="776" t="s">
        <v>246</v>
      </c>
      <c r="B15" s="780" t="s">
        <v>214</v>
      </c>
      <c r="C15" s="770">
        <v>24760</v>
      </c>
      <c r="D15" s="770">
        <v>24440</v>
      </c>
      <c r="E15" s="770">
        <v>24130</v>
      </c>
      <c r="F15" s="784">
        <v>9480</v>
      </c>
      <c r="G15" s="773"/>
      <c r="I15" s="770" t="s">
        <v>299</v>
      </c>
      <c r="J15" s="770" t="s">
        <v>300</v>
      </c>
      <c r="K15" s="770" t="s">
        <v>301</v>
      </c>
      <c r="L15" s="770" t="s">
        <v>302</v>
      </c>
      <c r="M15" s="770" t="s">
        <v>303</v>
      </c>
      <c r="N15" s="770" t="s">
        <v>304</v>
      </c>
      <c r="O15" s="770" t="s">
        <v>305</v>
      </c>
      <c r="P15" s="770" t="s">
        <v>306</v>
      </c>
      <c r="Q15" s="770" t="s">
        <v>307</v>
      </c>
      <c r="R15" s="770" t="s">
        <v>308</v>
      </c>
    </row>
    <row r="16" spans="1:19" ht="14.25" customHeight="1" thickBot="1">
      <c r="A16" s="776" t="s">
        <v>246</v>
      </c>
      <c r="B16" s="780" t="s">
        <v>225</v>
      </c>
      <c r="C16" s="770">
        <v>22220</v>
      </c>
      <c r="D16" s="770">
        <v>22310</v>
      </c>
      <c r="E16" s="770">
        <v>22000</v>
      </c>
      <c r="F16" s="784">
        <v>8900</v>
      </c>
      <c r="G16" s="773"/>
      <c r="I16" s="770" t="s">
        <v>310</v>
      </c>
      <c r="J16" s="770" t="s">
        <v>311</v>
      </c>
      <c r="K16" s="770" t="s">
        <v>312</v>
      </c>
      <c r="L16" s="770" t="s">
        <v>313</v>
      </c>
      <c r="M16" s="770" t="s">
        <v>314</v>
      </c>
      <c r="N16" s="770" t="s">
        <v>315</v>
      </c>
      <c r="O16" s="770" t="s">
        <v>316</v>
      </c>
      <c r="P16" s="770" t="s">
        <v>317</v>
      </c>
      <c r="Q16" s="770" t="s">
        <v>318</v>
      </c>
      <c r="R16" s="770" t="s">
        <v>319</v>
      </c>
    </row>
    <row r="17" spans="1:18" ht="14.25" customHeight="1" thickBot="1">
      <c r="A17" s="776" t="s">
        <v>246</v>
      </c>
      <c r="B17" s="780" t="s">
        <v>236</v>
      </c>
      <c r="C17" s="770">
        <v>24700</v>
      </c>
      <c r="D17" s="770">
        <v>25150</v>
      </c>
      <c r="E17" s="770">
        <v>24700</v>
      </c>
      <c r="F17" s="785"/>
      <c r="G17" s="773"/>
      <c r="I17" s="770" t="s">
        <v>320</v>
      </c>
      <c r="J17" s="770" t="s">
        <v>321</v>
      </c>
      <c r="K17" s="770" t="s">
        <v>322</v>
      </c>
      <c r="L17" s="770" t="s">
        <v>323</v>
      </c>
      <c r="M17" s="770" t="s">
        <v>324</v>
      </c>
      <c r="N17" s="770" t="s">
        <v>325</v>
      </c>
      <c r="O17" s="770" t="s">
        <v>326</v>
      </c>
      <c r="P17" s="770" t="s">
        <v>327</v>
      </c>
      <c r="Q17" s="770" t="s">
        <v>328</v>
      </c>
      <c r="R17" s="770" t="s">
        <v>329</v>
      </c>
    </row>
    <row r="18" spans="1:18" ht="14.25" customHeight="1" thickBot="1">
      <c r="A18" s="776" t="s">
        <v>246</v>
      </c>
      <c r="B18" s="780" t="s">
        <v>248</v>
      </c>
      <c r="C18" s="770">
        <v>22350</v>
      </c>
      <c r="D18" s="770">
        <v>24340</v>
      </c>
      <c r="E18" s="770">
        <v>24100</v>
      </c>
      <c r="F18" s="785"/>
      <c r="G18" s="773"/>
      <c r="I18" s="770" t="s">
        <v>330</v>
      </c>
      <c r="J18" s="770" t="s">
        <v>331</v>
      </c>
      <c r="K18" s="770" t="s">
        <v>332</v>
      </c>
      <c r="L18" s="770" t="s">
        <v>333</v>
      </c>
      <c r="M18" s="770" t="s">
        <v>334</v>
      </c>
      <c r="N18" s="770" t="s">
        <v>335</v>
      </c>
      <c r="O18" s="770" t="s">
        <v>336</v>
      </c>
      <c r="P18" s="770" t="s">
        <v>337</v>
      </c>
      <c r="Q18" s="770" t="s">
        <v>338</v>
      </c>
      <c r="R18" s="770" t="s">
        <v>339</v>
      </c>
    </row>
    <row r="19" spans="1:18" ht="14.25" customHeight="1" thickBot="1">
      <c r="A19" s="776" t="s">
        <v>246</v>
      </c>
      <c r="B19" s="780" t="s">
        <v>258</v>
      </c>
      <c r="C19" s="770">
        <v>23430</v>
      </c>
      <c r="D19" s="770">
        <v>21580</v>
      </c>
      <c r="E19" s="770">
        <v>21350</v>
      </c>
      <c r="F19" s="785"/>
      <c r="G19" s="773"/>
      <c r="I19" s="770" t="s">
        <v>340</v>
      </c>
      <c r="J19" s="770" t="s">
        <v>341</v>
      </c>
      <c r="K19" s="770" t="s">
        <v>342</v>
      </c>
      <c r="L19" s="770" t="s">
        <v>343</v>
      </c>
      <c r="M19" s="770" t="s">
        <v>344</v>
      </c>
      <c r="N19" s="770" t="s">
        <v>345</v>
      </c>
      <c r="O19" s="770" t="s">
        <v>346</v>
      </c>
      <c r="P19" s="770" t="s">
        <v>347</v>
      </c>
      <c r="Q19" s="770" t="s">
        <v>348</v>
      </c>
      <c r="R19" s="770" t="s">
        <v>349</v>
      </c>
    </row>
    <row r="20" spans="1:18" ht="14.25" customHeight="1" thickBot="1">
      <c r="A20" s="776" t="s">
        <v>246</v>
      </c>
      <c r="B20" s="780" t="s">
        <v>268</v>
      </c>
      <c r="C20" s="770">
        <v>27660</v>
      </c>
      <c r="D20" s="770">
        <v>24240</v>
      </c>
      <c r="E20" s="770">
        <v>24020</v>
      </c>
      <c r="F20" s="785"/>
      <c r="I20" s="770" t="s">
        <v>350</v>
      </c>
      <c r="J20" s="770" t="s">
        <v>351</v>
      </c>
      <c r="K20" s="770" t="s">
        <v>352</v>
      </c>
      <c r="L20" s="770" t="s">
        <v>353</v>
      </c>
      <c r="M20" s="770" t="s">
        <v>354</v>
      </c>
      <c r="N20" s="770" t="s">
        <v>355</v>
      </c>
      <c r="O20" s="770" t="s">
        <v>356</v>
      </c>
      <c r="P20" s="770" t="s">
        <v>357</v>
      </c>
      <c r="Q20" s="770" t="s">
        <v>358</v>
      </c>
      <c r="R20" s="770" t="s">
        <v>359</v>
      </c>
    </row>
    <row r="21" spans="1:18" ht="14.25" customHeight="1" thickBot="1">
      <c r="A21" s="776" t="s">
        <v>246</v>
      </c>
      <c r="B21" s="780" t="s">
        <v>278</v>
      </c>
      <c r="C21" s="770">
        <v>24720</v>
      </c>
      <c r="D21" s="770">
        <v>21670</v>
      </c>
      <c r="E21" s="770">
        <v>21510</v>
      </c>
      <c r="F21" s="785"/>
      <c r="J21" s="770" t="s">
        <v>360</v>
      </c>
      <c r="K21" s="770" t="s">
        <v>361</v>
      </c>
      <c r="L21" s="770" t="s">
        <v>362</v>
      </c>
      <c r="M21" s="770" t="s">
        <v>363</v>
      </c>
      <c r="N21" s="770" t="s">
        <v>364</v>
      </c>
      <c r="O21" s="770" t="s">
        <v>365</v>
      </c>
      <c r="P21" s="770" t="s">
        <v>366</v>
      </c>
      <c r="Q21" s="770" t="s">
        <v>367</v>
      </c>
      <c r="R21" s="770" t="s">
        <v>368</v>
      </c>
    </row>
    <row r="22" spans="1:18" ht="14.25" customHeight="1" thickBot="1">
      <c r="A22" s="776" t="s">
        <v>246</v>
      </c>
      <c r="B22" s="780" t="s">
        <v>369</v>
      </c>
      <c r="C22" s="770">
        <v>26530</v>
      </c>
      <c r="D22" s="770">
        <v>22980</v>
      </c>
      <c r="E22" s="770">
        <v>22650</v>
      </c>
      <c r="F22" s="785"/>
      <c r="K22" s="770" t="s">
        <v>370</v>
      </c>
      <c r="L22" s="770" t="s">
        <v>371</v>
      </c>
      <c r="M22" s="770" t="s">
        <v>372</v>
      </c>
      <c r="N22" s="770" t="s">
        <v>373</v>
      </c>
      <c r="O22" s="770" t="s">
        <v>374</v>
      </c>
      <c r="P22" s="770" t="s">
        <v>375</v>
      </c>
      <c r="Q22" s="770" t="s">
        <v>376</v>
      </c>
      <c r="R22" s="780" t="s">
        <v>377</v>
      </c>
    </row>
    <row r="23" spans="1:18" ht="14.25" customHeight="1" thickBot="1">
      <c r="A23" s="776" t="s">
        <v>246</v>
      </c>
      <c r="B23" s="780" t="s">
        <v>299</v>
      </c>
      <c r="C23" s="770">
        <v>24700</v>
      </c>
      <c r="D23" s="770">
        <v>27290</v>
      </c>
      <c r="E23" s="770">
        <v>26710</v>
      </c>
      <c r="F23" s="785"/>
      <c r="K23" s="770" t="s">
        <v>378</v>
      </c>
      <c r="L23" s="770" t="s">
        <v>379</v>
      </c>
      <c r="M23" s="770" t="s">
        <v>380</v>
      </c>
      <c r="N23" s="770" t="s">
        <v>381</v>
      </c>
      <c r="O23" s="770" t="s">
        <v>382</v>
      </c>
      <c r="P23" s="770" t="s">
        <v>383</v>
      </c>
      <c r="Q23" s="770" t="s">
        <v>384</v>
      </c>
    </row>
    <row r="24" spans="1:18" ht="14.25" customHeight="1" thickBot="1">
      <c r="A24" s="776" t="s">
        <v>246</v>
      </c>
      <c r="B24" s="780" t="s">
        <v>310</v>
      </c>
      <c r="C24" s="770">
        <v>23070</v>
      </c>
      <c r="D24" s="770">
        <v>24130</v>
      </c>
      <c r="E24" s="770">
        <v>23860</v>
      </c>
      <c r="F24" s="785"/>
      <c r="K24" s="770" t="s">
        <v>385</v>
      </c>
      <c r="L24" s="770" t="s">
        <v>386</v>
      </c>
      <c r="M24" s="770" t="s">
        <v>387</v>
      </c>
      <c r="N24" s="770" t="s">
        <v>388</v>
      </c>
      <c r="O24" s="770" t="s">
        <v>389</v>
      </c>
      <c r="P24" s="770" t="s">
        <v>390</v>
      </c>
      <c r="Q24" s="770" t="s">
        <v>391</v>
      </c>
    </row>
    <row r="25" spans="1:18" ht="14.25" customHeight="1" thickBot="1">
      <c r="A25" s="776" t="s">
        <v>246</v>
      </c>
      <c r="B25" s="780" t="s">
        <v>320</v>
      </c>
      <c r="C25" s="770">
        <v>27550</v>
      </c>
      <c r="D25" s="770">
        <v>25850</v>
      </c>
      <c r="E25" s="770">
        <v>25340</v>
      </c>
      <c r="F25" s="785"/>
      <c r="K25" s="770" t="s">
        <v>392</v>
      </c>
      <c r="L25" s="770" t="s">
        <v>393</v>
      </c>
      <c r="M25" s="770" t="s">
        <v>394</v>
      </c>
      <c r="N25" s="770" t="s">
        <v>395</v>
      </c>
      <c r="O25" s="770" t="s">
        <v>396</v>
      </c>
      <c r="P25" s="770" t="s">
        <v>397</v>
      </c>
      <c r="Q25" s="770" t="s">
        <v>398</v>
      </c>
    </row>
    <row r="26" spans="1:18" ht="14.25" customHeight="1" thickBot="1">
      <c r="A26" s="776" t="s">
        <v>246</v>
      </c>
      <c r="B26" s="780" t="s">
        <v>330</v>
      </c>
      <c r="C26" s="770"/>
      <c r="D26" s="770">
        <v>23900</v>
      </c>
      <c r="E26" s="770">
        <v>23590</v>
      </c>
      <c r="F26" s="785"/>
      <c r="K26" s="770" t="s">
        <v>399</v>
      </c>
      <c r="L26" s="770" t="s">
        <v>400</v>
      </c>
      <c r="M26" s="770" t="s">
        <v>401</v>
      </c>
      <c r="N26" s="770" t="s">
        <v>402</v>
      </c>
      <c r="O26" s="770" t="s">
        <v>403</v>
      </c>
      <c r="P26" s="770" t="s">
        <v>404</v>
      </c>
      <c r="Q26" s="770" t="s">
        <v>405</v>
      </c>
    </row>
    <row r="27" spans="1:18" ht="14.25" customHeight="1" thickBot="1">
      <c r="A27" s="776" t="s">
        <v>246</v>
      </c>
      <c r="B27" s="780" t="s">
        <v>340</v>
      </c>
      <c r="C27" s="770"/>
      <c r="D27" s="770">
        <v>22850</v>
      </c>
      <c r="E27" s="770">
        <v>21920</v>
      </c>
      <c r="F27" s="785"/>
      <c r="K27" s="770" t="s">
        <v>406</v>
      </c>
      <c r="L27" s="770" t="s">
        <v>407</v>
      </c>
      <c r="M27" s="770" t="s">
        <v>408</v>
      </c>
      <c r="N27" s="770" t="s">
        <v>409</v>
      </c>
      <c r="O27" s="770" t="s">
        <v>410</v>
      </c>
      <c r="P27" s="770" t="s">
        <v>411</v>
      </c>
      <c r="Q27" s="770" t="s">
        <v>412</v>
      </c>
    </row>
    <row r="28" spans="1:18" ht="14.25" customHeight="1" thickBot="1">
      <c r="A28" s="786" t="s">
        <v>246</v>
      </c>
      <c r="B28" s="781" t="s">
        <v>350</v>
      </c>
      <c r="C28" s="782"/>
      <c r="D28" s="782">
        <v>26610</v>
      </c>
      <c r="E28" s="782">
        <v>26370</v>
      </c>
      <c r="F28" s="783"/>
      <c r="K28" s="770" t="s">
        <v>413</v>
      </c>
      <c r="L28" s="770" t="s">
        <v>414</v>
      </c>
      <c r="M28" s="770" t="s">
        <v>415</v>
      </c>
      <c r="N28" s="770" t="s">
        <v>416</v>
      </c>
      <c r="O28" s="770" t="s">
        <v>417</v>
      </c>
      <c r="P28" s="770" t="s">
        <v>418</v>
      </c>
    </row>
    <row r="29" spans="1:18" ht="14.25" customHeight="1" thickBot="1">
      <c r="A29" s="776" t="s">
        <v>419</v>
      </c>
      <c r="B29" s="777" t="s">
        <v>420</v>
      </c>
      <c r="C29" s="777">
        <v>22090</v>
      </c>
      <c r="D29" s="777">
        <v>21860</v>
      </c>
      <c r="E29" s="777">
        <v>19380</v>
      </c>
      <c r="F29" s="778">
        <v>6610</v>
      </c>
      <c r="L29" s="770" t="s">
        <v>421</v>
      </c>
      <c r="M29" s="770" t="s">
        <v>422</v>
      </c>
      <c r="N29" s="770" t="s">
        <v>423</v>
      </c>
      <c r="O29" s="770" t="s">
        <v>424</v>
      </c>
      <c r="P29" s="770" t="s">
        <v>425</v>
      </c>
    </row>
    <row r="30" spans="1:18" ht="14.25" customHeight="1" thickBot="1">
      <c r="A30" s="776" t="s">
        <v>419</v>
      </c>
      <c r="B30" s="780" t="s">
        <v>166</v>
      </c>
      <c r="C30" s="770">
        <v>21380</v>
      </c>
      <c r="D30" s="770">
        <v>19930</v>
      </c>
      <c r="E30" s="770">
        <v>19860</v>
      </c>
      <c r="F30" s="784">
        <v>6010</v>
      </c>
      <c r="L30" s="770" t="s">
        <v>426</v>
      </c>
      <c r="M30" s="770" t="s">
        <v>427</v>
      </c>
      <c r="N30" s="770" t="s">
        <v>428</v>
      </c>
      <c r="O30" s="770" t="s">
        <v>998</v>
      </c>
      <c r="P30" s="770" t="s">
        <v>429</v>
      </c>
    </row>
    <row r="31" spans="1:18" ht="14.25" customHeight="1" thickBot="1">
      <c r="A31" s="776" t="s">
        <v>419</v>
      </c>
      <c r="B31" s="780" t="s">
        <v>179</v>
      </c>
      <c r="C31" s="770">
        <v>21670</v>
      </c>
      <c r="D31" s="770">
        <v>20660</v>
      </c>
      <c r="E31" s="770">
        <v>20290</v>
      </c>
      <c r="F31" s="784">
        <v>5840</v>
      </c>
      <c r="L31" s="770" t="s">
        <v>430</v>
      </c>
      <c r="M31" s="770" t="s">
        <v>431</v>
      </c>
      <c r="N31" s="770" t="s">
        <v>432</v>
      </c>
      <c r="O31" s="770" t="s">
        <v>433</v>
      </c>
      <c r="P31" s="770" t="s">
        <v>434</v>
      </c>
    </row>
    <row r="32" spans="1:18" ht="14.25" customHeight="1" thickBot="1">
      <c r="A32" s="776" t="s">
        <v>419</v>
      </c>
      <c r="B32" s="780" t="s">
        <v>192</v>
      </c>
      <c r="C32" s="770">
        <v>22280</v>
      </c>
      <c r="D32" s="770">
        <v>21800</v>
      </c>
      <c r="E32" s="770">
        <v>17650</v>
      </c>
      <c r="F32" s="784">
        <v>4690</v>
      </c>
      <c r="L32" s="770" t="s">
        <v>435</v>
      </c>
      <c r="M32" s="770" t="s">
        <v>436</v>
      </c>
      <c r="N32" s="770" t="s">
        <v>437</v>
      </c>
      <c r="O32" s="770" t="s">
        <v>438</v>
      </c>
      <c r="P32" s="770" t="s">
        <v>439</v>
      </c>
    </row>
    <row r="33" spans="1:16" ht="14.25" customHeight="1" thickBot="1">
      <c r="A33" s="776" t="s">
        <v>419</v>
      </c>
      <c r="B33" s="780" t="s">
        <v>204</v>
      </c>
      <c r="C33" s="770">
        <v>22130</v>
      </c>
      <c r="D33" s="770">
        <v>20460</v>
      </c>
      <c r="E33" s="770">
        <v>18500</v>
      </c>
      <c r="F33" s="784">
        <v>5340</v>
      </c>
      <c r="L33" s="770" t="s">
        <v>440</v>
      </c>
      <c r="M33" s="770" t="s">
        <v>441</v>
      </c>
      <c r="N33" s="770" t="s">
        <v>442</v>
      </c>
      <c r="O33" s="770" t="s">
        <v>443</v>
      </c>
      <c r="P33" s="770" t="s">
        <v>444</v>
      </c>
    </row>
    <row r="34" spans="1:16" ht="14.25" customHeight="1" thickBot="1">
      <c r="A34" s="776" t="s">
        <v>419</v>
      </c>
      <c r="B34" s="780" t="s">
        <v>215</v>
      </c>
      <c r="C34" s="770">
        <v>22070</v>
      </c>
      <c r="D34" s="770">
        <v>20110</v>
      </c>
      <c r="E34" s="770">
        <v>18830</v>
      </c>
      <c r="F34" s="784">
        <v>5190</v>
      </c>
      <c r="L34" s="770" t="s">
        <v>445</v>
      </c>
      <c r="M34" s="770" t="s">
        <v>446</v>
      </c>
      <c r="N34" s="770" t="s">
        <v>447</v>
      </c>
      <c r="O34" s="770" t="s">
        <v>448</v>
      </c>
      <c r="P34" s="770" t="s">
        <v>449</v>
      </c>
    </row>
    <row r="35" spans="1:16" ht="14.25" customHeight="1" thickBot="1">
      <c r="A35" s="776" t="s">
        <v>419</v>
      </c>
      <c r="B35" s="780" t="s">
        <v>226</v>
      </c>
      <c r="C35" s="770">
        <v>22240</v>
      </c>
      <c r="D35" s="770">
        <v>19550</v>
      </c>
      <c r="E35" s="770">
        <v>19220</v>
      </c>
      <c r="F35" s="784">
        <v>5800</v>
      </c>
      <c r="L35" s="770" t="s">
        <v>450</v>
      </c>
      <c r="M35" s="770" t="s">
        <v>451</v>
      </c>
      <c r="N35" s="770" t="s">
        <v>452</v>
      </c>
      <c r="O35" s="770" t="s">
        <v>453</v>
      </c>
      <c r="P35" s="770" t="s">
        <v>454</v>
      </c>
    </row>
    <row r="36" spans="1:16" ht="14.25" customHeight="1" thickBot="1">
      <c r="A36" s="776" t="s">
        <v>419</v>
      </c>
      <c r="B36" s="780" t="s">
        <v>237</v>
      </c>
      <c r="C36" s="770">
        <v>19750</v>
      </c>
      <c r="D36" s="770">
        <v>19790</v>
      </c>
      <c r="E36" s="770">
        <v>18510</v>
      </c>
      <c r="F36" s="784">
        <v>6520</v>
      </c>
      <c r="M36" s="770" t="s">
        <v>455</v>
      </c>
      <c r="N36" s="770" t="s">
        <v>456</v>
      </c>
      <c r="O36" s="770" t="s">
        <v>457</v>
      </c>
      <c r="P36" s="770" t="s">
        <v>458</v>
      </c>
    </row>
    <row r="37" spans="1:16" ht="14.25" customHeight="1" thickBot="1">
      <c r="A37" s="776" t="s">
        <v>419</v>
      </c>
      <c r="B37" s="780" t="s">
        <v>249</v>
      </c>
      <c r="C37" s="770">
        <v>22380</v>
      </c>
      <c r="D37" s="770">
        <v>18530</v>
      </c>
      <c r="E37" s="770">
        <v>17930</v>
      </c>
      <c r="F37" s="784">
        <v>6270</v>
      </c>
      <c r="M37" s="770" t="s">
        <v>459</v>
      </c>
      <c r="N37" s="770" t="s">
        <v>460</v>
      </c>
      <c r="O37" s="770" t="s">
        <v>461</v>
      </c>
      <c r="P37" s="770" t="s">
        <v>462</v>
      </c>
    </row>
    <row r="38" spans="1:16" ht="14.25" customHeight="1" thickBot="1">
      <c r="A38" s="776" t="s">
        <v>419</v>
      </c>
      <c r="B38" s="780" t="s">
        <v>259</v>
      </c>
      <c r="C38" s="770">
        <v>20200</v>
      </c>
      <c r="D38" s="770">
        <v>20070</v>
      </c>
      <c r="E38" s="770">
        <v>19950</v>
      </c>
      <c r="F38" s="784"/>
      <c r="M38" s="770" t="s">
        <v>463</v>
      </c>
      <c r="N38" s="770" t="s">
        <v>464</v>
      </c>
      <c r="O38" s="770" t="s">
        <v>465</v>
      </c>
      <c r="P38" s="770" t="s">
        <v>466</v>
      </c>
    </row>
    <row r="39" spans="1:16" ht="14.25" customHeight="1" thickBot="1">
      <c r="A39" s="776" t="s">
        <v>419</v>
      </c>
      <c r="B39" s="780" t="s">
        <v>269</v>
      </c>
      <c r="C39" s="770">
        <v>19300</v>
      </c>
      <c r="D39" s="770">
        <v>20360</v>
      </c>
      <c r="E39" s="770">
        <v>20230</v>
      </c>
      <c r="F39" s="784"/>
      <c r="M39" s="770" t="s">
        <v>467</v>
      </c>
      <c r="N39" s="770" t="s">
        <v>468</v>
      </c>
      <c r="O39" s="770" t="s">
        <v>469</v>
      </c>
      <c r="P39" s="770" t="s">
        <v>470</v>
      </c>
    </row>
    <row r="40" spans="1:16" ht="14.25" customHeight="1" thickBot="1">
      <c r="A40" s="776" t="s">
        <v>419</v>
      </c>
      <c r="B40" s="780" t="s">
        <v>279</v>
      </c>
      <c r="C40" s="770">
        <v>20210</v>
      </c>
      <c r="D40" s="770">
        <v>19060</v>
      </c>
      <c r="E40" s="770">
        <v>18890</v>
      </c>
      <c r="F40" s="784"/>
      <c r="M40" s="770" t="s">
        <v>471</v>
      </c>
      <c r="N40" s="770" t="s">
        <v>472</v>
      </c>
      <c r="O40" s="770" t="s">
        <v>473</v>
      </c>
      <c r="P40" s="770" t="s">
        <v>474</v>
      </c>
    </row>
    <row r="41" spans="1:16" ht="14.25" customHeight="1" thickBot="1">
      <c r="A41" s="776" t="s">
        <v>419</v>
      </c>
      <c r="B41" s="780" t="s">
        <v>289</v>
      </c>
      <c r="C41" s="770">
        <v>20560</v>
      </c>
      <c r="D41" s="770">
        <v>21040</v>
      </c>
      <c r="E41" s="770">
        <v>20740</v>
      </c>
      <c r="F41" s="784"/>
      <c r="M41" s="780" t="s">
        <v>475</v>
      </c>
      <c r="N41" s="780" t="s">
        <v>476</v>
      </c>
      <c r="P41" s="780" t="s">
        <v>477</v>
      </c>
    </row>
    <row r="42" spans="1:16" ht="14.25" customHeight="1" thickBot="1">
      <c r="A42" s="776" t="s">
        <v>419</v>
      </c>
      <c r="B42" s="780" t="s">
        <v>300</v>
      </c>
      <c r="C42" s="770">
        <v>19280</v>
      </c>
      <c r="D42" s="770">
        <v>22940</v>
      </c>
      <c r="E42" s="770">
        <v>22500</v>
      </c>
      <c r="F42" s="784"/>
      <c r="M42" s="770" t="s">
        <v>478</v>
      </c>
      <c r="N42" s="770" t="s">
        <v>479</v>
      </c>
      <c r="P42" s="770" t="s">
        <v>480</v>
      </c>
    </row>
    <row r="43" spans="1:16" ht="14.25" customHeight="1" thickBot="1">
      <c r="A43" s="776" t="s">
        <v>419</v>
      </c>
      <c r="B43" s="780" t="s">
        <v>311</v>
      </c>
      <c r="C43" s="770">
        <v>21520</v>
      </c>
      <c r="D43" s="770">
        <v>19230</v>
      </c>
      <c r="E43" s="770">
        <v>18540</v>
      </c>
      <c r="F43" s="784"/>
      <c r="M43" s="770" t="s">
        <v>481</v>
      </c>
      <c r="N43" s="770" t="s">
        <v>482</v>
      </c>
      <c r="P43" s="770" t="s">
        <v>483</v>
      </c>
    </row>
    <row r="44" spans="1:16" ht="14.25" customHeight="1" thickBot="1">
      <c r="A44" s="776" t="s">
        <v>419</v>
      </c>
      <c r="B44" s="780" t="s">
        <v>321</v>
      </c>
      <c r="C44" s="770">
        <v>23260</v>
      </c>
      <c r="D44" s="770">
        <v>21180</v>
      </c>
      <c r="E44" s="770">
        <v>20730</v>
      </c>
      <c r="F44" s="784"/>
      <c r="M44" s="770" t="s">
        <v>484</v>
      </c>
      <c r="N44" s="770" t="s">
        <v>485</v>
      </c>
      <c r="P44" s="770" t="s">
        <v>486</v>
      </c>
    </row>
    <row r="45" spans="1:16" ht="14.25" customHeight="1" thickBot="1">
      <c r="A45" s="776" t="s">
        <v>419</v>
      </c>
      <c r="B45" s="780" t="s">
        <v>331</v>
      </c>
      <c r="C45" s="770">
        <v>19610</v>
      </c>
      <c r="D45" s="770">
        <v>18090</v>
      </c>
      <c r="E45" s="770">
        <v>17970</v>
      </c>
      <c r="F45" s="784"/>
      <c r="M45" s="770" t="s">
        <v>487</v>
      </c>
      <c r="N45" s="770" t="s">
        <v>488</v>
      </c>
      <c r="P45" s="770" t="s">
        <v>489</v>
      </c>
    </row>
    <row r="46" spans="1:16" ht="14.25" customHeight="1" thickBot="1">
      <c r="A46" s="776" t="s">
        <v>419</v>
      </c>
      <c r="B46" s="780" t="s">
        <v>341</v>
      </c>
      <c r="C46" s="770">
        <v>21660</v>
      </c>
      <c r="D46" s="770">
        <v>19190</v>
      </c>
      <c r="E46" s="770">
        <v>19790</v>
      </c>
      <c r="F46" s="784"/>
      <c r="M46" s="770" t="s">
        <v>490</v>
      </c>
      <c r="N46" s="770" t="s">
        <v>491</v>
      </c>
      <c r="P46" s="770" t="s">
        <v>492</v>
      </c>
    </row>
    <row r="47" spans="1:16" ht="14.25" customHeight="1" thickBot="1">
      <c r="A47" s="776" t="s">
        <v>419</v>
      </c>
      <c r="B47" s="780" t="s">
        <v>351</v>
      </c>
      <c r="C47" s="770">
        <v>18220</v>
      </c>
      <c r="D47" s="770"/>
      <c r="E47" s="770">
        <v>17220</v>
      </c>
      <c r="F47" s="784"/>
      <c r="M47" s="770" t="s">
        <v>493</v>
      </c>
      <c r="N47" s="770" t="s">
        <v>494</v>
      </c>
    </row>
    <row r="48" spans="1:16" ht="14.25" customHeight="1" thickBot="1">
      <c r="A48" s="776" t="s">
        <v>419</v>
      </c>
      <c r="B48" s="781" t="s">
        <v>360</v>
      </c>
      <c r="C48" s="782">
        <v>19430</v>
      </c>
      <c r="D48" s="782"/>
      <c r="E48" s="782">
        <v>17830</v>
      </c>
      <c r="F48" s="787"/>
      <c r="M48" s="770" t="s">
        <v>495</v>
      </c>
      <c r="N48" s="770" t="s">
        <v>496</v>
      </c>
    </row>
    <row r="49" spans="1:14" ht="14.25" customHeight="1" thickBot="1">
      <c r="A49" s="776" t="s">
        <v>114</v>
      </c>
      <c r="B49" s="777" t="s">
        <v>497</v>
      </c>
      <c r="C49" s="777">
        <v>17090</v>
      </c>
      <c r="D49" s="777">
        <v>16950</v>
      </c>
      <c r="E49" s="777">
        <v>16310</v>
      </c>
      <c r="F49" s="778">
        <v>4540</v>
      </c>
      <c r="M49" s="770" t="s">
        <v>498</v>
      </c>
      <c r="N49" s="770" t="s">
        <v>499</v>
      </c>
    </row>
    <row r="50" spans="1:14" ht="14.25" customHeight="1" thickBot="1">
      <c r="A50" s="776" t="s">
        <v>114</v>
      </c>
      <c r="B50" s="770" t="s">
        <v>167</v>
      </c>
      <c r="C50" s="770">
        <v>19040</v>
      </c>
      <c r="D50" s="770">
        <v>16960</v>
      </c>
      <c r="E50" s="770">
        <v>14800</v>
      </c>
      <c r="F50" s="784">
        <v>3940</v>
      </c>
    </row>
    <row r="51" spans="1:14" ht="14.25" customHeight="1" thickBot="1">
      <c r="A51" s="776" t="s">
        <v>114</v>
      </c>
      <c r="B51" s="770" t="s">
        <v>180</v>
      </c>
      <c r="C51" s="770">
        <v>17040</v>
      </c>
      <c r="D51" s="770">
        <v>16930</v>
      </c>
      <c r="E51" s="770">
        <v>15030</v>
      </c>
      <c r="F51" s="784">
        <v>4120</v>
      </c>
    </row>
    <row r="52" spans="1:14" ht="14.25" customHeight="1" thickBot="1">
      <c r="A52" s="776" t="s">
        <v>114</v>
      </c>
      <c r="B52" s="770" t="s">
        <v>193</v>
      </c>
      <c r="C52" s="770">
        <v>17110</v>
      </c>
      <c r="D52" s="770">
        <v>17750</v>
      </c>
      <c r="E52" s="770">
        <v>17310</v>
      </c>
      <c r="F52" s="784">
        <v>3220</v>
      </c>
    </row>
    <row r="53" spans="1:14" ht="14.25" customHeight="1" thickBot="1">
      <c r="A53" s="776" t="s">
        <v>114</v>
      </c>
      <c r="B53" s="770" t="s">
        <v>205</v>
      </c>
      <c r="C53" s="770">
        <v>17810</v>
      </c>
      <c r="D53" s="770">
        <v>17260</v>
      </c>
      <c r="E53" s="770">
        <v>17090</v>
      </c>
      <c r="F53" s="784">
        <v>3520</v>
      </c>
    </row>
    <row r="54" spans="1:14" ht="14.25" customHeight="1" thickBot="1">
      <c r="A54" s="776" t="s">
        <v>114</v>
      </c>
      <c r="B54" s="770" t="s">
        <v>216</v>
      </c>
      <c r="C54" s="770">
        <v>17410</v>
      </c>
      <c r="D54" s="770">
        <v>16780</v>
      </c>
      <c r="E54" s="770">
        <v>16370</v>
      </c>
      <c r="F54" s="784">
        <v>3410</v>
      </c>
    </row>
    <row r="55" spans="1:14" ht="14.25" customHeight="1" thickBot="1">
      <c r="A55" s="776" t="s">
        <v>114</v>
      </c>
      <c r="B55" s="770" t="s">
        <v>227</v>
      </c>
      <c r="C55" s="770">
        <v>16930</v>
      </c>
      <c r="D55" s="770">
        <v>14720</v>
      </c>
      <c r="E55" s="770">
        <v>15000</v>
      </c>
      <c r="F55" s="784">
        <v>3710</v>
      </c>
    </row>
    <row r="56" spans="1:14" ht="14.25" customHeight="1" thickBot="1">
      <c r="A56" s="776" t="s">
        <v>114</v>
      </c>
      <c r="B56" s="770" t="s">
        <v>238</v>
      </c>
      <c r="C56" s="770">
        <v>14930</v>
      </c>
      <c r="D56" s="770">
        <v>15850</v>
      </c>
      <c r="E56" s="770">
        <v>14320</v>
      </c>
      <c r="F56" s="784">
        <v>3960</v>
      </c>
    </row>
    <row r="57" spans="1:14" ht="14.25" customHeight="1" thickBot="1">
      <c r="A57" s="776" t="s">
        <v>114</v>
      </c>
      <c r="B57" s="770" t="s">
        <v>250</v>
      </c>
      <c r="C57" s="770">
        <v>16160</v>
      </c>
      <c r="D57" s="770">
        <v>16190</v>
      </c>
      <c r="E57" s="770">
        <v>15650</v>
      </c>
      <c r="F57" s="784">
        <v>4200</v>
      </c>
    </row>
    <row r="58" spans="1:14" ht="14.25" customHeight="1" thickBot="1">
      <c r="A58" s="776" t="s">
        <v>114</v>
      </c>
      <c r="B58" s="770" t="s">
        <v>260</v>
      </c>
      <c r="C58" s="770">
        <v>16360</v>
      </c>
      <c r="D58" s="770">
        <v>14050</v>
      </c>
      <c r="E58" s="770">
        <v>16070</v>
      </c>
      <c r="F58" s="784">
        <v>3990</v>
      </c>
    </row>
    <row r="59" spans="1:14" ht="14.25" customHeight="1" thickBot="1">
      <c r="A59" s="776" t="s">
        <v>114</v>
      </c>
      <c r="B59" s="770" t="s">
        <v>270</v>
      </c>
      <c r="C59" s="770">
        <v>14160</v>
      </c>
      <c r="D59" s="770">
        <v>16620</v>
      </c>
      <c r="E59" s="770">
        <v>13940</v>
      </c>
      <c r="F59" s="784">
        <v>4260</v>
      </c>
    </row>
    <row r="60" spans="1:14" ht="14.25" customHeight="1" thickBot="1">
      <c r="A60" s="776" t="s">
        <v>114</v>
      </c>
      <c r="B60" s="770" t="s">
        <v>280</v>
      </c>
      <c r="C60" s="770">
        <v>16750</v>
      </c>
      <c r="D60" s="770">
        <v>13910</v>
      </c>
      <c r="E60" s="770">
        <v>16550</v>
      </c>
      <c r="F60" s="784">
        <v>4550</v>
      </c>
    </row>
    <row r="61" spans="1:14" ht="14.25" customHeight="1" thickBot="1">
      <c r="A61" s="776" t="s">
        <v>114</v>
      </c>
      <c r="B61" s="770" t="s">
        <v>290</v>
      </c>
      <c r="C61" s="770">
        <v>14000</v>
      </c>
      <c r="D61" s="770">
        <v>14550</v>
      </c>
      <c r="E61" s="770">
        <v>13860</v>
      </c>
      <c r="F61" s="788"/>
    </row>
    <row r="62" spans="1:14" ht="14.25" customHeight="1" thickBot="1">
      <c r="A62" s="776" t="s">
        <v>114</v>
      </c>
      <c r="B62" s="770" t="s">
        <v>301</v>
      </c>
      <c r="C62" s="770">
        <v>14660</v>
      </c>
      <c r="D62" s="770">
        <v>17450</v>
      </c>
      <c r="E62" s="770">
        <v>14470</v>
      </c>
      <c r="F62" s="788"/>
    </row>
    <row r="63" spans="1:14" ht="14.25" customHeight="1" thickBot="1">
      <c r="A63" s="776" t="s">
        <v>114</v>
      </c>
      <c r="B63" s="770" t="s">
        <v>312</v>
      </c>
      <c r="C63" s="770">
        <v>17610</v>
      </c>
      <c r="D63" s="770">
        <v>16500</v>
      </c>
      <c r="E63" s="770">
        <v>17330</v>
      </c>
      <c r="F63" s="788"/>
    </row>
    <row r="64" spans="1:14" ht="14.25" customHeight="1" thickBot="1">
      <c r="A64" s="776" t="s">
        <v>114</v>
      </c>
      <c r="B64" s="770" t="s">
        <v>322</v>
      </c>
      <c r="C64" s="770">
        <v>16590</v>
      </c>
      <c r="D64" s="770">
        <v>15130</v>
      </c>
      <c r="E64" s="770">
        <v>16420</v>
      </c>
      <c r="F64" s="788"/>
    </row>
    <row r="65" spans="1:6" s="764" customFormat="1" ht="14.25" customHeight="1" thickBot="1">
      <c r="A65" s="776" t="s">
        <v>114</v>
      </c>
      <c r="B65" s="770" t="s">
        <v>332</v>
      </c>
      <c r="C65" s="770">
        <v>15220</v>
      </c>
      <c r="D65" s="770">
        <v>14660</v>
      </c>
      <c r="E65" s="770">
        <v>15060</v>
      </c>
      <c r="F65" s="784"/>
    </row>
    <row r="66" spans="1:6" s="764" customFormat="1" ht="14.25" customHeight="1" thickBot="1">
      <c r="A66" s="776" t="s">
        <v>114</v>
      </c>
      <c r="B66" s="770" t="s">
        <v>342</v>
      </c>
      <c r="C66" s="770">
        <v>14720</v>
      </c>
      <c r="D66" s="770">
        <v>15970</v>
      </c>
      <c r="E66" s="770">
        <v>14610</v>
      </c>
      <c r="F66" s="784"/>
    </row>
    <row r="67" spans="1:6" s="764" customFormat="1" ht="14.25" customHeight="1" thickBot="1">
      <c r="A67" s="776" t="s">
        <v>114</v>
      </c>
      <c r="B67" s="770" t="s">
        <v>352</v>
      </c>
      <c r="C67" s="770">
        <v>16080</v>
      </c>
      <c r="D67" s="770">
        <v>14840</v>
      </c>
      <c r="E67" s="770">
        <v>15630</v>
      </c>
      <c r="F67" s="784"/>
    </row>
    <row r="68" spans="1:6" s="764" customFormat="1" ht="14.25" customHeight="1" thickBot="1">
      <c r="A68" s="776" t="s">
        <v>114</v>
      </c>
      <c r="B68" s="770" t="s">
        <v>361</v>
      </c>
      <c r="C68" s="770">
        <v>14940</v>
      </c>
      <c r="D68" s="770">
        <v>18000</v>
      </c>
      <c r="E68" s="770">
        <v>14040</v>
      </c>
      <c r="F68" s="784"/>
    </row>
    <row r="69" spans="1:6" s="764" customFormat="1" ht="14.25" customHeight="1" thickBot="1">
      <c r="A69" s="776" t="s">
        <v>114</v>
      </c>
      <c r="B69" s="770" t="s">
        <v>370</v>
      </c>
      <c r="C69" s="770">
        <v>18810</v>
      </c>
      <c r="D69" s="770">
        <v>15100</v>
      </c>
      <c r="E69" s="770">
        <v>14710</v>
      </c>
      <c r="F69" s="784"/>
    </row>
    <row r="70" spans="1:6" s="764" customFormat="1" ht="14.25" customHeight="1" thickBot="1">
      <c r="A70" s="776" t="s">
        <v>114</v>
      </c>
      <c r="B70" s="770" t="s">
        <v>378</v>
      </c>
      <c r="C70" s="770">
        <v>18270</v>
      </c>
      <c r="D70" s="770"/>
      <c r="E70" s="770"/>
      <c r="F70" s="784"/>
    </row>
    <row r="71" spans="1:6" s="764" customFormat="1" ht="14.25" customHeight="1" thickBot="1">
      <c r="A71" s="776" t="s">
        <v>114</v>
      </c>
      <c r="B71" s="770" t="s">
        <v>385</v>
      </c>
      <c r="C71" s="770">
        <v>15230</v>
      </c>
      <c r="D71" s="770"/>
      <c r="E71" s="770"/>
      <c r="F71" s="784"/>
    </row>
    <row r="72" spans="1:6" s="764" customFormat="1" ht="14.25" customHeight="1" thickBot="1">
      <c r="A72" s="776" t="s">
        <v>114</v>
      </c>
      <c r="B72" s="770" t="s">
        <v>392</v>
      </c>
      <c r="C72" s="770"/>
      <c r="D72" s="770"/>
      <c r="E72" s="770"/>
      <c r="F72" s="784">
        <v>4120</v>
      </c>
    </row>
    <row r="73" spans="1:6" s="764" customFormat="1" ht="14.25" customHeight="1" thickBot="1">
      <c r="A73" s="776" t="s">
        <v>114</v>
      </c>
      <c r="B73" s="770" t="s">
        <v>399</v>
      </c>
      <c r="C73" s="770"/>
      <c r="D73" s="770"/>
      <c r="E73" s="770"/>
      <c r="F73" s="784">
        <v>3930</v>
      </c>
    </row>
    <row r="74" spans="1:6" s="764" customFormat="1" ht="14.25" customHeight="1" thickBot="1">
      <c r="A74" s="776" t="s">
        <v>114</v>
      </c>
      <c r="B74" s="770" t="s">
        <v>406</v>
      </c>
      <c r="C74" s="770"/>
      <c r="D74" s="770"/>
      <c r="E74" s="770"/>
      <c r="F74" s="784">
        <v>4060</v>
      </c>
    </row>
    <row r="75" spans="1:6" s="764" customFormat="1" ht="14.25" customHeight="1" thickBot="1">
      <c r="A75" s="776" t="s">
        <v>114</v>
      </c>
      <c r="B75" s="782" t="s">
        <v>413</v>
      </c>
      <c r="C75" s="782"/>
      <c r="D75" s="782"/>
      <c r="E75" s="782"/>
      <c r="F75" s="787">
        <v>3750</v>
      </c>
    </row>
    <row r="76" spans="1:6" s="764" customFormat="1" ht="14.25" customHeight="1" thickBot="1">
      <c r="A76" s="776" t="s">
        <v>500</v>
      </c>
      <c r="B76" s="777" t="s">
        <v>501</v>
      </c>
      <c r="C76" s="777">
        <v>14690</v>
      </c>
      <c r="D76" s="777">
        <v>14640</v>
      </c>
      <c r="E76" s="777">
        <v>14590</v>
      </c>
      <c r="F76" s="778">
        <v>3060</v>
      </c>
    </row>
    <row r="77" spans="1:6" s="764" customFormat="1" ht="14.25" customHeight="1" thickBot="1">
      <c r="A77" s="776" t="s">
        <v>500</v>
      </c>
      <c r="B77" s="770" t="s">
        <v>168</v>
      </c>
      <c r="C77" s="770">
        <v>12550</v>
      </c>
      <c r="D77" s="770">
        <v>12480</v>
      </c>
      <c r="E77" s="770">
        <v>12450</v>
      </c>
      <c r="F77" s="784">
        <v>2590</v>
      </c>
    </row>
    <row r="78" spans="1:6" s="764" customFormat="1" ht="14.25" customHeight="1" thickBot="1">
      <c r="A78" s="776" t="s">
        <v>500</v>
      </c>
      <c r="B78" s="770" t="s">
        <v>181</v>
      </c>
      <c r="C78" s="770">
        <v>14360</v>
      </c>
      <c r="D78" s="770">
        <v>14320</v>
      </c>
      <c r="E78" s="770">
        <v>12510</v>
      </c>
      <c r="F78" s="784">
        <v>2700</v>
      </c>
    </row>
    <row r="79" spans="1:6" s="764" customFormat="1" ht="14.25" customHeight="1" thickBot="1">
      <c r="A79" s="776" t="s">
        <v>500</v>
      </c>
      <c r="B79" s="770" t="s">
        <v>194</v>
      </c>
      <c r="C79" s="770">
        <v>12590</v>
      </c>
      <c r="D79" s="770">
        <v>12540</v>
      </c>
      <c r="E79" s="770">
        <v>12350</v>
      </c>
      <c r="F79" s="784">
        <v>2740</v>
      </c>
    </row>
    <row r="80" spans="1:6" s="764" customFormat="1" ht="14.25" customHeight="1" thickBot="1">
      <c r="A80" s="776" t="s">
        <v>500</v>
      </c>
      <c r="B80" s="770" t="s">
        <v>206</v>
      </c>
      <c r="C80" s="770">
        <v>12450</v>
      </c>
      <c r="D80" s="770">
        <v>12370</v>
      </c>
      <c r="E80" s="770">
        <v>10790</v>
      </c>
      <c r="F80" s="784">
        <v>2290</v>
      </c>
    </row>
    <row r="81" spans="1:6" s="764" customFormat="1" ht="14.25" customHeight="1" thickBot="1">
      <c r="A81" s="776" t="s">
        <v>500</v>
      </c>
      <c r="B81" s="770" t="s">
        <v>217</v>
      </c>
      <c r="C81" s="770">
        <v>14210</v>
      </c>
      <c r="D81" s="770">
        <v>14150</v>
      </c>
      <c r="E81" s="770">
        <v>12730</v>
      </c>
      <c r="F81" s="784">
        <v>2240</v>
      </c>
    </row>
    <row r="82" spans="1:6" s="764" customFormat="1" ht="14.25" customHeight="1" thickBot="1">
      <c r="A82" s="776" t="s">
        <v>500</v>
      </c>
      <c r="B82" s="770" t="s">
        <v>228</v>
      </c>
      <c r="C82" s="770">
        <v>10860</v>
      </c>
      <c r="D82" s="770">
        <v>10820</v>
      </c>
      <c r="E82" s="770">
        <v>14720</v>
      </c>
      <c r="F82" s="784">
        <v>2490</v>
      </c>
    </row>
    <row r="83" spans="1:6" s="764" customFormat="1" ht="14.25" customHeight="1" thickBot="1">
      <c r="A83" s="776" t="s">
        <v>500</v>
      </c>
      <c r="B83" s="770" t="s">
        <v>239</v>
      </c>
      <c r="C83" s="770">
        <v>12810</v>
      </c>
      <c r="D83" s="770">
        <v>12760</v>
      </c>
      <c r="E83" s="770">
        <v>14830</v>
      </c>
      <c r="F83" s="784">
        <v>2450</v>
      </c>
    </row>
    <row r="84" spans="1:6" s="764" customFormat="1" ht="14.25" customHeight="1" thickBot="1">
      <c r="A84" s="776" t="s">
        <v>500</v>
      </c>
      <c r="B84" s="770" t="s">
        <v>251</v>
      </c>
      <c r="C84" s="770">
        <v>14950</v>
      </c>
      <c r="D84" s="770">
        <v>14810</v>
      </c>
      <c r="E84" s="770">
        <v>12590</v>
      </c>
      <c r="F84" s="784">
        <v>2540</v>
      </c>
    </row>
    <row r="85" spans="1:6" s="764" customFormat="1" ht="14.25" customHeight="1" thickBot="1">
      <c r="A85" s="776" t="s">
        <v>500</v>
      </c>
      <c r="B85" s="770" t="s">
        <v>261</v>
      </c>
      <c r="C85" s="770">
        <v>14960</v>
      </c>
      <c r="D85" s="770">
        <v>14890</v>
      </c>
      <c r="E85" s="770">
        <v>12840</v>
      </c>
      <c r="F85" s="784">
        <v>2840</v>
      </c>
    </row>
    <row r="86" spans="1:6" s="764" customFormat="1" ht="14.25" customHeight="1" thickBot="1">
      <c r="A86" s="776" t="s">
        <v>500</v>
      </c>
      <c r="B86" s="770" t="s">
        <v>271</v>
      </c>
      <c r="C86" s="770">
        <v>12730</v>
      </c>
      <c r="D86" s="770">
        <v>12660</v>
      </c>
      <c r="E86" s="770">
        <v>13310</v>
      </c>
      <c r="F86" s="784">
        <v>3140</v>
      </c>
    </row>
    <row r="87" spans="1:6" s="764" customFormat="1" ht="14.25" customHeight="1" thickBot="1">
      <c r="A87" s="776" t="s">
        <v>500</v>
      </c>
      <c r="B87" s="770" t="s">
        <v>281</v>
      </c>
      <c r="C87" s="770">
        <v>12940</v>
      </c>
      <c r="D87" s="770">
        <v>12890</v>
      </c>
      <c r="E87" s="770">
        <v>11580</v>
      </c>
      <c r="F87" s="788"/>
    </row>
    <row r="88" spans="1:6" s="764" customFormat="1" ht="14.25" customHeight="1" thickBot="1">
      <c r="A88" s="776" t="s">
        <v>500</v>
      </c>
      <c r="B88" s="770" t="s">
        <v>291</v>
      </c>
      <c r="C88" s="770">
        <v>13430</v>
      </c>
      <c r="D88" s="770">
        <v>13360</v>
      </c>
      <c r="E88" s="770">
        <v>12790</v>
      </c>
      <c r="F88" s="788"/>
    </row>
    <row r="89" spans="1:6" s="764" customFormat="1" ht="14.25" customHeight="1" thickBot="1">
      <c r="A89" s="776" t="s">
        <v>500</v>
      </c>
      <c r="B89" s="770" t="s">
        <v>302</v>
      </c>
      <c r="C89" s="770">
        <v>11680</v>
      </c>
      <c r="D89" s="770">
        <v>11630</v>
      </c>
      <c r="E89" s="770">
        <v>11320</v>
      </c>
      <c r="F89" s="788"/>
    </row>
    <row r="90" spans="1:6" s="764" customFormat="1" ht="14.25" customHeight="1" thickBot="1">
      <c r="A90" s="776" t="s">
        <v>500</v>
      </c>
      <c r="B90" s="770" t="s">
        <v>313</v>
      </c>
      <c r="C90" s="770">
        <v>12890</v>
      </c>
      <c r="D90" s="770">
        <v>12820</v>
      </c>
      <c r="E90" s="770">
        <v>12710</v>
      </c>
      <c r="F90" s="788"/>
    </row>
    <row r="91" spans="1:6" s="764" customFormat="1" ht="14.25" customHeight="1" thickBot="1">
      <c r="A91" s="776" t="s">
        <v>500</v>
      </c>
      <c r="B91" s="770" t="s">
        <v>323</v>
      </c>
      <c r="C91" s="770">
        <v>11410</v>
      </c>
      <c r="D91" s="770">
        <v>11360</v>
      </c>
      <c r="E91" s="770">
        <v>12670</v>
      </c>
      <c r="F91" s="788"/>
    </row>
    <row r="92" spans="1:6" s="764" customFormat="1" ht="14.25" customHeight="1" thickBot="1">
      <c r="A92" s="776" t="s">
        <v>500</v>
      </c>
      <c r="B92" s="770" t="s">
        <v>333</v>
      </c>
      <c r="C92" s="770">
        <v>12770</v>
      </c>
      <c r="D92" s="770">
        <v>12740</v>
      </c>
      <c r="E92" s="770">
        <v>11970</v>
      </c>
      <c r="F92" s="788"/>
    </row>
    <row r="93" spans="1:6" s="764" customFormat="1" ht="14.25" customHeight="1" thickBot="1">
      <c r="A93" s="776" t="s">
        <v>500</v>
      </c>
      <c r="B93" s="770" t="s">
        <v>343</v>
      </c>
      <c r="C93" s="770">
        <v>12740</v>
      </c>
      <c r="D93" s="770">
        <v>12700</v>
      </c>
      <c r="E93" s="770">
        <v>12540</v>
      </c>
      <c r="F93" s="788"/>
    </row>
    <row r="94" spans="1:6" s="764" customFormat="1" ht="14.25" customHeight="1" thickBot="1">
      <c r="A94" s="776" t="s">
        <v>500</v>
      </c>
      <c r="B94" s="770" t="s">
        <v>353</v>
      </c>
      <c r="C94" s="770">
        <v>12020</v>
      </c>
      <c r="D94" s="770">
        <v>11990</v>
      </c>
      <c r="E94" s="770">
        <v>13110</v>
      </c>
      <c r="F94" s="788"/>
    </row>
    <row r="95" spans="1:6" s="764" customFormat="1" ht="14.25" customHeight="1" thickBot="1">
      <c r="A95" s="776" t="s">
        <v>500</v>
      </c>
      <c r="B95" s="770" t="s">
        <v>362</v>
      </c>
      <c r="C95" s="770">
        <v>12620</v>
      </c>
      <c r="D95" s="770">
        <v>12580</v>
      </c>
      <c r="E95" s="770">
        <v>13160</v>
      </c>
      <c r="F95" s="784"/>
    </row>
    <row r="96" spans="1:6" s="764" customFormat="1" ht="14.25" customHeight="1" thickBot="1">
      <c r="A96" s="776" t="s">
        <v>500</v>
      </c>
      <c r="B96" s="770" t="s">
        <v>371</v>
      </c>
      <c r="C96" s="770">
        <v>13200</v>
      </c>
      <c r="D96" s="770">
        <v>13150</v>
      </c>
      <c r="E96" s="770">
        <v>12900</v>
      </c>
      <c r="F96" s="784"/>
    </row>
    <row r="97" spans="1:6" s="764" customFormat="1" ht="14.25" customHeight="1" thickBot="1">
      <c r="A97" s="776" t="s">
        <v>500</v>
      </c>
      <c r="B97" s="770" t="s">
        <v>379</v>
      </c>
      <c r="C97" s="770">
        <v>13270</v>
      </c>
      <c r="D97" s="770">
        <v>13210</v>
      </c>
      <c r="E97" s="770">
        <v>11080</v>
      </c>
      <c r="F97" s="784"/>
    </row>
    <row r="98" spans="1:6" s="764" customFormat="1" ht="14.25" customHeight="1" thickBot="1">
      <c r="A98" s="776" t="s">
        <v>500</v>
      </c>
      <c r="B98" s="770" t="s">
        <v>386</v>
      </c>
      <c r="C98" s="770">
        <v>13010</v>
      </c>
      <c r="D98" s="770">
        <v>12930</v>
      </c>
      <c r="E98" s="770">
        <v>12840</v>
      </c>
      <c r="F98" s="784"/>
    </row>
    <row r="99" spans="1:6" s="764" customFormat="1" ht="14.25" customHeight="1" thickBot="1">
      <c r="A99" s="776" t="s">
        <v>500</v>
      </c>
      <c r="B99" s="770" t="s">
        <v>393</v>
      </c>
      <c r="C99" s="770">
        <v>11190</v>
      </c>
      <c r="D99" s="770">
        <v>11130</v>
      </c>
      <c r="E99" s="770"/>
      <c r="F99" s="784"/>
    </row>
    <row r="100" spans="1:6" s="764" customFormat="1" ht="14.25" customHeight="1" thickBot="1">
      <c r="A100" s="776" t="s">
        <v>500</v>
      </c>
      <c r="B100" s="770" t="s">
        <v>400</v>
      </c>
      <c r="C100" s="770">
        <v>14280</v>
      </c>
      <c r="D100" s="770">
        <v>14180</v>
      </c>
      <c r="E100" s="770"/>
      <c r="F100" s="784"/>
    </row>
    <row r="101" spans="1:6" s="764" customFormat="1" ht="14.25" customHeight="1" thickBot="1">
      <c r="A101" s="776" t="s">
        <v>500</v>
      </c>
      <c r="B101" s="770" t="s">
        <v>407</v>
      </c>
      <c r="C101" s="770">
        <v>12960</v>
      </c>
      <c r="D101" s="770">
        <v>12890</v>
      </c>
      <c r="E101" s="770"/>
      <c r="F101" s="784"/>
    </row>
    <row r="102" spans="1:6" s="764" customFormat="1" ht="14.25" customHeight="1" thickBot="1">
      <c r="A102" s="776" t="s">
        <v>500</v>
      </c>
      <c r="B102" s="770" t="s">
        <v>414</v>
      </c>
      <c r="C102" s="770"/>
      <c r="D102" s="770"/>
      <c r="E102" s="770"/>
      <c r="F102" s="784">
        <v>3100</v>
      </c>
    </row>
    <row r="103" spans="1:6" s="764" customFormat="1" ht="14.25" customHeight="1" thickBot="1">
      <c r="A103" s="776" t="s">
        <v>500</v>
      </c>
      <c r="B103" s="770" t="s">
        <v>421</v>
      </c>
      <c r="C103" s="770"/>
      <c r="D103" s="770"/>
      <c r="E103" s="770"/>
      <c r="F103" s="784">
        <v>2320</v>
      </c>
    </row>
    <row r="104" spans="1:6" s="764" customFormat="1" ht="14.25" customHeight="1" thickBot="1">
      <c r="A104" s="776" t="s">
        <v>500</v>
      </c>
      <c r="B104" s="770" t="s">
        <v>426</v>
      </c>
      <c r="C104" s="770"/>
      <c r="D104" s="770"/>
      <c r="E104" s="770"/>
      <c r="F104" s="784">
        <v>2320</v>
      </c>
    </row>
    <row r="105" spans="1:6" s="764" customFormat="1" ht="14.25" customHeight="1" thickBot="1">
      <c r="A105" s="776" t="s">
        <v>500</v>
      </c>
      <c r="B105" s="770" t="s">
        <v>430</v>
      </c>
      <c r="C105" s="770"/>
      <c r="D105" s="770"/>
      <c r="E105" s="770"/>
      <c r="F105" s="784">
        <v>2320</v>
      </c>
    </row>
    <row r="106" spans="1:6" s="764" customFormat="1" ht="14.25" customHeight="1" thickBot="1">
      <c r="A106" s="776" t="s">
        <v>500</v>
      </c>
      <c r="B106" s="770" t="s">
        <v>435</v>
      </c>
      <c r="C106" s="770"/>
      <c r="D106" s="770"/>
      <c r="E106" s="770"/>
      <c r="F106" s="784">
        <v>2320</v>
      </c>
    </row>
    <row r="107" spans="1:6" s="764" customFormat="1" ht="14.25" customHeight="1" thickBot="1">
      <c r="A107" s="776" t="s">
        <v>500</v>
      </c>
      <c r="B107" s="770" t="s">
        <v>440</v>
      </c>
      <c r="C107" s="770"/>
      <c r="D107" s="770"/>
      <c r="E107" s="770"/>
      <c r="F107" s="784">
        <v>2280</v>
      </c>
    </row>
    <row r="108" spans="1:6" s="764" customFormat="1" ht="14.25" customHeight="1" thickBot="1">
      <c r="A108" s="776" t="s">
        <v>500</v>
      </c>
      <c r="B108" s="770" t="s">
        <v>445</v>
      </c>
      <c r="C108" s="770"/>
      <c r="D108" s="770"/>
      <c r="E108" s="770"/>
      <c r="F108" s="784">
        <v>2280</v>
      </c>
    </row>
    <row r="109" spans="1:6" s="764" customFormat="1" ht="14.25" customHeight="1" thickBot="1">
      <c r="A109" s="776" t="s">
        <v>500</v>
      </c>
      <c r="B109" s="782" t="s">
        <v>450</v>
      </c>
      <c r="C109" s="782"/>
      <c r="D109" s="782"/>
      <c r="E109" s="782"/>
      <c r="F109" s="787">
        <v>2280</v>
      </c>
    </row>
    <row r="110" spans="1:6" s="764" customFormat="1" ht="14.25" customHeight="1" thickBot="1">
      <c r="A110" s="776" t="s">
        <v>33</v>
      </c>
      <c r="B110" s="777" t="s">
        <v>502</v>
      </c>
      <c r="C110" s="777">
        <v>10520</v>
      </c>
      <c r="D110" s="777">
        <v>10490</v>
      </c>
      <c r="E110" s="777">
        <v>10760</v>
      </c>
      <c r="F110" s="778">
        <v>2160</v>
      </c>
    </row>
    <row r="111" spans="1:6" s="764" customFormat="1" ht="14.25" customHeight="1" thickBot="1">
      <c r="A111" s="776" t="s">
        <v>33</v>
      </c>
      <c r="B111" s="770" t="s">
        <v>169</v>
      </c>
      <c r="C111" s="770">
        <v>10090</v>
      </c>
      <c r="D111" s="770">
        <v>10060</v>
      </c>
      <c r="E111" s="770">
        <v>10300</v>
      </c>
      <c r="F111" s="784">
        <v>2010</v>
      </c>
    </row>
    <row r="112" spans="1:6" s="764" customFormat="1" ht="14.25" customHeight="1" thickBot="1">
      <c r="A112" s="776" t="s">
        <v>33</v>
      </c>
      <c r="B112" s="770" t="s">
        <v>182</v>
      </c>
      <c r="C112" s="770">
        <v>9910</v>
      </c>
      <c r="D112" s="770">
        <v>9850</v>
      </c>
      <c r="E112" s="770">
        <v>9960</v>
      </c>
      <c r="F112" s="784">
        <v>2090</v>
      </c>
    </row>
    <row r="113" spans="1:6" s="764" customFormat="1" ht="14.25" customHeight="1" thickBot="1">
      <c r="A113" s="776" t="s">
        <v>33</v>
      </c>
      <c r="B113" s="770" t="s">
        <v>195</v>
      </c>
      <c r="C113" s="770">
        <v>11430</v>
      </c>
      <c r="D113" s="770">
        <v>11400</v>
      </c>
      <c r="E113" s="770">
        <v>11710</v>
      </c>
      <c r="F113" s="784">
        <v>2050</v>
      </c>
    </row>
    <row r="114" spans="1:6" s="764" customFormat="1" ht="14.25" customHeight="1" thickBot="1">
      <c r="A114" s="776" t="s">
        <v>33</v>
      </c>
      <c r="B114" s="770" t="s">
        <v>207</v>
      </c>
      <c r="C114" s="770">
        <v>11390</v>
      </c>
      <c r="D114" s="770">
        <v>11350</v>
      </c>
      <c r="E114" s="770">
        <v>11640</v>
      </c>
      <c r="F114" s="784">
        <v>1620</v>
      </c>
    </row>
    <row r="115" spans="1:6" s="764" customFormat="1" ht="14.25" customHeight="1" thickBot="1">
      <c r="A115" s="776" t="s">
        <v>33</v>
      </c>
      <c r="B115" s="770" t="s">
        <v>218</v>
      </c>
      <c r="C115" s="770">
        <v>9930</v>
      </c>
      <c r="D115" s="770">
        <v>9900</v>
      </c>
      <c r="E115" s="770">
        <v>10160</v>
      </c>
      <c r="F115" s="784">
        <v>1580</v>
      </c>
    </row>
    <row r="116" spans="1:6" s="764" customFormat="1" ht="14.25" customHeight="1" thickBot="1">
      <c r="A116" s="776" t="s">
        <v>33</v>
      </c>
      <c r="B116" s="770" t="s">
        <v>229</v>
      </c>
      <c r="C116" s="770">
        <v>9150</v>
      </c>
      <c r="D116" s="770">
        <v>9120</v>
      </c>
      <c r="E116" s="770">
        <v>9380</v>
      </c>
      <c r="F116" s="784">
        <v>1750</v>
      </c>
    </row>
    <row r="117" spans="1:6" s="764" customFormat="1" ht="14.25" customHeight="1" thickBot="1">
      <c r="A117" s="776" t="s">
        <v>33</v>
      </c>
      <c r="B117" s="770" t="s">
        <v>240</v>
      </c>
      <c r="C117" s="770">
        <v>10680</v>
      </c>
      <c r="D117" s="770">
        <v>10650</v>
      </c>
      <c r="E117" s="770">
        <v>10970</v>
      </c>
      <c r="F117" s="784">
        <v>1730</v>
      </c>
    </row>
    <row r="118" spans="1:6" s="764" customFormat="1" ht="14.25" customHeight="1" thickBot="1">
      <c r="A118" s="776" t="s">
        <v>33</v>
      </c>
      <c r="B118" s="770" t="s">
        <v>252</v>
      </c>
      <c r="C118" s="770">
        <v>10080</v>
      </c>
      <c r="D118" s="770">
        <v>10050</v>
      </c>
      <c r="E118" s="770">
        <v>10350</v>
      </c>
      <c r="F118" s="784">
        <v>1920</v>
      </c>
    </row>
    <row r="119" spans="1:6" s="764" customFormat="1" ht="14.25" customHeight="1" thickBot="1">
      <c r="A119" s="776" t="s">
        <v>33</v>
      </c>
      <c r="B119" s="770" t="s">
        <v>262</v>
      </c>
      <c r="C119" s="770">
        <v>9450</v>
      </c>
      <c r="D119" s="770">
        <v>9410</v>
      </c>
      <c r="E119" s="770">
        <v>9680</v>
      </c>
      <c r="F119" s="784">
        <v>1880</v>
      </c>
    </row>
    <row r="120" spans="1:6" s="764" customFormat="1" ht="14.25" customHeight="1" thickBot="1">
      <c r="A120" s="776" t="s">
        <v>33</v>
      </c>
      <c r="B120" s="770" t="s">
        <v>272</v>
      </c>
      <c r="C120" s="770">
        <v>8730</v>
      </c>
      <c r="D120" s="770">
        <v>8700</v>
      </c>
      <c r="E120" s="770">
        <v>8950</v>
      </c>
      <c r="F120" s="784">
        <v>1830</v>
      </c>
    </row>
    <row r="121" spans="1:6" s="764" customFormat="1" ht="14.25" customHeight="1" thickBot="1">
      <c r="A121" s="776" t="s">
        <v>33</v>
      </c>
      <c r="B121" s="770" t="s">
        <v>282</v>
      </c>
      <c r="C121" s="770">
        <v>10070</v>
      </c>
      <c r="D121" s="770">
        <v>10040</v>
      </c>
      <c r="E121" s="770">
        <v>10270</v>
      </c>
      <c r="F121" s="784">
        <v>1960</v>
      </c>
    </row>
    <row r="122" spans="1:6" s="764" customFormat="1" ht="14.25" customHeight="1" thickBot="1">
      <c r="A122" s="776" t="s">
        <v>33</v>
      </c>
      <c r="B122" s="770" t="s">
        <v>292</v>
      </c>
      <c r="C122" s="770">
        <v>10500</v>
      </c>
      <c r="D122" s="770">
        <v>10470</v>
      </c>
      <c r="E122" s="770">
        <v>10780</v>
      </c>
      <c r="F122" s="784">
        <v>2180</v>
      </c>
    </row>
    <row r="123" spans="1:6" s="764" customFormat="1" ht="14.25" customHeight="1" thickBot="1">
      <c r="A123" s="776" t="s">
        <v>33</v>
      </c>
      <c r="B123" s="770" t="s">
        <v>303</v>
      </c>
      <c r="C123" s="770">
        <v>10390</v>
      </c>
      <c r="D123" s="770">
        <v>10360</v>
      </c>
      <c r="E123" s="770">
        <v>10660</v>
      </c>
      <c r="F123" s="784">
        <v>2040</v>
      </c>
    </row>
    <row r="124" spans="1:6" s="764" customFormat="1" ht="14.25" customHeight="1" thickBot="1">
      <c r="A124" s="776" t="s">
        <v>33</v>
      </c>
      <c r="B124" s="770" t="s">
        <v>314</v>
      </c>
      <c r="C124" s="770">
        <v>10390</v>
      </c>
      <c r="D124" s="770">
        <v>10360</v>
      </c>
      <c r="E124" s="770">
        <v>10680</v>
      </c>
      <c r="F124" s="788"/>
    </row>
    <row r="125" spans="1:6" s="764" customFormat="1" ht="14.25" customHeight="1" thickBot="1">
      <c r="A125" s="776" t="s">
        <v>33</v>
      </c>
      <c r="B125" s="770" t="s">
        <v>324</v>
      </c>
      <c r="C125" s="770">
        <v>10440</v>
      </c>
      <c r="D125" s="770">
        <v>10410</v>
      </c>
      <c r="E125" s="770">
        <v>10710</v>
      </c>
      <c r="F125" s="788"/>
    </row>
    <row r="126" spans="1:6" s="764" customFormat="1" ht="14.25" customHeight="1" thickBot="1">
      <c r="A126" s="776" t="s">
        <v>33</v>
      </c>
      <c r="B126" s="770" t="s">
        <v>334</v>
      </c>
      <c r="C126" s="770">
        <v>10780</v>
      </c>
      <c r="D126" s="770">
        <v>10750</v>
      </c>
      <c r="E126" s="770">
        <v>11080</v>
      </c>
      <c r="F126" s="788"/>
    </row>
    <row r="127" spans="1:6" s="764" customFormat="1" ht="14.25" customHeight="1" thickBot="1">
      <c r="A127" s="776" t="s">
        <v>33</v>
      </c>
      <c r="B127" s="770" t="s">
        <v>344</v>
      </c>
      <c r="C127" s="770">
        <v>10100</v>
      </c>
      <c r="D127" s="770">
        <v>10070</v>
      </c>
      <c r="E127" s="770">
        <v>10350</v>
      </c>
      <c r="F127" s="788"/>
    </row>
    <row r="128" spans="1:6" s="764" customFormat="1" ht="14.25" customHeight="1" thickBot="1">
      <c r="A128" s="776" t="s">
        <v>33</v>
      </c>
      <c r="B128" s="770" t="s">
        <v>354</v>
      </c>
      <c r="C128" s="770">
        <v>9200</v>
      </c>
      <c r="D128" s="770">
        <v>9160</v>
      </c>
      <c r="E128" s="770">
        <v>9660</v>
      </c>
      <c r="F128" s="788"/>
    </row>
    <row r="129" spans="1:6" s="764" customFormat="1" ht="14.25" customHeight="1" thickBot="1">
      <c r="A129" s="776" t="s">
        <v>33</v>
      </c>
      <c r="B129" s="770" t="s">
        <v>363</v>
      </c>
      <c r="C129" s="770">
        <v>10340</v>
      </c>
      <c r="D129" s="770">
        <v>10310</v>
      </c>
      <c r="E129" s="770">
        <v>10580</v>
      </c>
      <c r="F129" s="788"/>
    </row>
    <row r="130" spans="1:6" s="764" customFormat="1" ht="14.25" customHeight="1" thickBot="1">
      <c r="A130" s="776" t="s">
        <v>33</v>
      </c>
      <c r="B130" s="770" t="s">
        <v>372</v>
      </c>
      <c r="C130" s="770">
        <v>9680</v>
      </c>
      <c r="D130" s="770">
        <v>9660</v>
      </c>
      <c r="E130" s="770">
        <v>9950</v>
      </c>
      <c r="F130" s="788"/>
    </row>
    <row r="131" spans="1:6" s="764" customFormat="1" ht="14.25" customHeight="1" thickBot="1">
      <c r="A131" s="776" t="s">
        <v>33</v>
      </c>
      <c r="B131" s="770" t="s">
        <v>380</v>
      </c>
      <c r="C131" s="770">
        <v>9540</v>
      </c>
      <c r="D131" s="770">
        <v>9510</v>
      </c>
      <c r="E131" s="770">
        <v>9790</v>
      </c>
      <c r="F131" s="788"/>
    </row>
    <row r="132" spans="1:6" s="764" customFormat="1" ht="14.25" customHeight="1" thickBot="1">
      <c r="A132" s="776" t="s">
        <v>33</v>
      </c>
      <c r="B132" s="770" t="s">
        <v>387</v>
      </c>
      <c r="C132" s="770">
        <v>9320</v>
      </c>
      <c r="D132" s="770">
        <v>9290</v>
      </c>
      <c r="E132" s="770">
        <v>9570</v>
      </c>
      <c r="F132" s="788"/>
    </row>
    <row r="133" spans="1:6" s="764" customFormat="1" ht="14.25" customHeight="1" thickBot="1">
      <c r="A133" s="776" t="s">
        <v>33</v>
      </c>
      <c r="B133" s="770" t="s">
        <v>394</v>
      </c>
      <c r="C133" s="770">
        <v>10310</v>
      </c>
      <c r="D133" s="770">
        <v>10280</v>
      </c>
      <c r="E133" s="770">
        <v>10530</v>
      </c>
      <c r="F133" s="788"/>
    </row>
    <row r="134" spans="1:6" s="764" customFormat="1" ht="14.25" customHeight="1" thickBot="1">
      <c r="A134" s="776" t="s">
        <v>33</v>
      </c>
      <c r="B134" s="770" t="s">
        <v>401</v>
      </c>
      <c r="C134" s="770">
        <v>10370</v>
      </c>
      <c r="D134" s="770">
        <v>10310</v>
      </c>
      <c r="E134" s="770">
        <v>10240</v>
      </c>
      <c r="F134" s="784">
        <v>2060</v>
      </c>
    </row>
    <row r="135" spans="1:6" s="764" customFormat="1" ht="14.25" customHeight="1" thickBot="1">
      <c r="A135" s="776" t="s">
        <v>33</v>
      </c>
      <c r="B135" s="770" t="s">
        <v>408</v>
      </c>
      <c r="C135" s="770">
        <v>9300</v>
      </c>
      <c r="D135" s="770">
        <v>9270</v>
      </c>
      <c r="E135" s="770">
        <v>9350</v>
      </c>
      <c r="F135" s="788"/>
    </row>
    <row r="136" spans="1:6" s="764" customFormat="1" ht="14.25" customHeight="1" thickBot="1">
      <c r="A136" s="776" t="s">
        <v>33</v>
      </c>
      <c r="B136" s="770" t="s">
        <v>415</v>
      </c>
      <c r="C136" s="770">
        <v>10160</v>
      </c>
      <c r="D136" s="770">
        <v>10110</v>
      </c>
      <c r="E136" s="770">
        <v>10080</v>
      </c>
      <c r="F136" s="788"/>
    </row>
    <row r="137" spans="1:6" s="764" customFormat="1" ht="14.25" customHeight="1" thickBot="1">
      <c r="A137" s="776" t="s">
        <v>33</v>
      </c>
      <c r="B137" s="770" t="s">
        <v>422</v>
      </c>
      <c r="C137" s="770">
        <v>9200</v>
      </c>
      <c r="D137" s="770">
        <v>9170</v>
      </c>
      <c r="E137" s="770">
        <v>9450</v>
      </c>
      <c r="F137" s="788"/>
    </row>
    <row r="138" spans="1:6" s="764" customFormat="1" ht="14.25" customHeight="1" thickBot="1">
      <c r="A138" s="776" t="s">
        <v>33</v>
      </c>
      <c r="B138" s="770" t="s">
        <v>427</v>
      </c>
      <c r="C138" s="770">
        <v>9690</v>
      </c>
      <c r="D138" s="770">
        <v>9660</v>
      </c>
      <c r="E138" s="770">
        <v>9840</v>
      </c>
      <c r="F138" s="788"/>
    </row>
    <row r="139" spans="1:6" s="764" customFormat="1" ht="14.25" customHeight="1" thickBot="1">
      <c r="A139" s="776" t="s">
        <v>33</v>
      </c>
      <c r="B139" s="770" t="s">
        <v>431</v>
      </c>
      <c r="C139" s="770">
        <v>10290</v>
      </c>
      <c r="D139" s="770">
        <v>10260</v>
      </c>
      <c r="E139" s="770">
        <v>10550</v>
      </c>
      <c r="F139" s="784">
        <v>1700</v>
      </c>
    </row>
    <row r="140" spans="1:6" s="764" customFormat="1" ht="14.25" customHeight="1" thickBot="1">
      <c r="A140" s="776" t="s">
        <v>33</v>
      </c>
      <c r="B140" s="770" t="s">
        <v>436</v>
      </c>
      <c r="C140" s="770">
        <v>9740</v>
      </c>
      <c r="D140" s="770">
        <v>9710</v>
      </c>
      <c r="E140" s="770">
        <v>10000</v>
      </c>
      <c r="F140" s="784">
        <v>2000</v>
      </c>
    </row>
    <row r="141" spans="1:6" s="764" customFormat="1" ht="14.25" customHeight="1" thickBot="1">
      <c r="A141" s="776" t="s">
        <v>33</v>
      </c>
      <c r="B141" s="770" t="s">
        <v>441</v>
      </c>
      <c r="C141" s="770">
        <v>9810</v>
      </c>
      <c r="D141" s="770">
        <v>9770</v>
      </c>
      <c r="E141" s="770">
        <v>10060</v>
      </c>
      <c r="F141" s="788"/>
    </row>
    <row r="142" spans="1:6" s="764" customFormat="1" ht="14.25" customHeight="1" thickBot="1">
      <c r="A142" s="776" t="s">
        <v>33</v>
      </c>
      <c r="B142" s="770" t="s">
        <v>446</v>
      </c>
      <c r="C142" s="770">
        <v>9300</v>
      </c>
      <c r="D142" s="770">
        <v>9270</v>
      </c>
      <c r="E142" s="770">
        <v>9530</v>
      </c>
      <c r="F142" s="788"/>
    </row>
    <row r="143" spans="1:6" s="764" customFormat="1" ht="14.25" customHeight="1" thickBot="1">
      <c r="A143" s="776" t="s">
        <v>33</v>
      </c>
      <c r="B143" s="770" t="s">
        <v>451</v>
      </c>
      <c r="C143" s="770">
        <v>10080</v>
      </c>
      <c r="D143" s="770">
        <v>10050</v>
      </c>
      <c r="E143" s="770">
        <v>10340</v>
      </c>
      <c r="F143" s="788"/>
    </row>
    <row r="144" spans="1:6" s="764" customFormat="1" ht="14.25" customHeight="1" thickBot="1">
      <c r="A144" s="776" t="s">
        <v>33</v>
      </c>
      <c r="B144" s="770" t="s">
        <v>455</v>
      </c>
      <c r="C144" s="770">
        <v>9820</v>
      </c>
      <c r="D144" s="770">
        <v>9750</v>
      </c>
      <c r="E144" s="770">
        <v>9900</v>
      </c>
      <c r="F144" s="788"/>
    </row>
    <row r="145" spans="1:6" s="764" customFormat="1" ht="14.25" customHeight="1" thickBot="1">
      <c r="A145" s="776" t="s">
        <v>33</v>
      </c>
      <c r="B145" s="770" t="s">
        <v>459</v>
      </c>
      <c r="C145" s="770"/>
      <c r="D145" s="770"/>
      <c r="E145" s="770"/>
      <c r="F145" s="784">
        <v>1740</v>
      </c>
    </row>
    <row r="146" spans="1:6" s="764" customFormat="1" ht="14.25" customHeight="1" thickBot="1">
      <c r="A146" s="776" t="s">
        <v>33</v>
      </c>
      <c r="B146" s="770" t="s">
        <v>463</v>
      </c>
      <c r="C146" s="770"/>
      <c r="D146" s="770"/>
      <c r="E146" s="770"/>
      <c r="F146" s="784">
        <v>1740</v>
      </c>
    </row>
    <row r="147" spans="1:6" s="764" customFormat="1" ht="14.25" customHeight="1" thickBot="1">
      <c r="A147" s="776" t="s">
        <v>33</v>
      </c>
      <c r="B147" s="770" t="s">
        <v>467</v>
      </c>
      <c r="C147" s="770"/>
      <c r="D147" s="770"/>
      <c r="E147" s="770"/>
      <c r="F147" s="784">
        <v>1740</v>
      </c>
    </row>
    <row r="148" spans="1:6" s="764" customFormat="1" ht="14.25" customHeight="1" thickBot="1">
      <c r="A148" s="776" t="s">
        <v>33</v>
      </c>
      <c r="B148" s="770" t="s">
        <v>471</v>
      </c>
      <c r="C148" s="770"/>
      <c r="D148" s="770"/>
      <c r="E148" s="770"/>
      <c r="F148" s="784">
        <v>1740</v>
      </c>
    </row>
    <row r="149" spans="1:6" s="764" customFormat="1" ht="14.25" customHeight="1" thickBot="1">
      <c r="A149" s="776" t="s">
        <v>33</v>
      </c>
      <c r="B149" s="770" t="s">
        <v>475</v>
      </c>
      <c r="C149" s="770"/>
      <c r="D149" s="770"/>
      <c r="E149" s="770"/>
      <c r="F149" s="784">
        <v>1740</v>
      </c>
    </row>
    <row r="150" spans="1:6" s="764" customFormat="1" ht="14.25" customHeight="1" thickBot="1">
      <c r="A150" s="776" t="s">
        <v>33</v>
      </c>
      <c r="B150" s="770" t="s">
        <v>478</v>
      </c>
      <c r="C150" s="770"/>
      <c r="D150" s="770"/>
      <c r="E150" s="770"/>
      <c r="F150" s="784">
        <v>1610</v>
      </c>
    </row>
    <row r="151" spans="1:6" s="764" customFormat="1" ht="14.25" customHeight="1" thickBot="1">
      <c r="A151" s="776" t="s">
        <v>33</v>
      </c>
      <c r="B151" s="770" t="s">
        <v>481</v>
      </c>
      <c r="C151" s="770"/>
      <c r="D151" s="770"/>
      <c r="E151" s="770"/>
      <c r="F151" s="784">
        <v>1610</v>
      </c>
    </row>
    <row r="152" spans="1:6" s="764" customFormat="1" ht="14.25" customHeight="1" thickBot="1">
      <c r="A152" s="776" t="s">
        <v>33</v>
      </c>
      <c r="B152" s="770" t="s">
        <v>484</v>
      </c>
      <c r="C152" s="770"/>
      <c r="D152" s="770"/>
      <c r="E152" s="770"/>
      <c r="F152" s="784">
        <v>1610</v>
      </c>
    </row>
    <row r="153" spans="1:6" s="764" customFormat="1" ht="14.25" customHeight="1" thickBot="1">
      <c r="A153" s="776" t="s">
        <v>33</v>
      </c>
      <c r="B153" s="770" t="s">
        <v>487</v>
      </c>
      <c r="C153" s="770"/>
      <c r="D153" s="770"/>
      <c r="E153" s="770"/>
      <c r="F153" s="784">
        <v>1610</v>
      </c>
    </row>
    <row r="154" spans="1:6" s="764" customFormat="1" ht="14.25" customHeight="1" thickBot="1">
      <c r="A154" s="776" t="s">
        <v>33</v>
      </c>
      <c r="B154" s="770" t="s">
        <v>490</v>
      </c>
      <c r="C154" s="770"/>
      <c r="D154" s="770"/>
      <c r="E154" s="770"/>
      <c r="F154" s="784">
        <v>1610</v>
      </c>
    </row>
    <row r="155" spans="1:6" s="764" customFormat="1" ht="14.25" customHeight="1" thickBot="1">
      <c r="A155" s="776" t="s">
        <v>33</v>
      </c>
      <c r="B155" s="770" t="s">
        <v>493</v>
      </c>
      <c r="C155" s="770"/>
      <c r="D155" s="770"/>
      <c r="E155" s="770"/>
      <c r="F155" s="784">
        <v>1800</v>
      </c>
    </row>
    <row r="156" spans="1:6" s="764" customFormat="1" ht="14.25" customHeight="1" thickBot="1">
      <c r="A156" s="776" t="s">
        <v>33</v>
      </c>
      <c r="B156" s="770" t="s">
        <v>495</v>
      </c>
      <c r="C156" s="770"/>
      <c r="D156" s="770"/>
      <c r="E156" s="770"/>
      <c r="F156" s="784">
        <v>1910</v>
      </c>
    </row>
    <row r="157" spans="1:6" s="764" customFormat="1" ht="14.25" customHeight="1" thickBot="1">
      <c r="A157" s="776" t="s">
        <v>33</v>
      </c>
      <c r="B157" s="782" t="s">
        <v>498</v>
      </c>
      <c r="C157" s="782"/>
      <c r="D157" s="782"/>
      <c r="E157" s="782"/>
      <c r="F157" s="787">
        <v>1500</v>
      </c>
    </row>
    <row r="158" spans="1:6" s="764" customFormat="1" ht="14.25" customHeight="1" thickBot="1">
      <c r="A158" s="776" t="s">
        <v>503</v>
      </c>
      <c r="B158" s="777" t="s">
        <v>504</v>
      </c>
      <c r="C158" s="777">
        <v>8170</v>
      </c>
      <c r="D158" s="777">
        <v>8140</v>
      </c>
      <c r="E158" s="777">
        <v>8590</v>
      </c>
      <c r="F158" s="778">
        <v>1450</v>
      </c>
    </row>
    <row r="159" spans="1:6" s="764" customFormat="1" ht="14.25" customHeight="1" thickBot="1">
      <c r="A159" s="776" t="s">
        <v>503</v>
      </c>
      <c r="B159" s="770" t="s">
        <v>170</v>
      </c>
      <c r="C159" s="770">
        <v>7410</v>
      </c>
      <c r="D159" s="770">
        <v>7370</v>
      </c>
      <c r="E159" s="770">
        <v>8030</v>
      </c>
      <c r="F159" s="784">
        <v>1510</v>
      </c>
    </row>
    <row r="160" spans="1:6" s="764" customFormat="1" ht="14.25" customHeight="1" thickBot="1">
      <c r="A160" s="776" t="s">
        <v>503</v>
      </c>
      <c r="B160" s="770" t="s">
        <v>183</v>
      </c>
      <c r="C160" s="770">
        <v>7240</v>
      </c>
      <c r="D160" s="770">
        <v>7210</v>
      </c>
      <c r="E160" s="770">
        <v>7860</v>
      </c>
      <c r="F160" s="784">
        <v>1370</v>
      </c>
    </row>
    <row r="161" spans="1:6" s="764" customFormat="1" ht="14.25" customHeight="1" thickBot="1">
      <c r="A161" s="776" t="s">
        <v>503</v>
      </c>
      <c r="B161" s="770" t="s">
        <v>196</v>
      </c>
      <c r="C161" s="770">
        <v>7720</v>
      </c>
      <c r="D161" s="770">
        <v>7690</v>
      </c>
      <c r="E161" s="770">
        <v>8200</v>
      </c>
      <c r="F161" s="784">
        <v>1190</v>
      </c>
    </row>
    <row r="162" spans="1:6" s="764" customFormat="1" ht="14.25" customHeight="1" thickBot="1">
      <c r="A162" s="776" t="s">
        <v>503</v>
      </c>
      <c r="B162" s="770" t="s">
        <v>208</v>
      </c>
      <c r="C162" s="770">
        <v>6900</v>
      </c>
      <c r="D162" s="770">
        <v>6870</v>
      </c>
      <c r="E162" s="770">
        <v>7500</v>
      </c>
      <c r="F162" s="784">
        <v>1390</v>
      </c>
    </row>
    <row r="163" spans="1:6" s="764" customFormat="1" ht="14.25" customHeight="1" thickBot="1">
      <c r="A163" s="776" t="s">
        <v>503</v>
      </c>
      <c r="B163" s="770" t="s">
        <v>219</v>
      </c>
      <c r="C163" s="770">
        <v>7120</v>
      </c>
      <c r="D163" s="770">
        <v>7090</v>
      </c>
      <c r="E163" s="770">
        <v>7690</v>
      </c>
      <c r="F163" s="784">
        <v>1230</v>
      </c>
    </row>
    <row r="164" spans="1:6" s="764" customFormat="1" ht="14.25" customHeight="1" thickBot="1">
      <c r="A164" s="776" t="s">
        <v>503</v>
      </c>
      <c r="B164" s="770" t="s">
        <v>230</v>
      </c>
      <c r="C164" s="770">
        <v>6560</v>
      </c>
      <c r="D164" s="770">
        <v>6530</v>
      </c>
      <c r="E164" s="770">
        <v>7110</v>
      </c>
      <c r="F164" s="784">
        <v>1340</v>
      </c>
    </row>
    <row r="165" spans="1:6" s="764" customFormat="1" ht="14.25" customHeight="1" thickBot="1">
      <c r="A165" s="776" t="s">
        <v>503</v>
      </c>
      <c r="B165" s="770" t="s">
        <v>241</v>
      </c>
      <c r="C165" s="770">
        <v>7450</v>
      </c>
      <c r="D165" s="770">
        <v>7430</v>
      </c>
      <c r="E165" s="770">
        <v>8110</v>
      </c>
      <c r="F165" s="784">
        <v>1290</v>
      </c>
    </row>
    <row r="166" spans="1:6" s="764" customFormat="1" ht="14.25" customHeight="1" thickBot="1">
      <c r="A166" s="776" t="s">
        <v>503</v>
      </c>
      <c r="B166" s="770" t="s">
        <v>253</v>
      </c>
      <c r="C166" s="770">
        <v>7490</v>
      </c>
      <c r="D166" s="770">
        <v>7460</v>
      </c>
      <c r="E166" s="770">
        <v>8150</v>
      </c>
      <c r="F166" s="784">
        <v>1350</v>
      </c>
    </row>
    <row r="167" spans="1:6" s="764" customFormat="1" ht="14.25" customHeight="1" thickBot="1">
      <c r="A167" s="776" t="s">
        <v>503</v>
      </c>
      <c r="B167" s="770" t="s">
        <v>263</v>
      </c>
      <c r="C167" s="770">
        <v>7540</v>
      </c>
      <c r="D167" s="770">
        <v>7510</v>
      </c>
      <c r="E167" s="770">
        <v>8030</v>
      </c>
      <c r="F167" s="788"/>
    </row>
    <row r="168" spans="1:6" s="764" customFormat="1" ht="14.25" customHeight="1" thickBot="1">
      <c r="A168" s="776" t="s">
        <v>503</v>
      </c>
      <c r="B168" s="770" t="s">
        <v>273</v>
      </c>
      <c r="C168" s="770">
        <v>7210</v>
      </c>
      <c r="D168" s="770">
        <v>7180</v>
      </c>
      <c r="E168" s="770">
        <v>7830</v>
      </c>
      <c r="F168" s="788"/>
    </row>
    <row r="169" spans="1:6" s="764" customFormat="1" ht="14.25" customHeight="1" thickBot="1">
      <c r="A169" s="776" t="s">
        <v>503</v>
      </c>
      <c r="B169" s="770" t="s">
        <v>283</v>
      </c>
      <c r="C169" s="770">
        <v>7040</v>
      </c>
      <c r="D169" s="770">
        <v>7020</v>
      </c>
      <c r="E169" s="770">
        <v>7670</v>
      </c>
      <c r="F169" s="788"/>
    </row>
    <row r="170" spans="1:6" s="764" customFormat="1" ht="14.25" customHeight="1" thickBot="1">
      <c r="A170" s="776" t="s">
        <v>503</v>
      </c>
      <c r="B170" s="770" t="s">
        <v>293</v>
      </c>
      <c r="C170" s="770">
        <v>8040</v>
      </c>
      <c r="D170" s="770">
        <v>7190</v>
      </c>
      <c r="E170" s="770">
        <v>7850</v>
      </c>
      <c r="F170" s="788"/>
    </row>
    <row r="171" spans="1:6" s="764" customFormat="1" ht="14.25" customHeight="1" thickBot="1">
      <c r="A171" s="776" t="s">
        <v>503</v>
      </c>
      <c r="B171" s="770" t="s">
        <v>304</v>
      </c>
      <c r="C171" s="770">
        <v>7860</v>
      </c>
      <c r="D171" s="770">
        <v>7720</v>
      </c>
      <c r="E171" s="770">
        <v>8150</v>
      </c>
      <c r="F171" s="784">
        <v>1110</v>
      </c>
    </row>
    <row r="172" spans="1:6" s="764" customFormat="1" ht="14.25" customHeight="1" thickBot="1">
      <c r="A172" s="776" t="s">
        <v>503</v>
      </c>
      <c r="B172" s="770" t="s">
        <v>315</v>
      </c>
      <c r="C172" s="770">
        <v>7210</v>
      </c>
      <c r="D172" s="770">
        <v>7170</v>
      </c>
      <c r="E172" s="770">
        <v>7320</v>
      </c>
      <c r="F172" s="788"/>
    </row>
    <row r="173" spans="1:6" s="764" customFormat="1" ht="14.25" customHeight="1" thickBot="1">
      <c r="A173" s="776" t="s">
        <v>503</v>
      </c>
      <c r="B173" s="770" t="s">
        <v>325</v>
      </c>
      <c r="C173" s="770">
        <v>6860</v>
      </c>
      <c r="D173" s="770">
        <v>6810</v>
      </c>
      <c r="E173" s="770">
        <v>7440</v>
      </c>
      <c r="F173" s="788"/>
    </row>
    <row r="174" spans="1:6" s="764" customFormat="1" ht="14.25" customHeight="1" thickBot="1">
      <c r="A174" s="776" t="s">
        <v>503</v>
      </c>
      <c r="B174" s="770" t="s">
        <v>335</v>
      </c>
      <c r="C174" s="770">
        <v>7120</v>
      </c>
      <c r="D174" s="770">
        <v>7090</v>
      </c>
      <c r="E174" s="770">
        <v>7500</v>
      </c>
      <c r="F174" s="784">
        <v>1490</v>
      </c>
    </row>
    <row r="175" spans="1:6" s="764" customFormat="1" ht="14.25" customHeight="1" thickBot="1">
      <c r="A175" s="776" t="s">
        <v>503</v>
      </c>
      <c r="B175" s="770" t="s">
        <v>345</v>
      </c>
      <c r="C175" s="770">
        <v>7850</v>
      </c>
      <c r="D175" s="770">
        <v>7820</v>
      </c>
      <c r="E175" s="770">
        <v>8120</v>
      </c>
      <c r="F175" s="784">
        <v>1530</v>
      </c>
    </row>
    <row r="176" spans="1:6" s="764" customFormat="1" ht="14.25" customHeight="1" thickBot="1">
      <c r="A176" s="776" t="s">
        <v>503</v>
      </c>
      <c r="B176" s="770" t="s">
        <v>355</v>
      </c>
      <c r="C176" s="770">
        <v>7620</v>
      </c>
      <c r="D176" s="770">
        <v>7570</v>
      </c>
      <c r="E176" s="770">
        <v>7990</v>
      </c>
      <c r="F176" s="784">
        <v>1480</v>
      </c>
    </row>
    <row r="177" spans="1:6" s="764" customFormat="1" ht="14.25" customHeight="1" thickBot="1">
      <c r="A177" s="776" t="s">
        <v>503</v>
      </c>
      <c r="B177" s="770" t="s">
        <v>364</v>
      </c>
      <c r="C177" s="770">
        <v>8590</v>
      </c>
      <c r="D177" s="770">
        <v>8570</v>
      </c>
      <c r="E177" s="770">
        <v>8740</v>
      </c>
      <c r="F177" s="784">
        <v>1540</v>
      </c>
    </row>
    <row r="178" spans="1:6" s="764" customFormat="1" ht="14.25" customHeight="1" thickBot="1">
      <c r="A178" s="776" t="s">
        <v>503</v>
      </c>
      <c r="B178" s="770" t="s">
        <v>373</v>
      </c>
      <c r="C178" s="770">
        <v>7510</v>
      </c>
      <c r="D178" s="770">
        <v>7470</v>
      </c>
      <c r="E178" s="770">
        <v>8090</v>
      </c>
      <c r="F178" s="784">
        <v>1320</v>
      </c>
    </row>
    <row r="179" spans="1:6" s="764" customFormat="1" ht="14.25" customHeight="1" thickBot="1">
      <c r="A179" s="776" t="s">
        <v>503</v>
      </c>
      <c r="B179" s="770" t="s">
        <v>381</v>
      </c>
      <c r="C179" s="770">
        <v>6380</v>
      </c>
      <c r="D179" s="770">
        <v>6340</v>
      </c>
      <c r="E179" s="770">
        <v>6810</v>
      </c>
      <c r="F179" s="788"/>
    </row>
    <row r="180" spans="1:6" s="764" customFormat="1" ht="14.25" customHeight="1" thickBot="1">
      <c r="A180" s="776" t="s">
        <v>503</v>
      </c>
      <c r="B180" s="770" t="s">
        <v>388</v>
      </c>
      <c r="C180" s="770">
        <v>7830</v>
      </c>
      <c r="D180" s="770">
        <v>7800</v>
      </c>
      <c r="E180" s="770">
        <v>7780</v>
      </c>
      <c r="F180" s="784">
        <v>1440</v>
      </c>
    </row>
    <row r="181" spans="1:6" s="764" customFormat="1" ht="14.25" customHeight="1" thickBot="1">
      <c r="A181" s="776" t="s">
        <v>503</v>
      </c>
      <c r="B181" s="770" t="s">
        <v>395</v>
      </c>
      <c r="C181" s="770">
        <v>7110</v>
      </c>
      <c r="D181" s="770">
        <v>7080</v>
      </c>
      <c r="E181" s="770">
        <v>7730</v>
      </c>
      <c r="F181" s="784">
        <v>1350</v>
      </c>
    </row>
    <row r="182" spans="1:6" s="764" customFormat="1" ht="14.25" customHeight="1" thickBot="1">
      <c r="A182" s="776" t="s">
        <v>503</v>
      </c>
      <c r="B182" s="770" t="s">
        <v>402</v>
      </c>
      <c r="C182" s="770">
        <v>7310</v>
      </c>
      <c r="D182" s="770">
        <v>7280</v>
      </c>
      <c r="E182" s="770">
        <v>7950</v>
      </c>
      <c r="F182" s="784">
        <v>1220</v>
      </c>
    </row>
    <row r="183" spans="1:6" s="764" customFormat="1" ht="14.25" customHeight="1" thickBot="1">
      <c r="A183" s="776" t="s">
        <v>503</v>
      </c>
      <c r="B183" s="770" t="s">
        <v>409</v>
      </c>
      <c r="C183" s="770">
        <v>7470</v>
      </c>
      <c r="D183" s="770">
        <v>7440</v>
      </c>
      <c r="E183" s="770">
        <v>7880</v>
      </c>
      <c r="F183" s="788"/>
    </row>
    <row r="184" spans="1:6" s="764" customFormat="1" ht="14.25" customHeight="1" thickBot="1">
      <c r="A184" s="776" t="s">
        <v>503</v>
      </c>
      <c r="B184" s="770" t="s">
        <v>416</v>
      </c>
      <c r="C184" s="770">
        <v>6960</v>
      </c>
      <c r="D184" s="770">
        <v>6930</v>
      </c>
      <c r="E184" s="770">
        <v>7570</v>
      </c>
      <c r="F184" s="788"/>
    </row>
    <row r="185" spans="1:6" s="764" customFormat="1" ht="14.25" customHeight="1" thickBot="1">
      <c r="A185" s="776" t="s">
        <v>503</v>
      </c>
      <c r="B185" s="770" t="s">
        <v>423</v>
      </c>
      <c r="C185" s="770">
        <v>7260</v>
      </c>
      <c r="D185" s="770">
        <v>7230</v>
      </c>
      <c r="E185" s="770">
        <v>7710</v>
      </c>
      <c r="F185" s="784">
        <v>1360</v>
      </c>
    </row>
    <row r="186" spans="1:6" s="764" customFormat="1" ht="14.25" customHeight="1" thickBot="1">
      <c r="A186" s="776" t="s">
        <v>503</v>
      </c>
      <c r="B186" s="770" t="s">
        <v>428</v>
      </c>
      <c r="C186" s="770"/>
      <c r="D186" s="770"/>
      <c r="E186" s="770"/>
      <c r="F186" s="784">
        <v>1560</v>
      </c>
    </row>
    <row r="187" spans="1:6" s="764" customFormat="1" ht="14.25" customHeight="1" thickBot="1">
      <c r="A187" s="776" t="s">
        <v>503</v>
      </c>
      <c r="B187" s="770" t="s">
        <v>432</v>
      </c>
      <c r="C187" s="770"/>
      <c r="D187" s="770"/>
      <c r="E187" s="770"/>
      <c r="F187" s="784">
        <v>1560</v>
      </c>
    </row>
    <row r="188" spans="1:6" s="764" customFormat="1" ht="14.25" customHeight="1" thickBot="1">
      <c r="A188" s="776" t="s">
        <v>503</v>
      </c>
      <c r="B188" s="770" t="s">
        <v>437</v>
      </c>
      <c r="C188" s="770"/>
      <c r="D188" s="770"/>
      <c r="E188" s="770"/>
      <c r="F188" s="784">
        <v>1560</v>
      </c>
    </row>
    <row r="189" spans="1:6" s="764" customFormat="1" ht="14.25" customHeight="1" thickBot="1">
      <c r="A189" s="776" t="s">
        <v>503</v>
      </c>
      <c r="B189" s="770" t="s">
        <v>442</v>
      </c>
      <c r="C189" s="770"/>
      <c r="D189" s="770"/>
      <c r="E189" s="770"/>
      <c r="F189" s="784">
        <v>1320</v>
      </c>
    </row>
    <row r="190" spans="1:6" s="764" customFormat="1" ht="14.25" customHeight="1" thickBot="1">
      <c r="A190" s="776" t="s">
        <v>503</v>
      </c>
      <c r="B190" s="770" t="s">
        <v>447</v>
      </c>
      <c r="C190" s="770"/>
      <c r="D190" s="770"/>
      <c r="E190" s="770"/>
      <c r="F190" s="784">
        <v>1320</v>
      </c>
    </row>
    <row r="191" spans="1:6" s="764" customFormat="1" ht="14.25" customHeight="1" thickBot="1">
      <c r="A191" s="776" t="s">
        <v>503</v>
      </c>
      <c r="B191" s="770" t="s">
        <v>452</v>
      </c>
      <c r="C191" s="770"/>
      <c r="D191" s="770"/>
      <c r="E191" s="770"/>
      <c r="F191" s="784">
        <v>1320</v>
      </c>
    </row>
    <row r="192" spans="1:6" s="764" customFormat="1" ht="14.25" customHeight="1" thickBot="1">
      <c r="A192" s="776" t="s">
        <v>503</v>
      </c>
      <c r="B192" s="770" t="s">
        <v>456</v>
      </c>
      <c r="C192" s="770"/>
      <c r="D192" s="770"/>
      <c r="E192" s="770"/>
      <c r="F192" s="784">
        <v>1100</v>
      </c>
    </row>
    <row r="193" spans="1:6" s="764" customFormat="1" ht="14.25" customHeight="1" thickBot="1">
      <c r="A193" s="776" t="s">
        <v>503</v>
      </c>
      <c r="B193" s="770" t="s">
        <v>460</v>
      </c>
      <c r="C193" s="770"/>
      <c r="D193" s="770"/>
      <c r="E193" s="770"/>
      <c r="F193" s="784">
        <v>1100</v>
      </c>
    </row>
    <row r="194" spans="1:6" s="764" customFormat="1" ht="14.25" customHeight="1" thickBot="1">
      <c r="A194" s="776" t="s">
        <v>503</v>
      </c>
      <c r="B194" s="770" t="s">
        <v>464</v>
      </c>
      <c r="C194" s="770"/>
      <c r="D194" s="770"/>
      <c r="E194" s="770"/>
      <c r="F194" s="784">
        <v>1080</v>
      </c>
    </row>
    <row r="195" spans="1:6" s="764" customFormat="1" ht="14.25" customHeight="1" thickBot="1">
      <c r="A195" s="776" t="s">
        <v>503</v>
      </c>
      <c r="B195" s="770" t="s">
        <v>468</v>
      </c>
      <c r="C195" s="770"/>
      <c r="D195" s="770"/>
      <c r="E195" s="770"/>
      <c r="F195" s="784">
        <v>1270</v>
      </c>
    </row>
    <row r="196" spans="1:6" s="764" customFormat="1" ht="14.25" customHeight="1" thickBot="1">
      <c r="A196" s="776" t="s">
        <v>503</v>
      </c>
      <c r="B196" s="770" t="s">
        <v>472</v>
      </c>
      <c r="C196" s="770"/>
      <c r="D196" s="770"/>
      <c r="E196" s="770"/>
      <c r="F196" s="784">
        <v>1150</v>
      </c>
    </row>
    <row r="197" spans="1:6" s="764" customFormat="1" ht="14.25" customHeight="1" thickBot="1">
      <c r="A197" s="776" t="s">
        <v>503</v>
      </c>
      <c r="B197" s="770" t="s">
        <v>476</v>
      </c>
      <c r="C197" s="770"/>
      <c r="D197" s="770"/>
      <c r="E197" s="770"/>
      <c r="F197" s="784">
        <v>1330</v>
      </c>
    </row>
    <row r="198" spans="1:6" s="764" customFormat="1" ht="14.25" customHeight="1" thickBot="1">
      <c r="A198" s="776" t="s">
        <v>503</v>
      </c>
      <c r="B198" s="770" t="s">
        <v>479</v>
      </c>
      <c r="C198" s="770"/>
      <c r="D198" s="770"/>
      <c r="E198" s="770"/>
      <c r="F198" s="784">
        <v>1170</v>
      </c>
    </row>
    <row r="199" spans="1:6" s="764" customFormat="1" ht="14.25" customHeight="1" thickBot="1">
      <c r="A199" s="776" t="s">
        <v>503</v>
      </c>
      <c r="B199" s="770" t="s">
        <v>482</v>
      </c>
      <c r="C199" s="770"/>
      <c r="D199" s="770"/>
      <c r="E199" s="770"/>
      <c r="F199" s="784">
        <v>1120</v>
      </c>
    </row>
    <row r="200" spans="1:6" s="764" customFormat="1" ht="14.25" customHeight="1" thickBot="1">
      <c r="A200" s="776" t="s">
        <v>503</v>
      </c>
      <c r="B200" s="770" t="s">
        <v>485</v>
      </c>
      <c r="C200" s="770"/>
      <c r="D200" s="770"/>
      <c r="E200" s="770"/>
      <c r="F200" s="784">
        <v>1120</v>
      </c>
    </row>
    <row r="201" spans="1:6" s="764" customFormat="1" ht="14.25" customHeight="1" thickBot="1">
      <c r="A201" s="776" t="s">
        <v>503</v>
      </c>
      <c r="B201" s="770" t="s">
        <v>488</v>
      </c>
      <c r="C201" s="770"/>
      <c r="D201" s="770"/>
      <c r="E201" s="770"/>
      <c r="F201" s="784">
        <v>1540</v>
      </c>
    </row>
    <row r="202" spans="1:6" s="764" customFormat="1" ht="14.25" customHeight="1" thickBot="1">
      <c r="A202" s="776" t="s">
        <v>503</v>
      </c>
      <c r="B202" s="770" t="s">
        <v>491</v>
      </c>
      <c r="C202" s="770"/>
      <c r="D202" s="770"/>
      <c r="E202" s="770"/>
      <c r="F202" s="784">
        <v>1310</v>
      </c>
    </row>
    <row r="203" spans="1:6" s="764" customFormat="1" ht="14.25" customHeight="1" thickBot="1">
      <c r="A203" s="776" t="s">
        <v>503</v>
      </c>
      <c r="B203" s="770" t="s">
        <v>494</v>
      </c>
      <c r="C203" s="770"/>
      <c r="D203" s="770"/>
      <c r="E203" s="770"/>
      <c r="F203" s="784">
        <v>1310</v>
      </c>
    </row>
    <row r="204" spans="1:6" s="764" customFormat="1" ht="14.25" customHeight="1" thickBot="1">
      <c r="A204" s="776" t="s">
        <v>503</v>
      </c>
      <c r="B204" s="770" t="s">
        <v>496</v>
      </c>
      <c r="C204" s="770"/>
      <c r="D204" s="770"/>
      <c r="E204" s="770"/>
      <c r="F204" s="784">
        <v>1080</v>
      </c>
    </row>
    <row r="205" spans="1:6" s="764" customFormat="1" ht="14.25" customHeight="1" thickBot="1">
      <c r="A205" s="776" t="s">
        <v>503</v>
      </c>
      <c r="B205" s="770" t="s">
        <v>499</v>
      </c>
      <c r="C205" s="770"/>
      <c r="D205" s="770"/>
      <c r="E205" s="770"/>
      <c r="F205" s="784">
        <v>1080</v>
      </c>
    </row>
    <row r="206" spans="1:6" s="764" customFormat="1" ht="14.25" customHeight="1" thickBot="1">
      <c r="A206" s="776" t="s">
        <v>505</v>
      </c>
      <c r="B206" s="777" t="s">
        <v>506</v>
      </c>
      <c r="C206" s="777">
        <v>5450</v>
      </c>
      <c r="D206" s="777">
        <v>5430</v>
      </c>
      <c r="E206" s="777">
        <v>5700</v>
      </c>
      <c r="F206" s="778">
        <v>1020</v>
      </c>
    </row>
    <row r="207" spans="1:6" s="764" customFormat="1" ht="14.25" customHeight="1" thickBot="1">
      <c r="A207" s="776" t="s">
        <v>505</v>
      </c>
      <c r="B207" s="770" t="s">
        <v>171</v>
      </c>
      <c r="C207" s="770">
        <v>5860</v>
      </c>
      <c r="D207" s="770">
        <v>5820</v>
      </c>
      <c r="E207" s="770">
        <v>6050</v>
      </c>
      <c r="F207" s="784">
        <v>1080</v>
      </c>
    </row>
    <row r="208" spans="1:6" s="764" customFormat="1" ht="14.25" customHeight="1" thickBot="1">
      <c r="A208" s="776" t="s">
        <v>505</v>
      </c>
      <c r="B208" s="770" t="s">
        <v>184</v>
      </c>
      <c r="C208" s="770">
        <v>4630</v>
      </c>
      <c r="D208" s="770">
        <v>4600</v>
      </c>
      <c r="E208" s="770">
        <v>4840</v>
      </c>
      <c r="F208" s="784">
        <v>900</v>
      </c>
    </row>
    <row r="209" spans="1:6" s="764" customFormat="1" ht="14.25" customHeight="1" thickBot="1">
      <c r="A209" s="776" t="s">
        <v>505</v>
      </c>
      <c r="B209" s="770" t="s">
        <v>197</v>
      </c>
      <c r="C209" s="770">
        <v>5320</v>
      </c>
      <c r="D209" s="770">
        <v>5270</v>
      </c>
      <c r="E209" s="770">
        <v>5540</v>
      </c>
      <c r="F209" s="784">
        <v>980</v>
      </c>
    </row>
    <row r="210" spans="1:6" s="764" customFormat="1" ht="14.25" customHeight="1" thickBot="1">
      <c r="A210" s="776" t="s">
        <v>505</v>
      </c>
      <c r="B210" s="770" t="s">
        <v>209</v>
      </c>
      <c r="C210" s="770">
        <v>5760</v>
      </c>
      <c r="D210" s="770">
        <v>5710</v>
      </c>
      <c r="E210" s="770">
        <v>6010</v>
      </c>
      <c r="F210" s="784">
        <v>870</v>
      </c>
    </row>
    <row r="211" spans="1:6" s="764" customFormat="1" ht="14.25" customHeight="1" thickBot="1">
      <c r="A211" s="776" t="s">
        <v>505</v>
      </c>
      <c r="B211" s="770" t="s">
        <v>220</v>
      </c>
      <c r="C211" s="770">
        <v>4160</v>
      </c>
      <c r="D211" s="770">
        <v>4100</v>
      </c>
      <c r="E211" s="770">
        <v>4270</v>
      </c>
      <c r="F211" s="784">
        <v>790</v>
      </c>
    </row>
    <row r="212" spans="1:6" s="764" customFormat="1" ht="14.25" customHeight="1" thickBot="1">
      <c r="A212" s="776" t="s">
        <v>505</v>
      </c>
      <c r="B212" s="770" t="s">
        <v>231</v>
      </c>
      <c r="C212" s="770">
        <v>4880</v>
      </c>
      <c r="D212" s="770">
        <v>4850</v>
      </c>
      <c r="E212" s="770">
        <v>5110</v>
      </c>
      <c r="F212" s="784">
        <v>940</v>
      </c>
    </row>
    <row r="213" spans="1:6" s="764" customFormat="1" ht="14.25" customHeight="1" thickBot="1">
      <c r="A213" s="776" t="s">
        <v>505</v>
      </c>
      <c r="B213" s="770" t="s">
        <v>242</v>
      </c>
      <c r="C213" s="770">
        <v>4640</v>
      </c>
      <c r="D213" s="770">
        <v>4590</v>
      </c>
      <c r="E213" s="770">
        <v>4700</v>
      </c>
      <c r="F213" s="784">
        <v>1030</v>
      </c>
    </row>
    <row r="214" spans="1:6" s="764" customFormat="1" ht="14.25" customHeight="1" thickBot="1">
      <c r="A214" s="776" t="s">
        <v>505</v>
      </c>
      <c r="B214" s="770" t="s">
        <v>254</v>
      </c>
      <c r="C214" s="770">
        <v>4540</v>
      </c>
      <c r="D214" s="770">
        <v>4490</v>
      </c>
      <c r="E214" s="770">
        <v>4610</v>
      </c>
      <c r="F214" s="788"/>
    </row>
    <row r="215" spans="1:6" s="764" customFormat="1" ht="14.25" customHeight="1" thickBot="1">
      <c r="A215" s="776" t="s">
        <v>505</v>
      </c>
      <c r="B215" s="770" t="s">
        <v>264</v>
      </c>
      <c r="C215" s="770">
        <v>5280</v>
      </c>
      <c r="D215" s="770">
        <v>5250</v>
      </c>
      <c r="E215" s="770">
        <v>5520</v>
      </c>
      <c r="F215" s="784">
        <v>1000</v>
      </c>
    </row>
    <row r="216" spans="1:6" s="764" customFormat="1" ht="14.25" customHeight="1" thickBot="1">
      <c r="A216" s="776" t="s">
        <v>505</v>
      </c>
      <c r="B216" s="770" t="s">
        <v>274</v>
      </c>
      <c r="C216" s="770">
        <v>5100</v>
      </c>
      <c r="D216" s="770">
        <v>5050</v>
      </c>
      <c r="E216" s="770">
        <v>5300</v>
      </c>
      <c r="F216" s="784">
        <v>950</v>
      </c>
    </row>
    <row r="217" spans="1:6" s="764" customFormat="1" ht="14.25" customHeight="1" thickBot="1">
      <c r="A217" s="776" t="s">
        <v>505</v>
      </c>
      <c r="B217" s="770" t="s">
        <v>284</v>
      </c>
      <c r="C217" s="770">
        <v>5370</v>
      </c>
      <c r="D217" s="770">
        <v>5320</v>
      </c>
      <c r="E217" s="770">
        <v>5410</v>
      </c>
      <c r="F217" s="784">
        <v>950</v>
      </c>
    </row>
    <row r="218" spans="1:6" s="764" customFormat="1" ht="14.25" customHeight="1" thickBot="1">
      <c r="A218" s="776" t="s">
        <v>505</v>
      </c>
      <c r="B218" s="770" t="s">
        <v>294</v>
      </c>
      <c r="C218" s="770">
        <v>5540</v>
      </c>
      <c r="D218" s="770">
        <v>5480</v>
      </c>
      <c r="E218" s="770">
        <v>5740</v>
      </c>
      <c r="F218" s="784">
        <v>1020</v>
      </c>
    </row>
    <row r="219" spans="1:6" s="764" customFormat="1" ht="14.25" customHeight="1" thickBot="1">
      <c r="A219" s="776" t="s">
        <v>505</v>
      </c>
      <c r="B219" s="770" t="s">
        <v>305</v>
      </c>
      <c r="C219" s="770">
        <v>5140</v>
      </c>
      <c r="D219" s="770">
        <v>5100</v>
      </c>
      <c r="E219" s="770">
        <v>5350</v>
      </c>
      <c r="F219" s="784">
        <v>1120</v>
      </c>
    </row>
    <row r="220" spans="1:6" s="764" customFormat="1" ht="14.25" customHeight="1" thickBot="1">
      <c r="A220" s="776" t="s">
        <v>505</v>
      </c>
      <c r="B220" s="770" t="s">
        <v>316</v>
      </c>
      <c r="C220" s="770">
        <v>5040</v>
      </c>
      <c r="D220" s="770">
        <v>5000</v>
      </c>
      <c r="E220" s="770">
        <v>5240</v>
      </c>
      <c r="F220" s="784">
        <v>980</v>
      </c>
    </row>
    <row r="221" spans="1:6" s="764" customFormat="1" ht="14.25" customHeight="1" thickBot="1">
      <c r="A221" s="776" t="s">
        <v>505</v>
      </c>
      <c r="B221" s="770" t="s">
        <v>326</v>
      </c>
      <c r="C221" s="789"/>
      <c r="D221" s="789"/>
      <c r="E221" s="789"/>
      <c r="F221" s="784">
        <v>1070</v>
      </c>
    </row>
    <row r="222" spans="1:6" s="764" customFormat="1" ht="14.25" customHeight="1" thickBot="1">
      <c r="A222" s="776" t="s">
        <v>505</v>
      </c>
      <c r="B222" s="770" t="s">
        <v>336</v>
      </c>
      <c r="C222" s="789"/>
      <c r="D222" s="789"/>
      <c r="E222" s="789"/>
      <c r="F222" s="784">
        <v>870</v>
      </c>
    </row>
    <row r="223" spans="1:6" s="764" customFormat="1" ht="14.25" customHeight="1" thickBot="1">
      <c r="A223" s="776" t="s">
        <v>505</v>
      </c>
      <c r="B223" s="770" t="s">
        <v>346</v>
      </c>
      <c r="C223" s="789"/>
      <c r="D223" s="789"/>
      <c r="E223" s="789"/>
      <c r="F223" s="784">
        <v>940</v>
      </c>
    </row>
    <row r="224" spans="1:6" s="764" customFormat="1" ht="14.25" customHeight="1" thickBot="1">
      <c r="A224" s="776" t="s">
        <v>505</v>
      </c>
      <c r="B224" s="770" t="s">
        <v>356</v>
      </c>
      <c r="C224" s="789"/>
      <c r="D224" s="789"/>
      <c r="E224" s="789"/>
      <c r="F224" s="784">
        <v>990</v>
      </c>
    </row>
    <row r="225" spans="1:6" s="764" customFormat="1" ht="14.25" customHeight="1" thickBot="1">
      <c r="A225" s="776" t="s">
        <v>505</v>
      </c>
      <c r="B225" s="770" t="s">
        <v>365</v>
      </c>
      <c r="C225" s="770">
        <v>5730</v>
      </c>
      <c r="D225" s="770">
        <v>5680</v>
      </c>
      <c r="E225" s="770">
        <v>6020</v>
      </c>
      <c r="F225" s="784">
        <v>1000</v>
      </c>
    </row>
    <row r="226" spans="1:6" s="764" customFormat="1" ht="14.25" customHeight="1" thickBot="1">
      <c r="A226" s="776" t="s">
        <v>505</v>
      </c>
      <c r="B226" s="770" t="s">
        <v>374</v>
      </c>
      <c r="C226" s="770">
        <v>4970</v>
      </c>
      <c r="D226" s="770">
        <v>4940</v>
      </c>
      <c r="E226" s="770">
        <v>5180</v>
      </c>
      <c r="F226" s="784">
        <v>960</v>
      </c>
    </row>
    <row r="227" spans="1:6" s="764" customFormat="1" ht="14.25" customHeight="1" thickBot="1">
      <c r="A227" s="776" t="s">
        <v>505</v>
      </c>
      <c r="B227" s="770" t="s">
        <v>382</v>
      </c>
      <c r="C227" s="770">
        <v>5550</v>
      </c>
      <c r="D227" s="770">
        <v>5500</v>
      </c>
      <c r="E227" s="770">
        <v>5780</v>
      </c>
      <c r="F227" s="784">
        <v>940</v>
      </c>
    </row>
    <row r="228" spans="1:6" s="764" customFormat="1" ht="14.25" customHeight="1" thickBot="1">
      <c r="A228" s="776" t="s">
        <v>505</v>
      </c>
      <c r="B228" s="770" t="s">
        <v>389</v>
      </c>
      <c r="C228" s="770">
        <v>5460</v>
      </c>
      <c r="D228" s="770">
        <v>5420</v>
      </c>
      <c r="E228" s="770">
        <v>5690</v>
      </c>
      <c r="F228" s="784">
        <v>910</v>
      </c>
    </row>
    <row r="229" spans="1:6" s="764" customFormat="1" ht="14.25" customHeight="1" thickBot="1">
      <c r="A229" s="776" t="s">
        <v>505</v>
      </c>
      <c r="B229" s="770" t="s">
        <v>396</v>
      </c>
      <c r="C229" s="770">
        <v>5310</v>
      </c>
      <c r="D229" s="770">
        <v>5270</v>
      </c>
      <c r="E229" s="770">
        <v>5510</v>
      </c>
      <c r="F229" s="788"/>
    </row>
    <row r="230" spans="1:6" s="764" customFormat="1" ht="14.25" customHeight="1" thickBot="1">
      <c r="A230" s="776" t="s">
        <v>505</v>
      </c>
      <c r="B230" s="770" t="s">
        <v>403</v>
      </c>
      <c r="C230" s="770">
        <v>4540</v>
      </c>
      <c r="D230" s="770">
        <v>4500</v>
      </c>
      <c r="E230" s="770">
        <v>4730</v>
      </c>
      <c r="F230" s="788"/>
    </row>
    <row r="231" spans="1:6" s="764" customFormat="1" ht="14.25" customHeight="1" thickBot="1">
      <c r="A231" s="776" t="s">
        <v>505</v>
      </c>
      <c r="B231" s="770" t="s">
        <v>410</v>
      </c>
      <c r="C231" s="770">
        <v>4480</v>
      </c>
      <c r="D231" s="770">
        <v>4410</v>
      </c>
      <c r="E231" s="770">
        <v>4640</v>
      </c>
      <c r="F231" s="788"/>
    </row>
    <row r="232" spans="1:6" s="764" customFormat="1" ht="14.25" customHeight="1" thickBot="1">
      <c r="A232" s="776" t="s">
        <v>505</v>
      </c>
      <c r="B232" s="770" t="s">
        <v>417</v>
      </c>
      <c r="C232" s="770">
        <v>5670</v>
      </c>
      <c r="D232" s="770">
        <v>5600</v>
      </c>
      <c r="E232" s="770">
        <v>5890</v>
      </c>
      <c r="F232" s="784">
        <v>1150</v>
      </c>
    </row>
    <row r="233" spans="1:6" s="764" customFormat="1" ht="14.25" customHeight="1" thickBot="1">
      <c r="A233" s="776" t="s">
        <v>505</v>
      </c>
      <c r="B233" s="770" t="s">
        <v>424</v>
      </c>
      <c r="C233" s="770">
        <v>4590</v>
      </c>
      <c r="D233" s="770">
        <v>4500</v>
      </c>
      <c r="E233" s="770">
        <v>4600</v>
      </c>
      <c r="F233" s="788"/>
    </row>
    <row r="234" spans="1:6" s="764" customFormat="1" ht="14.25" customHeight="1" thickBot="1">
      <c r="A234" s="776" t="s">
        <v>505</v>
      </c>
      <c r="B234" s="770" t="s">
        <v>998</v>
      </c>
      <c r="C234" s="770">
        <v>3990</v>
      </c>
      <c r="D234" s="770">
        <v>3950</v>
      </c>
      <c r="E234" s="770">
        <v>4180</v>
      </c>
      <c r="F234" s="788"/>
    </row>
    <row r="235" spans="1:6" s="764" customFormat="1" ht="14.25" customHeight="1" thickBot="1">
      <c r="A235" s="776" t="s">
        <v>505</v>
      </c>
      <c r="B235" s="770" t="s">
        <v>433</v>
      </c>
      <c r="C235" s="770">
        <v>5590</v>
      </c>
      <c r="D235" s="770">
        <v>5540</v>
      </c>
      <c r="E235" s="770">
        <v>5810</v>
      </c>
      <c r="F235" s="784">
        <v>970</v>
      </c>
    </row>
    <row r="236" spans="1:6" s="764" customFormat="1" ht="14.25" customHeight="1" thickBot="1">
      <c r="A236" s="776" t="s">
        <v>505</v>
      </c>
      <c r="B236" s="770" t="s">
        <v>438</v>
      </c>
      <c r="C236" s="770"/>
      <c r="D236" s="770"/>
      <c r="E236" s="770"/>
      <c r="F236" s="784">
        <v>1020</v>
      </c>
    </row>
    <row r="237" spans="1:6" s="764" customFormat="1" ht="14.25" customHeight="1" thickBot="1">
      <c r="A237" s="776" t="s">
        <v>505</v>
      </c>
      <c r="B237" s="770" t="s">
        <v>443</v>
      </c>
      <c r="C237" s="770"/>
      <c r="D237" s="770"/>
      <c r="E237" s="770"/>
      <c r="F237" s="784">
        <v>960</v>
      </c>
    </row>
    <row r="238" spans="1:6" s="764" customFormat="1" ht="14.25" customHeight="1" thickBot="1">
      <c r="A238" s="776" t="s">
        <v>505</v>
      </c>
      <c r="B238" s="770" t="s">
        <v>448</v>
      </c>
      <c r="C238" s="770"/>
      <c r="D238" s="770"/>
      <c r="E238" s="770"/>
      <c r="F238" s="784">
        <v>960</v>
      </c>
    </row>
    <row r="239" spans="1:6" s="764" customFormat="1" ht="14.25" customHeight="1" thickBot="1">
      <c r="A239" s="776" t="s">
        <v>505</v>
      </c>
      <c r="B239" s="770" t="s">
        <v>453</v>
      </c>
      <c r="C239" s="770"/>
      <c r="D239" s="770"/>
      <c r="E239" s="770"/>
      <c r="F239" s="784">
        <v>960</v>
      </c>
    </row>
    <row r="240" spans="1:6" s="764" customFormat="1" ht="14.25" customHeight="1" thickBot="1">
      <c r="A240" s="776" t="s">
        <v>505</v>
      </c>
      <c r="B240" s="770" t="s">
        <v>457</v>
      </c>
      <c r="C240" s="770"/>
      <c r="D240" s="770"/>
      <c r="E240" s="770"/>
      <c r="F240" s="784">
        <v>990</v>
      </c>
    </row>
    <row r="241" spans="1:6" s="764" customFormat="1" ht="14.25" customHeight="1" thickBot="1">
      <c r="A241" s="776" t="s">
        <v>505</v>
      </c>
      <c r="B241" s="770" t="s">
        <v>461</v>
      </c>
      <c r="C241" s="770"/>
      <c r="D241" s="770"/>
      <c r="E241" s="770"/>
      <c r="F241" s="784">
        <v>1000</v>
      </c>
    </row>
    <row r="242" spans="1:6" s="764" customFormat="1" ht="14.25" customHeight="1" thickBot="1">
      <c r="A242" s="776" t="s">
        <v>505</v>
      </c>
      <c r="B242" s="770" t="s">
        <v>465</v>
      </c>
      <c r="C242" s="770"/>
      <c r="D242" s="770"/>
      <c r="E242" s="770"/>
      <c r="F242" s="784">
        <v>980</v>
      </c>
    </row>
    <row r="243" spans="1:6" s="764" customFormat="1" ht="14.25" customHeight="1" thickBot="1">
      <c r="A243" s="776" t="s">
        <v>505</v>
      </c>
      <c r="B243" s="770" t="s">
        <v>469</v>
      </c>
      <c r="C243" s="770"/>
      <c r="D243" s="770"/>
      <c r="E243" s="770"/>
      <c r="F243" s="784">
        <v>970</v>
      </c>
    </row>
    <row r="244" spans="1:6" s="764" customFormat="1" ht="14.25" customHeight="1" thickBot="1">
      <c r="A244" s="776" t="s">
        <v>505</v>
      </c>
      <c r="B244" s="782" t="s">
        <v>473</v>
      </c>
      <c r="C244" s="782"/>
      <c r="D244" s="782"/>
      <c r="E244" s="782"/>
      <c r="F244" s="787">
        <v>970</v>
      </c>
    </row>
    <row r="245" spans="1:6" s="764" customFormat="1" ht="14.25" customHeight="1" thickBot="1">
      <c r="A245" s="776" t="s">
        <v>507</v>
      </c>
      <c r="B245" s="777" t="s">
        <v>508</v>
      </c>
      <c r="C245" s="777">
        <v>4050</v>
      </c>
      <c r="D245" s="777">
        <v>4020</v>
      </c>
      <c r="E245" s="777">
        <v>4160</v>
      </c>
      <c r="F245" s="778">
        <v>840</v>
      </c>
    </row>
    <row r="246" spans="1:6" s="764" customFormat="1" ht="14.25" customHeight="1" thickBot="1">
      <c r="A246" s="776" t="s">
        <v>507</v>
      </c>
      <c r="B246" s="770" t="s">
        <v>172</v>
      </c>
      <c r="C246" s="770">
        <v>4010</v>
      </c>
      <c r="D246" s="770">
        <v>3960</v>
      </c>
      <c r="E246" s="770">
        <v>4130</v>
      </c>
      <c r="F246" s="784">
        <v>840</v>
      </c>
    </row>
    <row r="247" spans="1:6" s="764" customFormat="1" ht="14.25" customHeight="1" thickBot="1">
      <c r="A247" s="776" t="s">
        <v>507</v>
      </c>
      <c r="B247" s="770" t="s">
        <v>509</v>
      </c>
      <c r="C247" s="770">
        <v>3170</v>
      </c>
      <c r="D247" s="770">
        <v>3140</v>
      </c>
      <c r="E247" s="770">
        <v>3270</v>
      </c>
      <c r="F247" s="784">
        <v>640</v>
      </c>
    </row>
    <row r="248" spans="1:6" s="764" customFormat="1" ht="14.25" customHeight="1" thickBot="1">
      <c r="A248" s="776" t="s">
        <v>507</v>
      </c>
      <c r="B248" s="770" t="s">
        <v>510</v>
      </c>
      <c r="C248" s="770">
        <v>3140</v>
      </c>
      <c r="D248" s="770">
        <v>3120</v>
      </c>
      <c r="E248" s="770">
        <v>3240</v>
      </c>
      <c r="F248" s="784">
        <v>620</v>
      </c>
    </row>
    <row r="249" spans="1:6" s="764" customFormat="1" ht="14.25" customHeight="1" thickBot="1">
      <c r="A249" s="776" t="s">
        <v>507</v>
      </c>
      <c r="B249" s="770" t="s">
        <v>210</v>
      </c>
      <c r="C249" s="770">
        <v>3200</v>
      </c>
      <c r="D249" s="770">
        <v>3100</v>
      </c>
      <c r="E249" s="770">
        <v>3230</v>
      </c>
      <c r="F249" s="784">
        <v>750</v>
      </c>
    </row>
    <row r="250" spans="1:6" s="764" customFormat="1" ht="14.25" customHeight="1" thickBot="1">
      <c r="A250" s="776" t="s">
        <v>507</v>
      </c>
      <c r="B250" s="770" t="s">
        <v>221</v>
      </c>
      <c r="C250" s="770">
        <v>4060</v>
      </c>
      <c r="D250" s="770">
        <v>4000</v>
      </c>
      <c r="E250" s="770">
        <v>4140</v>
      </c>
      <c r="F250" s="784">
        <v>790</v>
      </c>
    </row>
    <row r="251" spans="1:6" s="764" customFormat="1" ht="14.25" customHeight="1" thickBot="1">
      <c r="A251" s="776" t="s">
        <v>507</v>
      </c>
      <c r="B251" s="770" t="s">
        <v>232</v>
      </c>
      <c r="C251" s="770">
        <v>3990</v>
      </c>
      <c r="D251" s="770">
        <v>3970</v>
      </c>
      <c r="E251" s="770">
        <v>4110</v>
      </c>
      <c r="F251" s="784">
        <v>730</v>
      </c>
    </row>
    <row r="252" spans="1:6" s="764" customFormat="1" ht="14.25" customHeight="1" thickBot="1">
      <c r="A252" s="776" t="s">
        <v>507</v>
      </c>
      <c r="B252" s="770" t="s">
        <v>243</v>
      </c>
      <c r="C252" s="770">
        <v>3560</v>
      </c>
      <c r="D252" s="770">
        <v>3530</v>
      </c>
      <c r="E252" s="770">
        <v>3650</v>
      </c>
      <c r="F252" s="784">
        <v>750</v>
      </c>
    </row>
    <row r="253" spans="1:6" s="764" customFormat="1" ht="14.25" customHeight="1" thickBot="1">
      <c r="A253" s="776" t="s">
        <v>507</v>
      </c>
      <c r="B253" s="770" t="s">
        <v>255</v>
      </c>
      <c r="C253" s="770">
        <v>3780</v>
      </c>
      <c r="D253" s="770">
        <v>3750</v>
      </c>
      <c r="E253" s="770">
        <v>3870</v>
      </c>
      <c r="F253" s="784">
        <v>770</v>
      </c>
    </row>
    <row r="254" spans="1:6" s="764" customFormat="1" ht="14.25" customHeight="1" thickBot="1">
      <c r="A254" s="776" t="s">
        <v>507</v>
      </c>
      <c r="B254" s="770" t="s">
        <v>265</v>
      </c>
      <c r="C254" s="789"/>
      <c r="D254" s="789"/>
      <c r="E254" s="789"/>
      <c r="F254" s="784">
        <v>740</v>
      </c>
    </row>
    <row r="255" spans="1:6" s="764" customFormat="1" ht="14.25" customHeight="1" thickBot="1">
      <c r="A255" s="776" t="s">
        <v>507</v>
      </c>
      <c r="B255" s="770" t="s">
        <v>275</v>
      </c>
      <c r="C255" s="789"/>
      <c r="D255" s="789"/>
      <c r="E255" s="789"/>
      <c r="F255" s="784">
        <v>760</v>
      </c>
    </row>
    <row r="256" spans="1:6" s="764" customFormat="1" ht="14.25" customHeight="1" thickBot="1">
      <c r="A256" s="776" t="s">
        <v>507</v>
      </c>
      <c r="B256" s="770" t="s">
        <v>285</v>
      </c>
      <c r="C256" s="770">
        <v>3760</v>
      </c>
      <c r="D256" s="770">
        <v>3730</v>
      </c>
      <c r="E256" s="770">
        <v>3870</v>
      </c>
      <c r="F256" s="784">
        <v>830</v>
      </c>
    </row>
    <row r="257" spans="1:6" s="764" customFormat="1" ht="14.25" customHeight="1" thickBot="1">
      <c r="A257" s="776" t="s">
        <v>507</v>
      </c>
      <c r="B257" s="770" t="s">
        <v>295</v>
      </c>
      <c r="C257" s="770">
        <v>3570</v>
      </c>
      <c r="D257" s="770">
        <v>3540</v>
      </c>
      <c r="E257" s="770">
        <v>3650</v>
      </c>
      <c r="F257" s="784">
        <v>790</v>
      </c>
    </row>
    <row r="258" spans="1:6" s="764" customFormat="1" ht="14.25" customHeight="1" thickBot="1">
      <c r="A258" s="776" t="s">
        <v>507</v>
      </c>
      <c r="B258" s="770" t="s">
        <v>306</v>
      </c>
      <c r="C258" s="770">
        <v>3410</v>
      </c>
      <c r="D258" s="770">
        <v>3380</v>
      </c>
      <c r="E258" s="770">
        <v>3500</v>
      </c>
      <c r="F258" s="784">
        <v>830</v>
      </c>
    </row>
    <row r="259" spans="1:6" s="764" customFormat="1" ht="14.25" customHeight="1" thickBot="1">
      <c r="A259" s="776" t="s">
        <v>507</v>
      </c>
      <c r="B259" s="770" t="s">
        <v>317</v>
      </c>
      <c r="C259" s="770">
        <v>3870</v>
      </c>
      <c r="D259" s="770">
        <v>3840</v>
      </c>
      <c r="E259" s="770">
        <v>3970</v>
      </c>
      <c r="F259" s="784">
        <v>830</v>
      </c>
    </row>
    <row r="260" spans="1:6" s="764" customFormat="1" ht="14.25" customHeight="1" thickBot="1">
      <c r="A260" s="776" t="s">
        <v>507</v>
      </c>
      <c r="B260" s="770" t="s">
        <v>327</v>
      </c>
      <c r="C260" s="770">
        <v>3700</v>
      </c>
      <c r="D260" s="770">
        <v>3660</v>
      </c>
      <c r="E260" s="770">
        <v>3810</v>
      </c>
      <c r="F260" s="784">
        <v>790</v>
      </c>
    </row>
    <row r="261" spans="1:6" s="764" customFormat="1" ht="14.25" customHeight="1" thickBot="1">
      <c r="A261" s="776" t="s">
        <v>507</v>
      </c>
      <c r="B261" s="770" t="s">
        <v>337</v>
      </c>
      <c r="C261" s="770">
        <v>3470</v>
      </c>
      <c r="D261" s="770">
        <v>3430</v>
      </c>
      <c r="E261" s="770">
        <v>3640</v>
      </c>
      <c r="F261" s="784">
        <v>760</v>
      </c>
    </row>
    <row r="262" spans="1:6" s="764" customFormat="1" ht="14.25" customHeight="1" thickBot="1">
      <c r="A262" s="776" t="s">
        <v>507</v>
      </c>
      <c r="B262" s="770" t="s">
        <v>347</v>
      </c>
      <c r="C262" s="770">
        <v>3510</v>
      </c>
      <c r="D262" s="770">
        <v>3470</v>
      </c>
      <c r="E262" s="770">
        <v>3680</v>
      </c>
      <c r="F262" s="788"/>
    </row>
    <row r="263" spans="1:6" s="764" customFormat="1" ht="14.25" customHeight="1" thickBot="1">
      <c r="A263" s="776" t="s">
        <v>507</v>
      </c>
      <c r="B263" s="770" t="s">
        <v>357</v>
      </c>
      <c r="C263" s="770">
        <v>3960</v>
      </c>
      <c r="D263" s="770">
        <v>3930</v>
      </c>
      <c r="E263" s="770">
        <v>4070</v>
      </c>
      <c r="F263" s="784">
        <v>830</v>
      </c>
    </row>
    <row r="264" spans="1:6" s="764" customFormat="1" ht="14.25" customHeight="1" thickBot="1">
      <c r="A264" s="776" t="s">
        <v>507</v>
      </c>
      <c r="B264" s="770" t="s">
        <v>366</v>
      </c>
      <c r="C264" s="770">
        <v>4010</v>
      </c>
      <c r="D264" s="770">
        <v>3980</v>
      </c>
      <c r="E264" s="770">
        <v>4150</v>
      </c>
      <c r="F264" s="784">
        <v>760</v>
      </c>
    </row>
    <row r="265" spans="1:6" s="764" customFormat="1" ht="14.25" customHeight="1" thickBot="1">
      <c r="A265" s="776" t="s">
        <v>507</v>
      </c>
      <c r="B265" s="770" t="s">
        <v>375</v>
      </c>
      <c r="C265" s="770">
        <v>3910</v>
      </c>
      <c r="D265" s="770">
        <v>3890</v>
      </c>
      <c r="E265" s="770">
        <v>4040</v>
      </c>
      <c r="F265" s="784">
        <v>780</v>
      </c>
    </row>
    <row r="266" spans="1:6" s="764" customFormat="1" ht="14.25" customHeight="1" thickBot="1">
      <c r="A266" s="776" t="s">
        <v>507</v>
      </c>
      <c r="B266" s="770" t="s">
        <v>383</v>
      </c>
      <c r="C266" s="770">
        <v>3930</v>
      </c>
      <c r="D266" s="770">
        <v>3900</v>
      </c>
      <c r="E266" s="770">
        <v>4080</v>
      </c>
      <c r="F266" s="784">
        <v>770</v>
      </c>
    </row>
    <row r="267" spans="1:6" s="764" customFormat="1" ht="14.25" customHeight="1" thickBot="1">
      <c r="A267" s="776" t="s">
        <v>507</v>
      </c>
      <c r="B267" s="770" t="s">
        <v>390</v>
      </c>
      <c r="C267" s="770">
        <v>3800</v>
      </c>
      <c r="D267" s="770">
        <v>3780</v>
      </c>
      <c r="E267" s="770">
        <v>3930</v>
      </c>
      <c r="F267" s="788"/>
    </row>
    <row r="268" spans="1:6" s="764" customFormat="1" ht="14.25" customHeight="1" thickBot="1">
      <c r="A268" s="776" t="s">
        <v>507</v>
      </c>
      <c r="B268" s="770" t="s">
        <v>397</v>
      </c>
      <c r="C268" s="770">
        <v>3460</v>
      </c>
      <c r="D268" s="770">
        <v>3430</v>
      </c>
      <c r="E268" s="770">
        <v>3560</v>
      </c>
      <c r="F268" s="784">
        <v>840</v>
      </c>
    </row>
    <row r="269" spans="1:6" s="764" customFormat="1" ht="14.25" customHeight="1" thickBot="1">
      <c r="A269" s="776" t="s">
        <v>507</v>
      </c>
      <c r="B269" s="770" t="s">
        <v>404</v>
      </c>
      <c r="C269" s="770">
        <v>3210</v>
      </c>
      <c r="D269" s="770">
        <v>3190</v>
      </c>
      <c r="E269" s="770">
        <v>3310</v>
      </c>
      <c r="F269" s="784">
        <v>730</v>
      </c>
    </row>
    <row r="270" spans="1:6" s="764" customFormat="1" ht="14.25" customHeight="1" thickBot="1">
      <c r="A270" s="776" t="s">
        <v>507</v>
      </c>
      <c r="B270" s="770" t="s">
        <v>411</v>
      </c>
      <c r="C270" s="770">
        <v>3240</v>
      </c>
      <c r="D270" s="770">
        <v>3210</v>
      </c>
      <c r="E270" s="770">
        <v>3390</v>
      </c>
      <c r="F270" s="784">
        <v>820</v>
      </c>
    </row>
    <row r="271" spans="1:6" s="764" customFormat="1" ht="14.25" customHeight="1" thickBot="1">
      <c r="A271" s="776" t="s">
        <v>507</v>
      </c>
      <c r="B271" s="770" t="s">
        <v>418</v>
      </c>
      <c r="C271" s="770">
        <v>3300</v>
      </c>
      <c r="D271" s="770">
        <v>3270</v>
      </c>
      <c r="E271" s="770">
        <v>3380</v>
      </c>
      <c r="F271" s="784">
        <v>750</v>
      </c>
    </row>
    <row r="272" spans="1:6" s="764" customFormat="1" ht="14.25" customHeight="1" thickBot="1">
      <c r="A272" s="776" t="s">
        <v>507</v>
      </c>
      <c r="B272" s="770" t="s">
        <v>425</v>
      </c>
      <c r="C272" s="789"/>
      <c r="D272" s="789"/>
      <c r="E272" s="789"/>
      <c r="F272" s="784">
        <v>740</v>
      </c>
    </row>
    <row r="273" spans="1:6" s="764" customFormat="1" ht="14.25" customHeight="1" thickBot="1">
      <c r="A273" s="776" t="s">
        <v>507</v>
      </c>
      <c r="B273" s="770" t="s">
        <v>429</v>
      </c>
      <c r="C273" s="770">
        <v>3130</v>
      </c>
      <c r="D273" s="770">
        <v>3100</v>
      </c>
      <c r="E273" s="770">
        <v>3230</v>
      </c>
      <c r="F273" s="784">
        <v>700</v>
      </c>
    </row>
    <row r="274" spans="1:6" s="764" customFormat="1" ht="14.25" customHeight="1" thickBot="1">
      <c r="A274" s="776" t="s">
        <v>507</v>
      </c>
      <c r="B274" s="770" t="s">
        <v>434</v>
      </c>
      <c r="C274" s="770">
        <v>3460</v>
      </c>
      <c r="D274" s="770">
        <v>3430</v>
      </c>
      <c r="E274" s="770">
        <v>3560</v>
      </c>
      <c r="F274" s="784">
        <v>690</v>
      </c>
    </row>
    <row r="275" spans="1:6" s="764" customFormat="1" ht="14.25" customHeight="1" thickBot="1">
      <c r="A275" s="776" t="s">
        <v>507</v>
      </c>
      <c r="B275" s="770" t="s">
        <v>439</v>
      </c>
      <c r="C275" s="770">
        <v>4040</v>
      </c>
      <c r="D275" s="770">
        <v>4020</v>
      </c>
      <c r="E275" s="770">
        <v>4160</v>
      </c>
      <c r="F275" s="784">
        <v>820</v>
      </c>
    </row>
    <row r="276" spans="1:6" s="764" customFormat="1" ht="14.25" customHeight="1" thickBot="1">
      <c r="A276" s="776" t="s">
        <v>507</v>
      </c>
      <c r="B276" s="770" t="s">
        <v>444</v>
      </c>
      <c r="C276" s="770">
        <v>3270</v>
      </c>
      <c r="D276" s="770">
        <v>3240</v>
      </c>
      <c r="E276" s="770">
        <v>3350</v>
      </c>
      <c r="F276" s="784">
        <v>680</v>
      </c>
    </row>
    <row r="277" spans="1:6" s="764" customFormat="1" ht="14.25" customHeight="1" thickBot="1">
      <c r="A277" s="776" t="s">
        <v>507</v>
      </c>
      <c r="B277" s="770" t="s">
        <v>449</v>
      </c>
      <c r="C277" s="770">
        <v>2930</v>
      </c>
      <c r="D277" s="770">
        <v>2900</v>
      </c>
      <c r="E277" s="770">
        <v>3000</v>
      </c>
      <c r="F277" s="784">
        <v>640</v>
      </c>
    </row>
    <row r="278" spans="1:6" s="764" customFormat="1" ht="14.25" customHeight="1" thickBot="1">
      <c r="A278" s="776" t="s">
        <v>507</v>
      </c>
      <c r="B278" s="770" t="s">
        <v>454</v>
      </c>
      <c r="C278" s="770">
        <v>4080</v>
      </c>
      <c r="D278" s="770">
        <v>4030</v>
      </c>
      <c r="E278" s="770">
        <v>4140</v>
      </c>
      <c r="F278" s="784">
        <v>850</v>
      </c>
    </row>
    <row r="279" spans="1:6" s="764" customFormat="1" ht="14.25" customHeight="1" thickBot="1">
      <c r="A279" s="776" t="s">
        <v>507</v>
      </c>
      <c r="B279" s="770" t="s">
        <v>458</v>
      </c>
      <c r="C279" s="770"/>
      <c r="D279" s="770"/>
      <c r="E279" s="770"/>
      <c r="F279" s="784">
        <v>760</v>
      </c>
    </row>
    <row r="280" spans="1:6" s="764" customFormat="1" ht="14.25" customHeight="1" thickBot="1">
      <c r="A280" s="776" t="s">
        <v>507</v>
      </c>
      <c r="B280" s="770" t="s">
        <v>462</v>
      </c>
      <c r="C280" s="770"/>
      <c r="D280" s="770"/>
      <c r="E280" s="770"/>
      <c r="F280" s="784">
        <v>760</v>
      </c>
    </row>
    <row r="281" spans="1:6" s="764" customFormat="1" ht="14.25" customHeight="1" thickBot="1">
      <c r="A281" s="776" t="s">
        <v>507</v>
      </c>
      <c r="B281" s="770" t="s">
        <v>466</v>
      </c>
      <c r="C281" s="770"/>
      <c r="D281" s="770"/>
      <c r="E281" s="770"/>
      <c r="F281" s="784">
        <v>780</v>
      </c>
    </row>
    <row r="282" spans="1:6" s="764" customFormat="1" ht="14.25" customHeight="1" thickBot="1">
      <c r="A282" s="776" t="s">
        <v>507</v>
      </c>
      <c r="B282" s="770" t="s">
        <v>470</v>
      </c>
      <c r="C282" s="770"/>
      <c r="D282" s="770"/>
      <c r="E282" s="770"/>
      <c r="F282" s="784">
        <v>730</v>
      </c>
    </row>
    <row r="283" spans="1:6" s="764" customFormat="1" ht="14.25" customHeight="1" thickBot="1">
      <c r="A283" s="776" t="s">
        <v>507</v>
      </c>
      <c r="B283" s="770" t="s">
        <v>474</v>
      </c>
      <c r="C283" s="770"/>
      <c r="D283" s="770"/>
      <c r="E283" s="770"/>
      <c r="F283" s="784">
        <v>770</v>
      </c>
    </row>
    <row r="284" spans="1:6" s="764" customFormat="1" ht="14.25" customHeight="1" thickBot="1">
      <c r="A284" s="776" t="s">
        <v>507</v>
      </c>
      <c r="B284" s="770" t="s">
        <v>477</v>
      </c>
      <c r="C284" s="770"/>
      <c r="D284" s="770"/>
      <c r="E284" s="770"/>
      <c r="F284" s="784">
        <v>640</v>
      </c>
    </row>
    <row r="285" spans="1:6" s="764" customFormat="1" ht="14.25" customHeight="1" thickBot="1">
      <c r="A285" s="776" t="s">
        <v>507</v>
      </c>
      <c r="B285" s="770" t="s">
        <v>480</v>
      </c>
      <c r="C285" s="770"/>
      <c r="D285" s="770"/>
      <c r="E285" s="770"/>
      <c r="F285" s="784">
        <v>640</v>
      </c>
    </row>
    <row r="286" spans="1:6" s="764" customFormat="1" ht="14.25" customHeight="1" thickBot="1">
      <c r="A286" s="776" t="s">
        <v>507</v>
      </c>
      <c r="B286" s="770" t="s">
        <v>483</v>
      </c>
      <c r="C286" s="770"/>
      <c r="D286" s="770"/>
      <c r="E286" s="770"/>
      <c r="F286" s="784">
        <v>850</v>
      </c>
    </row>
    <row r="287" spans="1:6" s="764" customFormat="1" ht="14.25" customHeight="1" thickBot="1">
      <c r="A287" s="776" t="s">
        <v>507</v>
      </c>
      <c r="B287" s="770" t="s">
        <v>486</v>
      </c>
      <c r="C287" s="770"/>
      <c r="D287" s="770"/>
      <c r="E287" s="770"/>
      <c r="F287" s="784">
        <v>760</v>
      </c>
    </row>
    <row r="288" spans="1:6" s="764" customFormat="1" ht="14.25" customHeight="1" thickBot="1">
      <c r="A288" s="776" t="s">
        <v>507</v>
      </c>
      <c r="B288" s="770" t="s">
        <v>489</v>
      </c>
      <c r="C288" s="770"/>
      <c r="D288" s="770"/>
      <c r="E288" s="770"/>
      <c r="F288" s="784">
        <v>830</v>
      </c>
    </row>
    <row r="289" spans="1:6" s="764" customFormat="1" ht="14.25" customHeight="1" thickBot="1">
      <c r="A289" s="776" t="s">
        <v>507</v>
      </c>
      <c r="B289" s="782" t="s">
        <v>492</v>
      </c>
      <c r="C289" s="782"/>
      <c r="D289" s="782"/>
      <c r="E289" s="782"/>
      <c r="F289" s="787">
        <v>680</v>
      </c>
    </row>
    <row r="290" spans="1:6" s="764" customFormat="1" ht="14.25" customHeight="1" thickBot="1">
      <c r="A290" s="776" t="s">
        <v>511</v>
      </c>
      <c r="B290" s="777" t="s">
        <v>512</v>
      </c>
      <c r="C290" s="777">
        <v>2770</v>
      </c>
      <c r="D290" s="777">
        <v>2740</v>
      </c>
      <c r="E290" s="777">
        <v>2720</v>
      </c>
      <c r="F290" s="790"/>
    </row>
    <row r="291" spans="1:6" s="764" customFormat="1" ht="14.25" customHeight="1" thickBot="1">
      <c r="A291" s="776" t="s">
        <v>511</v>
      </c>
      <c r="B291" s="770" t="s">
        <v>173</v>
      </c>
      <c r="C291" s="770">
        <v>2670</v>
      </c>
      <c r="D291" s="770">
        <v>2640</v>
      </c>
      <c r="E291" s="770">
        <v>2620</v>
      </c>
      <c r="F291" s="788"/>
    </row>
    <row r="292" spans="1:6" s="764" customFormat="1" ht="14.25" customHeight="1" thickBot="1">
      <c r="A292" s="776" t="s">
        <v>511</v>
      </c>
      <c r="B292" s="770" t="s">
        <v>513</v>
      </c>
      <c r="C292" s="770">
        <v>2180</v>
      </c>
      <c r="D292" s="770">
        <v>2140</v>
      </c>
      <c r="E292" s="770">
        <v>2120</v>
      </c>
      <c r="F292" s="784">
        <v>490</v>
      </c>
    </row>
    <row r="293" spans="1:6" s="764" customFormat="1" ht="14.25" customHeight="1" thickBot="1">
      <c r="A293" s="776" t="s">
        <v>511</v>
      </c>
      <c r="B293" s="770" t="s">
        <v>514</v>
      </c>
      <c r="C293" s="770"/>
      <c r="D293" s="770"/>
      <c r="E293" s="770"/>
      <c r="F293" s="784">
        <v>470</v>
      </c>
    </row>
    <row r="294" spans="1:6" s="764" customFormat="1" ht="14.25" customHeight="1" thickBot="1">
      <c r="A294" s="776" t="s">
        <v>511</v>
      </c>
      <c r="B294" s="770" t="s">
        <v>515</v>
      </c>
      <c r="C294" s="770">
        <v>2730</v>
      </c>
      <c r="D294" s="770">
        <v>2700</v>
      </c>
      <c r="E294" s="770">
        <v>2680</v>
      </c>
      <c r="F294" s="784">
        <v>490</v>
      </c>
    </row>
    <row r="295" spans="1:6" s="764" customFormat="1" ht="14.25" customHeight="1" thickBot="1">
      <c r="A295" s="776" t="s">
        <v>511</v>
      </c>
      <c r="B295" s="770" t="s">
        <v>211</v>
      </c>
      <c r="C295" s="770">
        <v>2380</v>
      </c>
      <c r="D295" s="770">
        <v>2350</v>
      </c>
      <c r="E295" s="770">
        <v>2330</v>
      </c>
      <c r="F295" s="784">
        <v>530</v>
      </c>
    </row>
    <row r="296" spans="1:6" s="764" customFormat="1" ht="14.25" customHeight="1" thickBot="1">
      <c r="A296" s="776" t="s">
        <v>511</v>
      </c>
      <c r="B296" s="770" t="s">
        <v>222</v>
      </c>
      <c r="C296" s="770">
        <v>2650</v>
      </c>
      <c r="D296" s="770">
        <v>2620</v>
      </c>
      <c r="E296" s="770">
        <v>2590</v>
      </c>
      <c r="F296" s="784">
        <v>590</v>
      </c>
    </row>
    <row r="297" spans="1:6" s="764" customFormat="1" ht="14.25" customHeight="1" thickBot="1">
      <c r="A297" s="776" t="s">
        <v>511</v>
      </c>
      <c r="B297" s="770" t="s">
        <v>233</v>
      </c>
      <c r="C297" s="770">
        <v>2700</v>
      </c>
      <c r="D297" s="770">
        <v>2670</v>
      </c>
      <c r="E297" s="770">
        <v>2650</v>
      </c>
      <c r="F297" s="784">
        <v>630</v>
      </c>
    </row>
    <row r="298" spans="1:6" s="764" customFormat="1" ht="14.25" customHeight="1" thickBot="1">
      <c r="A298" s="776" t="s">
        <v>511</v>
      </c>
      <c r="B298" s="770" t="s">
        <v>244</v>
      </c>
      <c r="C298" s="770">
        <v>2650</v>
      </c>
      <c r="D298" s="770">
        <v>2620</v>
      </c>
      <c r="E298" s="770">
        <v>2590</v>
      </c>
      <c r="F298" s="784">
        <v>640</v>
      </c>
    </row>
    <row r="299" spans="1:6" s="764" customFormat="1" ht="14.25" customHeight="1" thickBot="1">
      <c r="A299" s="776" t="s">
        <v>511</v>
      </c>
      <c r="B299" s="770" t="s">
        <v>256</v>
      </c>
      <c r="C299" s="770">
        <v>2500</v>
      </c>
      <c r="D299" s="770">
        <v>2480</v>
      </c>
      <c r="E299" s="770">
        <v>2460</v>
      </c>
      <c r="F299" s="788"/>
    </row>
    <row r="300" spans="1:6" s="764" customFormat="1" ht="14.25" customHeight="1" thickBot="1">
      <c r="A300" s="776" t="s">
        <v>511</v>
      </c>
      <c r="B300" s="770" t="s">
        <v>266</v>
      </c>
      <c r="C300" s="770">
        <v>2760</v>
      </c>
      <c r="D300" s="770">
        <v>2730</v>
      </c>
      <c r="E300" s="770">
        <v>2700</v>
      </c>
      <c r="F300" s="784">
        <v>630</v>
      </c>
    </row>
    <row r="301" spans="1:6" s="764" customFormat="1" ht="14.25" customHeight="1" thickBot="1">
      <c r="A301" s="776" t="s">
        <v>511</v>
      </c>
      <c r="B301" s="770" t="s">
        <v>276</v>
      </c>
      <c r="C301" s="770">
        <v>2510</v>
      </c>
      <c r="D301" s="770">
        <v>2480</v>
      </c>
      <c r="E301" s="770">
        <v>2460</v>
      </c>
      <c r="F301" s="788"/>
    </row>
    <row r="302" spans="1:6" s="764" customFormat="1" ht="14.25" customHeight="1" thickBot="1">
      <c r="A302" s="776" t="s">
        <v>511</v>
      </c>
      <c r="B302" s="770" t="s">
        <v>286</v>
      </c>
      <c r="C302" s="770">
        <v>2480</v>
      </c>
      <c r="D302" s="770">
        <v>2450</v>
      </c>
      <c r="E302" s="770">
        <v>2420</v>
      </c>
      <c r="F302" s="784">
        <v>600</v>
      </c>
    </row>
    <row r="303" spans="1:6" s="764" customFormat="1" ht="14.25" customHeight="1" thickBot="1">
      <c r="A303" s="776" t="s">
        <v>511</v>
      </c>
      <c r="B303" s="770" t="s">
        <v>296</v>
      </c>
      <c r="C303" s="770">
        <v>2270</v>
      </c>
      <c r="D303" s="770">
        <v>2240</v>
      </c>
      <c r="E303" s="770">
        <v>2210</v>
      </c>
      <c r="F303" s="784">
        <v>540</v>
      </c>
    </row>
    <row r="304" spans="1:6" s="764" customFormat="1" ht="14.25" customHeight="1" thickBot="1">
      <c r="A304" s="776" t="s">
        <v>511</v>
      </c>
      <c r="B304" s="770" t="s">
        <v>307</v>
      </c>
      <c r="C304" s="770">
        <v>2310</v>
      </c>
      <c r="D304" s="770">
        <v>2290</v>
      </c>
      <c r="E304" s="770">
        <v>2270</v>
      </c>
      <c r="F304" s="788"/>
    </row>
    <row r="305" spans="1:6" s="764" customFormat="1" ht="14.25" customHeight="1" thickBot="1">
      <c r="A305" s="776" t="s">
        <v>511</v>
      </c>
      <c r="B305" s="770" t="s">
        <v>318</v>
      </c>
      <c r="C305" s="770">
        <v>2490</v>
      </c>
      <c r="D305" s="770">
        <v>2470</v>
      </c>
      <c r="E305" s="770">
        <v>2440</v>
      </c>
      <c r="F305" s="784">
        <v>560</v>
      </c>
    </row>
    <row r="306" spans="1:6" s="764" customFormat="1" ht="14.25" customHeight="1" thickBot="1">
      <c r="A306" s="776" t="s">
        <v>511</v>
      </c>
      <c r="B306" s="770" t="s">
        <v>328</v>
      </c>
      <c r="C306" s="770">
        <v>2420</v>
      </c>
      <c r="D306" s="770">
        <v>2400</v>
      </c>
      <c r="E306" s="770">
        <v>2380</v>
      </c>
      <c r="F306" s="788"/>
    </row>
    <row r="307" spans="1:6" s="764" customFormat="1" ht="14.25" customHeight="1" thickBot="1">
      <c r="A307" s="776" t="s">
        <v>511</v>
      </c>
      <c r="B307" s="770" t="s">
        <v>338</v>
      </c>
      <c r="C307" s="770">
        <v>2770</v>
      </c>
      <c r="D307" s="770">
        <v>2740</v>
      </c>
      <c r="E307" s="770">
        <v>2710</v>
      </c>
      <c r="F307" s="784">
        <v>650</v>
      </c>
    </row>
    <row r="308" spans="1:6" s="764" customFormat="1" ht="14.25" customHeight="1" thickBot="1">
      <c r="A308" s="776" t="s">
        <v>511</v>
      </c>
      <c r="B308" s="770" t="s">
        <v>348</v>
      </c>
      <c r="C308" s="770">
        <v>2610</v>
      </c>
      <c r="D308" s="770">
        <v>2580</v>
      </c>
      <c r="E308" s="770">
        <v>2550</v>
      </c>
      <c r="F308" s="784">
        <v>580</v>
      </c>
    </row>
    <row r="309" spans="1:6" s="764" customFormat="1" ht="14.25" customHeight="1" thickBot="1">
      <c r="A309" s="776" t="s">
        <v>511</v>
      </c>
      <c r="B309" s="770" t="s">
        <v>358</v>
      </c>
      <c r="C309" s="770">
        <v>2690</v>
      </c>
      <c r="D309" s="770">
        <v>2670</v>
      </c>
      <c r="E309" s="770">
        <v>2650</v>
      </c>
      <c r="F309" s="788"/>
    </row>
    <row r="310" spans="1:6" s="764" customFormat="1" ht="14.25" customHeight="1" thickBot="1">
      <c r="A310" s="776" t="s">
        <v>511</v>
      </c>
      <c r="B310" s="770" t="s">
        <v>367</v>
      </c>
      <c r="C310" s="770">
        <v>2360</v>
      </c>
      <c r="D310" s="770">
        <v>2330</v>
      </c>
      <c r="E310" s="770">
        <v>2310</v>
      </c>
      <c r="F310" s="784">
        <v>560</v>
      </c>
    </row>
    <row r="311" spans="1:6" s="764" customFormat="1" ht="14.25" customHeight="1" thickBot="1">
      <c r="A311" s="776" t="s">
        <v>511</v>
      </c>
      <c r="B311" s="770" t="s">
        <v>376</v>
      </c>
      <c r="C311" s="770">
        <v>1970</v>
      </c>
      <c r="D311" s="770">
        <v>1950</v>
      </c>
      <c r="E311" s="770">
        <v>1920</v>
      </c>
      <c r="F311" s="784">
        <v>470</v>
      </c>
    </row>
    <row r="312" spans="1:6" s="764" customFormat="1" ht="14.25" customHeight="1" thickBot="1">
      <c r="A312" s="776" t="s">
        <v>511</v>
      </c>
      <c r="B312" s="770" t="s">
        <v>384</v>
      </c>
      <c r="C312" s="770">
        <v>2230</v>
      </c>
      <c r="D312" s="770">
        <v>2200</v>
      </c>
      <c r="E312" s="770">
        <v>2170</v>
      </c>
      <c r="F312" s="784">
        <v>460</v>
      </c>
    </row>
    <row r="313" spans="1:6" s="764" customFormat="1" ht="14.25" customHeight="1" thickBot="1">
      <c r="A313" s="776" t="s">
        <v>511</v>
      </c>
      <c r="B313" s="770" t="s">
        <v>391</v>
      </c>
      <c r="C313" s="770">
        <v>2770</v>
      </c>
      <c r="D313" s="770">
        <v>2740</v>
      </c>
      <c r="E313" s="770">
        <v>2710</v>
      </c>
      <c r="F313" s="784">
        <v>610</v>
      </c>
    </row>
    <row r="314" spans="1:6" s="764" customFormat="1" ht="14.25" customHeight="1" thickBot="1">
      <c r="A314" s="776" t="s">
        <v>511</v>
      </c>
      <c r="B314" s="770" t="s">
        <v>398</v>
      </c>
      <c r="C314" s="770"/>
      <c r="D314" s="770"/>
      <c r="E314" s="770"/>
      <c r="F314" s="784">
        <v>490</v>
      </c>
    </row>
    <row r="315" spans="1:6" s="764" customFormat="1" ht="14.25" customHeight="1" thickBot="1">
      <c r="A315" s="776" t="s">
        <v>511</v>
      </c>
      <c r="B315" s="770" t="s">
        <v>405</v>
      </c>
      <c r="C315" s="770"/>
      <c r="D315" s="770"/>
      <c r="E315" s="770"/>
      <c r="F315" s="784">
        <v>520</v>
      </c>
    </row>
    <row r="316" spans="1:6" s="764" customFormat="1" ht="14.25" customHeight="1" thickBot="1">
      <c r="A316" s="776" t="s">
        <v>511</v>
      </c>
      <c r="B316" s="782" t="s">
        <v>412</v>
      </c>
      <c r="C316" s="782"/>
      <c r="D316" s="782"/>
      <c r="E316" s="782"/>
      <c r="F316" s="787">
        <v>460</v>
      </c>
    </row>
    <row r="317" spans="1:6" s="764" customFormat="1" ht="14.25" customHeight="1" thickBot="1">
      <c r="A317" s="776" t="s">
        <v>298</v>
      </c>
      <c r="B317" s="777" t="s">
        <v>516</v>
      </c>
      <c r="C317" s="777">
        <v>1200</v>
      </c>
      <c r="D317" s="777">
        <v>1180</v>
      </c>
      <c r="E317" s="777">
        <v>1160</v>
      </c>
      <c r="F317" s="778">
        <v>370</v>
      </c>
    </row>
    <row r="318" spans="1:6" s="764" customFormat="1" ht="14.25" customHeight="1" thickBot="1">
      <c r="A318" s="776" t="s">
        <v>298</v>
      </c>
      <c r="B318" s="770" t="s">
        <v>517</v>
      </c>
      <c r="C318" s="770">
        <v>1090</v>
      </c>
      <c r="D318" s="770">
        <v>1060</v>
      </c>
      <c r="E318" s="770">
        <v>1040</v>
      </c>
      <c r="F318" s="788"/>
    </row>
    <row r="319" spans="1:6" s="764" customFormat="1" ht="14.25" customHeight="1" thickBot="1">
      <c r="A319" s="776" t="s">
        <v>298</v>
      </c>
      <c r="B319" s="770" t="s">
        <v>518</v>
      </c>
      <c r="C319" s="770">
        <v>1520</v>
      </c>
      <c r="D319" s="770">
        <v>1470</v>
      </c>
      <c r="E319" s="770">
        <v>1440</v>
      </c>
      <c r="F319" s="784">
        <v>370</v>
      </c>
    </row>
    <row r="320" spans="1:6" s="764" customFormat="1" ht="14.25" customHeight="1" thickBot="1">
      <c r="A320" s="776" t="s">
        <v>298</v>
      </c>
      <c r="B320" s="770" t="s">
        <v>200</v>
      </c>
      <c r="C320" s="770">
        <v>1360</v>
      </c>
      <c r="D320" s="770">
        <v>1300</v>
      </c>
      <c r="E320" s="770">
        <v>1270</v>
      </c>
      <c r="F320" s="788"/>
    </row>
    <row r="321" spans="1:6" s="764" customFormat="1" ht="14.25" customHeight="1" thickBot="1">
      <c r="A321" s="776" t="s">
        <v>298</v>
      </c>
      <c r="B321" s="770" t="s">
        <v>212</v>
      </c>
      <c r="C321" s="770">
        <v>1750</v>
      </c>
      <c r="D321" s="770">
        <v>1690</v>
      </c>
      <c r="E321" s="770">
        <v>1660</v>
      </c>
      <c r="F321" s="788"/>
    </row>
    <row r="322" spans="1:6" s="764" customFormat="1" ht="14.25" customHeight="1" thickBot="1">
      <c r="A322" s="776" t="s">
        <v>298</v>
      </c>
      <c r="B322" s="770" t="s">
        <v>223</v>
      </c>
      <c r="C322" s="770">
        <v>1650</v>
      </c>
      <c r="D322" s="770">
        <v>1610</v>
      </c>
      <c r="E322" s="770">
        <v>1580</v>
      </c>
      <c r="F322" s="784">
        <v>500</v>
      </c>
    </row>
    <row r="323" spans="1:6" s="764" customFormat="1" ht="14.25" customHeight="1" thickBot="1">
      <c r="A323" s="776" t="s">
        <v>298</v>
      </c>
      <c r="B323" s="770" t="s">
        <v>234</v>
      </c>
      <c r="C323" s="770">
        <v>1780</v>
      </c>
      <c r="D323" s="770">
        <v>1740</v>
      </c>
      <c r="E323" s="770">
        <v>1720</v>
      </c>
      <c r="F323" s="788"/>
    </row>
    <row r="324" spans="1:6" s="764" customFormat="1" ht="14.25" customHeight="1" thickBot="1">
      <c r="A324" s="776" t="s">
        <v>298</v>
      </c>
      <c r="B324" s="770" t="s">
        <v>245</v>
      </c>
      <c r="C324" s="770">
        <v>1650</v>
      </c>
      <c r="D324" s="770">
        <v>1610</v>
      </c>
      <c r="E324" s="770">
        <v>1580</v>
      </c>
      <c r="F324" s="788"/>
    </row>
    <row r="325" spans="1:6" s="764" customFormat="1" ht="14.25" customHeight="1" thickBot="1">
      <c r="A325" s="776" t="s">
        <v>298</v>
      </c>
      <c r="B325" s="770" t="s">
        <v>257</v>
      </c>
      <c r="C325" s="770">
        <v>1330</v>
      </c>
      <c r="D325" s="770">
        <v>1270</v>
      </c>
      <c r="E325" s="770">
        <v>1240</v>
      </c>
      <c r="F325" s="784">
        <v>430</v>
      </c>
    </row>
    <row r="326" spans="1:6" s="764" customFormat="1" ht="14.25" customHeight="1" thickBot="1">
      <c r="A326" s="776" t="s">
        <v>298</v>
      </c>
      <c r="B326" s="770" t="s">
        <v>267</v>
      </c>
      <c r="C326" s="770">
        <v>1470</v>
      </c>
      <c r="D326" s="770">
        <v>1430</v>
      </c>
      <c r="E326" s="770">
        <v>1400</v>
      </c>
      <c r="F326" s="788"/>
    </row>
    <row r="327" spans="1:6" s="764" customFormat="1" ht="14.25" customHeight="1" thickBot="1">
      <c r="A327" s="776" t="s">
        <v>298</v>
      </c>
      <c r="B327" s="770" t="s">
        <v>277</v>
      </c>
      <c r="C327" s="770">
        <v>1420</v>
      </c>
      <c r="D327" s="770">
        <v>1380</v>
      </c>
      <c r="E327" s="770">
        <v>1360</v>
      </c>
      <c r="F327" s="784">
        <v>420</v>
      </c>
    </row>
    <row r="328" spans="1:6" s="764" customFormat="1" ht="14.25" customHeight="1" thickBot="1">
      <c r="A328" s="776" t="s">
        <v>298</v>
      </c>
      <c r="B328" s="770" t="s">
        <v>287</v>
      </c>
      <c r="C328" s="770">
        <v>1400</v>
      </c>
      <c r="D328" s="770">
        <v>1360</v>
      </c>
      <c r="E328" s="770">
        <v>1330</v>
      </c>
      <c r="F328" s="784">
        <v>460</v>
      </c>
    </row>
    <row r="329" spans="1:6" s="764" customFormat="1" ht="14.25" customHeight="1" thickBot="1">
      <c r="A329" s="776" t="s">
        <v>298</v>
      </c>
      <c r="B329" s="770" t="s">
        <v>297</v>
      </c>
      <c r="C329" s="770">
        <v>1640</v>
      </c>
      <c r="D329" s="770">
        <v>1610</v>
      </c>
      <c r="E329" s="770">
        <v>1580</v>
      </c>
      <c r="F329" s="784">
        <v>410</v>
      </c>
    </row>
    <row r="330" spans="1:6" s="764" customFormat="1" ht="14.25" customHeight="1" thickBot="1">
      <c r="A330" s="776" t="s">
        <v>298</v>
      </c>
      <c r="B330" s="770" t="s">
        <v>308</v>
      </c>
      <c r="C330" s="770">
        <v>1260</v>
      </c>
      <c r="D330" s="770">
        <v>1220</v>
      </c>
      <c r="E330" s="770">
        <v>1200</v>
      </c>
      <c r="F330" s="788"/>
    </row>
    <row r="331" spans="1:6" s="764" customFormat="1" ht="14.25" customHeight="1" thickBot="1">
      <c r="A331" s="776" t="s">
        <v>298</v>
      </c>
      <c r="B331" s="770" t="s">
        <v>319</v>
      </c>
      <c r="C331" s="770">
        <v>1620</v>
      </c>
      <c r="D331" s="770">
        <v>1560</v>
      </c>
      <c r="E331" s="770">
        <v>1530</v>
      </c>
      <c r="F331" s="784">
        <v>490</v>
      </c>
    </row>
    <row r="332" spans="1:6" s="764" customFormat="1" ht="14.25" customHeight="1" thickBot="1">
      <c r="A332" s="776" t="s">
        <v>298</v>
      </c>
      <c r="B332" s="770" t="s">
        <v>329</v>
      </c>
      <c r="C332" s="770">
        <v>1520</v>
      </c>
      <c r="D332" s="770">
        <v>1470</v>
      </c>
      <c r="E332" s="770">
        <v>1440</v>
      </c>
      <c r="F332" s="784">
        <v>440</v>
      </c>
    </row>
    <row r="333" spans="1:6" s="764" customFormat="1" ht="14.25" customHeight="1" thickBot="1">
      <c r="A333" s="776" t="s">
        <v>298</v>
      </c>
      <c r="B333" s="770" t="s">
        <v>339</v>
      </c>
      <c r="C333" s="770">
        <v>1370</v>
      </c>
      <c r="D333" s="770">
        <v>1320</v>
      </c>
      <c r="E333" s="770">
        <v>1300</v>
      </c>
      <c r="F333" s="784">
        <v>460</v>
      </c>
    </row>
    <row r="334" spans="1:6" s="764" customFormat="1" ht="14.25" customHeight="1" thickBot="1">
      <c r="A334" s="776" t="s">
        <v>298</v>
      </c>
      <c r="B334" s="770" t="s">
        <v>349</v>
      </c>
      <c r="C334" s="770">
        <v>1410</v>
      </c>
      <c r="D334" s="770">
        <v>1340</v>
      </c>
      <c r="E334" s="770">
        <v>1310</v>
      </c>
      <c r="F334" s="784">
        <v>410</v>
      </c>
    </row>
    <row r="335" spans="1:6" s="764" customFormat="1" ht="14.25" customHeight="1" thickBot="1">
      <c r="A335" s="776" t="s">
        <v>298</v>
      </c>
      <c r="B335" s="770" t="s">
        <v>359</v>
      </c>
      <c r="C335" s="770">
        <v>1260</v>
      </c>
      <c r="D335" s="770">
        <v>1220</v>
      </c>
      <c r="E335" s="770">
        <v>1200</v>
      </c>
      <c r="F335" s="788"/>
    </row>
    <row r="336" spans="1:6" s="764" customFormat="1" ht="14.25" customHeight="1" thickBot="1">
      <c r="A336" s="776" t="s">
        <v>298</v>
      </c>
      <c r="B336" s="770" t="s">
        <v>368</v>
      </c>
      <c r="C336" s="770">
        <v>1160</v>
      </c>
      <c r="D336" s="770">
        <v>1140</v>
      </c>
      <c r="E336" s="770">
        <v>1120</v>
      </c>
      <c r="F336" s="784">
        <v>430</v>
      </c>
    </row>
    <row r="337" spans="1:6" s="764" customFormat="1" ht="14.25" customHeight="1" thickBot="1">
      <c r="A337" s="776" t="s">
        <v>298</v>
      </c>
      <c r="B337" s="782" t="s">
        <v>377</v>
      </c>
      <c r="C337" s="782"/>
      <c r="D337" s="782"/>
      <c r="E337" s="782"/>
      <c r="F337" s="787">
        <v>380</v>
      </c>
    </row>
    <row r="338" spans="1:6" s="764" customFormat="1" ht="14.25" customHeight="1" thickBot="1">
      <c r="A338" s="776" t="s">
        <v>309</v>
      </c>
      <c r="B338" s="777" t="s">
        <v>519</v>
      </c>
      <c r="C338" s="777">
        <v>880</v>
      </c>
      <c r="D338" s="777">
        <v>850</v>
      </c>
      <c r="E338" s="777">
        <v>830</v>
      </c>
      <c r="F338" s="790"/>
    </row>
    <row r="339" spans="1:6" s="764" customFormat="1" ht="14.25" customHeight="1" thickBot="1">
      <c r="A339" s="776" t="s">
        <v>309</v>
      </c>
      <c r="B339" s="770" t="s">
        <v>520</v>
      </c>
      <c r="C339" s="770">
        <v>830</v>
      </c>
      <c r="D339" s="770">
        <v>800</v>
      </c>
      <c r="E339" s="770">
        <v>780</v>
      </c>
      <c r="F339" s="788"/>
    </row>
    <row r="340" spans="1:6" s="764" customFormat="1" ht="14.25" customHeight="1" thickBot="1">
      <c r="A340" s="776" t="s">
        <v>309</v>
      </c>
      <c r="B340" s="770" t="s">
        <v>521</v>
      </c>
      <c r="C340" s="770">
        <v>980</v>
      </c>
      <c r="D340" s="770">
        <v>950</v>
      </c>
      <c r="E340" s="770">
        <v>920</v>
      </c>
      <c r="F340" s="788"/>
    </row>
    <row r="341" spans="1:6" s="764" customFormat="1" ht="14.25" customHeight="1" thickBot="1">
      <c r="A341" s="776" t="s">
        <v>309</v>
      </c>
      <c r="B341" s="770" t="s">
        <v>522</v>
      </c>
      <c r="C341" s="770">
        <v>760</v>
      </c>
      <c r="D341" s="770">
        <v>720</v>
      </c>
      <c r="E341" s="770">
        <v>690</v>
      </c>
      <c r="F341" s="784">
        <v>350</v>
      </c>
    </row>
    <row r="342" spans="1:6" s="764" customFormat="1" ht="14.25" customHeight="1" thickBot="1">
      <c r="A342" s="776" t="s">
        <v>309</v>
      </c>
      <c r="B342" s="770" t="s">
        <v>213</v>
      </c>
      <c r="C342" s="770">
        <v>910</v>
      </c>
      <c r="D342" s="770">
        <v>870</v>
      </c>
      <c r="E342" s="770">
        <v>850</v>
      </c>
      <c r="F342" s="784">
        <v>370</v>
      </c>
    </row>
    <row r="343" spans="1:6" s="764" customFormat="1" ht="14.25" customHeight="1" thickBot="1">
      <c r="A343" s="776" t="s">
        <v>309</v>
      </c>
      <c r="B343" s="770" t="s">
        <v>224</v>
      </c>
      <c r="C343" s="770">
        <v>800</v>
      </c>
      <c r="D343" s="770">
        <v>760</v>
      </c>
      <c r="E343" s="770">
        <v>730</v>
      </c>
      <c r="F343" s="784">
        <v>340</v>
      </c>
    </row>
    <row r="344" spans="1:6" s="764" customFormat="1" ht="14.25" customHeight="1" thickBot="1">
      <c r="A344" s="776" t="s">
        <v>309</v>
      </c>
      <c r="B344" s="782" t="s">
        <v>235</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125" style="749" customWidth="1"/>
  </cols>
  <sheetData>
    <row r="1" spans="1:6">
      <c r="A1" s="3445" t="s">
        <v>816</v>
      </c>
      <c r="B1" s="3445"/>
    </row>
    <row r="2" spans="1:6" ht="14.25" thickBot="1">
      <c r="A2" s="969"/>
      <c r="B2" s="969"/>
    </row>
    <row r="3" spans="1:6" ht="14.25" thickBot="1">
      <c r="A3" s="969"/>
      <c r="B3" s="969"/>
      <c r="C3" s="972" t="s">
        <v>819</v>
      </c>
      <c r="D3" s="972" t="s">
        <v>820</v>
      </c>
      <c r="E3" s="972" t="s">
        <v>821</v>
      </c>
      <c r="F3" s="972" t="s">
        <v>822</v>
      </c>
    </row>
    <row r="4" spans="1:6" ht="14.25" thickBot="1">
      <c r="A4" s="970" t="s">
        <v>817</v>
      </c>
      <c r="B4" s="971" t="s">
        <v>818</v>
      </c>
      <c r="C4" s="972"/>
      <c r="D4" s="972"/>
      <c r="E4" s="972"/>
      <c r="F4" s="972"/>
    </row>
    <row r="5" spans="1:6" ht="14.25" thickBot="1">
      <c r="A5" s="776" t="s">
        <v>823</v>
      </c>
      <c r="B5" s="777" t="s">
        <v>824</v>
      </c>
      <c r="C5" s="973">
        <v>8.8999999999999996E-2</v>
      </c>
      <c r="D5" s="973">
        <v>7.3999999999999996E-2</v>
      </c>
      <c r="E5" s="973">
        <v>7.4999999999999997E-2</v>
      </c>
      <c r="F5" s="974">
        <v>0.1</v>
      </c>
    </row>
    <row r="6" spans="1:6" ht="14.25" thickBot="1">
      <c r="A6" s="776" t="s">
        <v>189</v>
      </c>
      <c r="B6" s="770" t="s">
        <v>825</v>
      </c>
      <c r="C6" s="975">
        <v>0.1</v>
      </c>
      <c r="D6" s="975">
        <v>9.0999999999999998E-2</v>
      </c>
      <c r="E6" s="975">
        <v>9.0999999999999998E-2</v>
      </c>
      <c r="F6" s="976">
        <v>0.1</v>
      </c>
    </row>
    <row r="7" spans="1:6" ht="14.25" thickBot="1">
      <c r="A7" s="776" t="s">
        <v>189</v>
      </c>
      <c r="B7" s="780" t="s">
        <v>178</v>
      </c>
      <c r="C7" s="975">
        <v>8.5999999999999993E-2</v>
      </c>
      <c r="D7" s="975">
        <v>9.6000000000000002E-2</v>
      </c>
      <c r="E7" s="975">
        <v>7.5999999999999998E-2</v>
      </c>
      <c r="F7" s="976">
        <v>0.1</v>
      </c>
    </row>
    <row r="8" spans="1:6" ht="14.25" thickBot="1">
      <c r="A8" s="776" t="s">
        <v>189</v>
      </c>
      <c r="B8" s="770" t="s">
        <v>190</v>
      </c>
      <c r="C8" s="975">
        <v>9.9000000000000005E-2</v>
      </c>
      <c r="D8" s="975">
        <v>9.8000000000000004E-2</v>
      </c>
      <c r="E8" s="975">
        <v>9.8000000000000004E-2</v>
      </c>
      <c r="F8" s="976">
        <v>0.1</v>
      </c>
    </row>
    <row r="9" spans="1:6" ht="14.25" thickBot="1">
      <c r="A9" s="786" t="s">
        <v>189</v>
      </c>
      <c r="B9" s="781" t="s">
        <v>202</v>
      </c>
      <c r="C9" s="977">
        <v>0.05</v>
      </c>
      <c r="D9" s="985"/>
      <c r="E9" s="985"/>
      <c r="F9" s="986"/>
    </row>
    <row r="10" spans="1:6" ht="14.25" thickBot="1">
      <c r="A10" s="776" t="s">
        <v>246</v>
      </c>
      <c r="B10" s="777" t="s">
        <v>826</v>
      </c>
      <c r="C10" s="973">
        <v>8.8999999999999996E-2</v>
      </c>
      <c r="D10" s="973">
        <v>7.2999999999999995E-2</v>
      </c>
      <c r="E10" s="973">
        <v>8.2000000000000003E-2</v>
      </c>
      <c r="F10" s="974">
        <v>0.1</v>
      </c>
    </row>
    <row r="11" spans="1:6" ht="14.25" thickBot="1">
      <c r="A11" s="776" t="s">
        <v>246</v>
      </c>
      <c r="B11" s="780" t="s">
        <v>165</v>
      </c>
      <c r="C11" s="975">
        <v>8.8999999999999996E-2</v>
      </c>
      <c r="D11" s="975">
        <v>7.2999999999999995E-2</v>
      </c>
      <c r="E11" s="975">
        <v>8.2000000000000003E-2</v>
      </c>
      <c r="F11" s="976">
        <v>0.1</v>
      </c>
    </row>
    <row r="12" spans="1:6" ht="14.25" thickBot="1">
      <c r="A12" s="776" t="s">
        <v>246</v>
      </c>
      <c r="B12" s="780" t="s">
        <v>115</v>
      </c>
      <c r="C12" s="975">
        <v>6.0999999999999999E-2</v>
      </c>
      <c r="D12" s="975">
        <v>7.0999999999999994E-2</v>
      </c>
      <c r="E12" s="975">
        <v>9.6000000000000002E-2</v>
      </c>
      <c r="F12" s="976">
        <v>0.1</v>
      </c>
    </row>
    <row r="13" spans="1:6" ht="14.25" thickBot="1">
      <c r="A13" s="776" t="s">
        <v>246</v>
      </c>
      <c r="B13" s="780" t="s">
        <v>191</v>
      </c>
      <c r="C13" s="975">
        <v>6.9000000000000006E-2</v>
      </c>
      <c r="D13" s="975">
        <v>6.5000000000000002E-2</v>
      </c>
      <c r="E13" s="975">
        <v>6.6000000000000003E-2</v>
      </c>
      <c r="F13" s="976">
        <v>0.1</v>
      </c>
    </row>
    <row r="14" spans="1:6" ht="14.25" thickBot="1">
      <c r="A14" s="776" t="s">
        <v>246</v>
      </c>
      <c r="B14" s="780" t="s">
        <v>203</v>
      </c>
      <c r="C14" s="975">
        <v>0.1</v>
      </c>
      <c r="D14" s="975">
        <v>6.5000000000000002E-2</v>
      </c>
      <c r="E14" s="975">
        <v>7.0000000000000007E-2</v>
      </c>
      <c r="F14" s="976">
        <v>0.1</v>
      </c>
    </row>
    <row r="15" spans="1:6" ht="14.25" thickBot="1">
      <c r="A15" s="776" t="s">
        <v>246</v>
      </c>
      <c r="B15" s="780" t="s">
        <v>214</v>
      </c>
      <c r="C15" s="975">
        <v>9.8000000000000004E-2</v>
      </c>
      <c r="D15" s="975">
        <v>8.8999999999999996E-2</v>
      </c>
      <c r="E15" s="975">
        <v>8.8999999999999996E-2</v>
      </c>
      <c r="F15" s="976">
        <v>0.1</v>
      </c>
    </row>
    <row r="16" spans="1:6" ht="14.25" thickBot="1">
      <c r="A16" s="776" t="s">
        <v>246</v>
      </c>
      <c r="B16" s="780" t="s">
        <v>225</v>
      </c>
      <c r="C16" s="975">
        <v>7.0000000000000007E-2</v>
      </c>
      <c r="D16" s="975">
        <v>9.2999999999999999E-2</v>
      </c>
      <c r="E16" s="975">
        <v>9.6000000000000002E-2</v>
      </c>
      <c r="F16" s="976">
        <v>0.1</v>
      </c>
    </row>
    <row r="17" spans="1:6" ht="14.25" thickBot="1">
      <c r="A17" s="776" t="s">
        <v>246</v>
      </c>
      <c r="B17" s="780" t="s">
        <v>236</v>
      </c>
      <c r="C17" s="975">
        <v>9.5000000000000001E-2</v>
      </c>
      <c r="D17" s="975">
        <v>0.1</v>
      </c>
      <c r="E17" s="975">
        <v>0.1</v>
      </c>
      <c r="F17" s="987"/>
    </row>
    <row r="18" spans="1:6" ht="14.25" thickBot="1">
      <c r="A18" s="776" t="s">
        <v>246</v>
      </c>
      <c r="B18" s="780" t="s">
        <v>248</v>
      </c>
      <c r="C18" s="975">
        <v>7.3999999999999996E-2</v>
      </c>
      <c r="D18" s="975">
        <v>9.9000000000000005E-2</v>
      </c>
      <c r="E18" s="975">
        <v>0.1</v>
      </c>
      <c r="F18" s="987"/>
    </row>
    <row r="19" spans="1:6" ht="14.25" thickBot="1">
      <c r="A19" s="776" t="s">
        <v>246</v>
      </c>
      <c r="B19" s="780" t="s">
        <v>258</v>
      </c>
      <c r="C19" s="975">
        <v>9.9000000000000005E-2</v>
      </c>
      <c r="D19" s="975">
        <v>7.5999999999999998E-2</v>
      </c>
      <c r="E19" s="975">
        <v>8.6999999999999994E-2</v>
      </c>
      <c r="F19" s="987"/>
    </row>
    <row r="20" spans="1:6" ht="14.25" thickBot="1">
      <c r="A20" s="776" t="s">
        <v>246</v>
      </c>
      <c r="B20" s="780" t="s">
        <v>268</v>
      </c>
      <c r="C20" s="975">
        <v>9.8000000000000004E-2</v>
      </c>
      <c r="D20" s="975">
        <v>8.5000000000000006E-2</v>
      </c>
      <c r="E20" s="975">
        <v>8.2000000000000003E-2</v>
      </c>
      <c r="F20" s="987"/>
    </row>
    <row r="21" spans="1:6" ht="14.25" thickBot="1">
      <c r="A21" s="776" t="s">
        <v>246</v>
      </c>
      <c r="B21" s="780" t="s">
        <v>278</v>
      </c>
      <c r="C21" s="975">
        <v>6.6000000000000003E-2</v>
      </c>
      <c r="D21" s="975">
        <v>6.4000000000000001E-2</v>
      </c>
      <c r="E21" s="975">
        <v>6.5000000000000002E-2</v>
      </c>
      <c r="F21" s="987"/>
    </row>
    <row r="22" spans="1:6" ht="14.25" thickBot="1">
      <c r="A22" s="776" t="s">
        <v>246</v>
      </c>
      <c r="B22" s="780" t="s">
        <v>827</v>
      </c>
      <c r="C22" s="975">
        <v>0.08</v>
      </c>
      <c r="D22" s="975">
        <v>9.8000000000000004E-2</v>
      </c>
      <c r="E22" s="975">
        <v>9.8000000000000004E-2</v>
      </c>
      <c r="F22" s="987"/>
    </row>
    <row r="23" spans="1:6" ht="14.25" thickBot="1">
      <c r="A23" s="776" t="s">
        <v>246</v>
      </c>
      <c r="B23" s="780" t="s">
        <v>299</v>
      </c>
      <c r="C23" s="975">
        <v>9.9000000000000005E-2</v>
      </c>
      <c r="D23" s="975">
        <v>9.8000000000000004E-2</v>
      </c>
      <c r="E23" s="975">
        <v>9.0999999999999998E-2</v>
      </c>
      <c r="F23" s="987"/>
    </row>
    <row r="24" spans="1:6" ht="14.25" thickBot="1">
      <c r="A24" s="776" t="s">
        <v>246</v>
      </c>
      <c r="B24" s="780" t="s">
        <v>310</v>
      </c>
      <c r="C24" s="975">
        <v>8.8999999999999996E-2</v>
      </c>
      <c r="D24" s="975">
        <v>9.7000000000000003E-2</v>
      </c>
      <c r="E24" s="975">
        <v>7.0000000000000007E-2</v>
      </c>
      <c r="F24" s="987"/>
    </row>
    <row r="25" spans="1:6" ht="14.25" thickBot="1">
      <c r="A25" s="776" t="s">
        <v>246</v>
      </c>
      <c r="B25" s="780" t="s">
        <v>320</v>
      </c>
      <c r="C25" s="975">
        <v>8.8999999999999996E-2</v>
      </c>
      <c r="D25" s="975">
        <v>0.1</v>
      </c>
      <c r="E25" s="975">
        <v>8.1000000000000003E-2</v>
      </c>
      <c r="F25" s="987"/>
    </row>
    <row r="26" spans="1:6" ht="14.25" thickBot="1">
      <c r="A26" s="776" t="s">
        <v>246</v>
      </c>
      <c r="B26" s="780" t="s">
        <v>330</v>
      </c>
      <c r="C26" s="988"/>
      <c r="D26" s="975">
        <v>9.6000000000000002E-2</v>
      </c>
      <c r="E26" s="975">
        <v>9.2999999999999999E-2</v>
      </c>
      <c r="F26" s="987"/>
    </row>
    <row r="27" spans="1:6" ht="14.25" thickBot="1">
      <c r="A27" s="776" t="s">
        <v>246</v>
      </c>
      <c r="B27" s="780" t="s">
        <v>340</v>
      </c>
      <c r="C27" s="988"/>
      <c r="D27" s="975">
        <v>7.5999999999999998E-2</v>
      </c>
      <c r="E27" s="975">
        <v>9.1999999999999998E-2</v>
      </c>
      <c r="F27" s="987"/>
    </row>
    <row r="28" spans="1:6" ht="14.25" thickBot="1">
      <c r="A28" s="786" t="s">
        <v>246</v>
      </c>
      <c r="B28" s="781" t="s">
        <v>350</v>
      </c>
      <c r="C28" s="985"/>
      <c r="D28" s="977">
        <v>7.5999999999999998E-2</v>
      </c>
      <c r="E28" s="977">
        <v>9.1999999999999998E-2</v>
      </c>
      <c r="F28" s="986"/>
    </row>
    <row r="29" spans="1:6" ht="14.25" thickBot="1">
      <c r="A29" s="776" t="s">
        <v>419</v>
      </c>
      <c r="B29" s="777" t="s">
        <v>828</v>
      </c>
      <c r="C29" s="973">
        <v>6.4000000000000001E-2</v>
      </c>
      <c r="D29" s="973">
        <v>6.5000000000000002E-2</v>
      </c>
      <c r="E29" s="973">
        <v>6.9000000000000006E-2</v>
      </c>
      <c r="F29" s="974">
        <v>0.1</v>
      </c>
    </row>
    <row r="30" spans="1:6" ht="14.25" thickBot="1">
      <c r="A30" s="776" t="s">
        <v>419</v>
      </c>
      <c r="B30" s="780" t="s">
        <v>166</v>
      </c>
      <c r="C30" s="975">
        <v>6.4000000000000001E-2</v>
      </c>
      <c r="D30" s="975">
        <v>9.9000000000000005E-2</v>
      </c>
      <c r="E30" s="975">
        <v>0.1</v>
      </c>
      <c r="F30" s="976">
        <v>0.1</v>
      </c>
    </row>
    <row r="31" spans="1:6" ht="14.25" thickBot="1">
      <c r="A31" s="776" t="s">
        <v>419</v>
      </c>
      <c r="B31" s="780" t="s">
        <v>179</v>
      </c>
      <c r="C31" s="975">
        <v>0.1</v>
      </c>
      <c r="D31" s="975">
        <v>9.5000000000000001E-2</v>
      </c>
      <c r="E31" s="975">
        <v>8.8999999999999996E-2</v>
      </c>
      <c r="F31" s="976">
        <v>0.1</v>
      </c>
    </row>
    <row r="32" spans="1:6" ht="14.25" thickBot="1">
      <c r="A32" s="776" t="s">
        <v>419</v>
      </c>
      <c r="B32" s="780" t="s">
        <v>192</v>
      </c>
      <c r="C32" s="975">
        <v>0.05</v>
      </c>
      <c r="D32" s="975">
        <v>0.05</v>
      </c>
      <c r="E32" s="975">
        <v>8.7999999999999995E-2</v>
      </c>
      <c r="F32" s="976">
        <v>0.1</v>
      </c>
    </row>
    <row r="33" spans="1:6" ht="14.25" thickBot="1">
      <c r="A33" s="776" t="s">
        <v>419</v>
      </c>
      <c r="B33" s="780" t="s">
        <v>204</v>
      </c>
      <c r="C33" s="975">
        <v>7.4999999999999997E-2</v>
      </c>
      <c r="D33" s="975">
        <v>9.4E-2</v>
      </c>
      <c r="E33" s="975">
        <v>9.7000000000000003E-2</v>
      </c>
      <c r="F33" s="976">
        <v>0.1</v>
      </c>
    </row>
    <row r="34" spans="1:6" ht="14.25" thickBot="1">
      <c r="A34" s="776" t="s">
        <v>419</v>
      </c>
      <c r="B34" s="780" t="s">
        <v>215</v>
      </c>
      <c r="C34" s="975">
        <v>9.8000000000000004E-2</v>
      </c>
      <c r="D34" s="975">
        <v>8.5999999999999993E-2</v>
      </c>
      <c r="E34" s="975">
        <v>9.7000000000000003E-2</v>
      </c>
      <c r="F34" s="976">
        <v>0.1</v>
      </c>
    </row>
    <row r="35" spans="1:6" ht="14.25" thickBot="1">
      <c r="A35" s="776" t="s">
        <v>419</v>
      </c>
      <c r="B35" s="780" t="s">
        <v>226</v>
      </c>
      <c r="C35" s="975">
        <v>5.8999999999999997E-2</v>
      </c>
      <c r="D35" s="975">
        <v>6.5000000000000002E-2</v>
      </c>
      <c r="E35" s="975">
        <v>7.0000000000000007E-2</v>
      </c>
      <c r="F35" s="976">
        <v>0.1</v>
      </c>
    </row>
    <row r="36" spans="1:6" ht="14.25" thickBot="1">
      <c r="A36" s="776" t="s">
        <v>419</v>
      </c>
      <c r="B36" s="780" t="s">
        <v>237</v>
      </c>
      <c r="C36" s="975">
        <v>6.3E-2</v>
      </c>
      <c r="D36" s="975">
        <v>0.1</v>
      </c>
      <c r="E36" s="975">
        <v>0.1</v>
      </c>
      <c r="F36" s="976">
        <v>0.1</v>
      </c>
    </row>
    <row r="37" spans="1:6" ht="14.25" thickBot="1">
      <c r="A37" s="776" t="s">
        <v>419</v>
      </c>
      <c r="B37" s="780" t="s">
        <v>249</v>
      </c>
      <c r="C37" s="975">
        <v>7.3999999999999996E-2</v>
      </c>
      <c r="D37" s="975">
        <v>0.1</v>
      </c>
      <c r="E37" s="975">
        <v>0.1</v>
      </c>
      <c r="F37" s="976">
        <v>0.1</v>
      </c>
    </row>
    <row r="38" spans="1:6" ht="14.25" thickBot="1">
      <c r="A38" s="776" t="s">
        <v>419</v>
      </c>
      <c r="B38" s="780" t="s">
        <v>259</v>
      </c>
      <c r="C38" s="975">
        <v>0.1</v>
      </c>
      <c r="D38" s="975">
        <v>9.6000000000000002E-2</v>
      </c>
      <c r="E38" s="975">
        <v>9.6000000000000002E-2</v>
      </c>
      <c r="F38" s="987"/>
    </row>
    <row r="39" spans="1:6" ht="14.25" thickBot="1">
      <c r="A39" s="776" t="s">
        <v>419</v>
      </c>
      <c r="B39" s="780" t="s">
        <v>269</v>
      </c>
      <c r="C39" s="975">
        <v>0.1</v>
      </c>
      <c r="D39" s="975">
        <v>9.6000000000000002E-2</v>
      </c>
      <c r="E39" s="975">
        <v>9.6000000000000002E-2</v>
      </c>
      <c r="F39" s="987"/>
    </row>
    <row r="40" spans="1:6" ht="14.25" thickBot="1">
      <c r="A40" s="776" t="s">
        <v>419</v>
      </c>
      <c r="B40" s="780" t="s">
        <v>279</v>
      </c>
      <c r="C40" s="975">
        <v>9.6000000000000002E-2</v>
      </c>
      <c r="D40" s="975">
        <v>0.1</v>
      </c>
      <c r="E40" s="975">
        <v>9.9000000000000005E-2</v>
      </c>
      <c r="F40" s="987"/>
    </row>
    <row r="41" spans="1:6" ht="14.25" thickBot="1">
      <c r="A41" s="776" t="s">
        <v>419</v>
      </c>
      <c r="B41" s="780" t="s">
        <v>289</v>
      </c>
      <c r="C41" s="975">
        <v>9.6000000000000002E-2</v>
      </c>
      <c r="D41" s="975">
        <v>9.8000000000000004E-2</v>
      </c>
      <c r="E41" s="975">
        <v>9.8000000000000004E-2</v>
      </c>
      <c r="F41" s="987"/>
    </row>
    <row r="42" spans="1:6" ht="14.25" thickBot="1">
      <c r="A42" s="776" t="s">
        <v>419</v>
      </c>
      <c r="B42" s="780" t="s">
        <v>300</v>
      </c>
      <c r="C42" s="975">
        <v>0.1</v>
      </c>
      <c r="D42" s="975">
        <v>8.7999999999999995E-2</v>
      </c>
      <c r="E42" s="975">
        <v>0.1</v>
      </c>
      <c r="F42" s="987"/>
    </row>
    <row r="43" spans="1:6" ht="14.25" thickBot="1">
      <c r="A43" s="776" t="s">
        <v>419</v>
      </c>
      <c r="B43" s="780" t="s">
        <v>311</v>
      </c>
      <c r="C43" s="975">
        <v>9.8000000000000004E-2</v>
      </c>
      <c r="D43" s="975">
        <v>9.7000000000000003E-2</v>
      </c>
      <c r="E43" s="975">
        <v>9.6000000000000002E-2</v>
      </c>
      <c r="F43" s="987"/>
    </row>
    <row r="44" spans="1:6" ht="14.25" thickBot="1">
      <c r="A44" s="776" t="s">
        <v>419</v>
      </c>
      <c r="B44" s="780" t="s">
        <v>321</v>
      </c>
      <c r="C44" s="975">
        <v>8.5999999999999993E-2</v>
      </c>
      <c r="D44" s="975">
        <v>7.9000000000000001E-2</v>
      </c>
      <c r="E44" s="975">
        <v>7.0999999999999994E-2</v>
      </c>
      <c r="F44" s="987"/>
    </row>
    <row r="45" spans="1:6" ht="14.25" thickBot="1">
      <c r="A45" s="776" t="s">
        <v>419</v>
      </c>
      <c r="B45" s="780" t="s">
        <v>331</v>
      </c>
      <c r="C45" s="975">
        <v>9.8000000000000004E-2</v>
      </c>
      <c r="D45" s="975">
        <v>9.6000000000000002E-2</v>
      </c>
      <c r="E45" s="975">
        <v>9.6000000000000002E-2</v>
      </c>
      <c r="F45" s="987"/>
    </row>
    <row r="46" spans="1:6" ht="14.25" thickBot="1">
      <c r="A46" s="776" t="s">
        <v>419</v>
      </c>
      <c r="B46" s="780" t="s">
        <v>341</v>
      </c>
      <c r="C46" s="975">
        <v>8.5999999999999993E-2</v>
      </c>
      <c r="D46" s="975">
        <v>9.8000000000000004E-2</v>
      </c>
      <c r="E46" s="975">
        <v>8.7999999999999995E-2</v>
      </c>
      <c r="F46" s="987"/>
    </row>
    <row r="47" spans="1:6" ht="14.25" thickBot="1">
      <c r="A47" s="776" t="s">
        <v>419</v>
      </c>
      <c r="B47" s="780" t="s">
        <v>351</v>
      </c>
      <c r="C47" s="975">
        <v>9.6000000000000002E-2</v>
      </c>
      <c r="D47" s="988"/>
      <c r="E47" s="975">
        <v>6.9000000000000006E-2</v>
      </c>
      <c r="F47" s="987"/>
    </row>
    <row r="48" spans="1:6" ht="14.25" thickBot="1">
      <c r="A48" s="786" t="s">
        <v>419</v>
      </c>
      <c r="B48" s="781" t="s">
        <v>360</v>
      </c>
      <c r="C48" s="977">
        <v>9.8000000000000004E-2</v>
      </c>
      <c r="D48" s="985"/>
      <c r="E48" s="977">
        <v>9.5000000000000001E-2</v>
      </c>
      <c r="F48" s="986"/>
    </row>
    <row r="49" spans="1:6" ht="14.25" thickBot="1">
      <c r="A49" s="776" t="s">
        <v>114</v>
      </c>
      <c r="B49" s="777" t="s">
        <v>829</v>
      </c>
      <c r="C49" s="973">
        <v>9.7000000000000003E-2</v>
      </c>
      <c r="D49" s="973">
        <v>9.5000000000000001E-2</v>
      </c>
      <c r="E49" s="973">
        <v>9.7000000000000003E-2</v>
      </c>
      <c r="F49" s="974">
        <v>0.1</v>
      </c>
    </row>
    <row r="50" spans="1:6" ht="14.25" thickBot="1">
      <c r="A50" s="776" t="s">
        <v>114</v>
      </c>
      <c r="B50" s="770" t="s">
        <v>167</v>
      </c>
      <c r="C50" s="975">
        <v>7.4999999999999997E-2</v>
      </c>
      <c r="D50" s="975">
        <v>9.5000000000000001E-2</v>
      </c>
      <c r="E50" s="975">
        <v>0.1</v>
      </c>
      <c r="F50" s="976">
        <v>0.1</v>
      </c>
    </row>
    <row r="51" spans="1:6" ht="14.25" thickBot="1">
      <c r="A51" s="776" t="s">
        <v>114</v>
      </c>
      <c r="B51" s="770" t="s">
        <v>180</v>
      </c>
      <c r="C51" s="975">
        <v>9.8000000000000004E-2</v>
      </c>
      <c r="D51" s="975">
        <v>8.8999999999999996E-2</v>
      </c>
      <c r="E51" s="975">
        <v>0.1</v>
      </c>
      <c r="F51" s="976">
        <v>0.1</v>
      </c>
    </row>
    <row r="52" spans="1:6" ht="14.25" thickBot="1">
      <c r="A52" s="776" t="s">
        <v>114</v>
      </c>
      <c r="B52" s="770" t="s">
        <v>193</v>
      </c>
      <c r="C52" s="975">
        <v>9.8000000000000004E-2</v>
      </c>
      <c r="D52" s="975">
        <v>9.7000000000000003E-2</v>
      </c>
      <c r="E52" s="975">
        <v>8.1000000000000003E-2</v>
      </c>
      <c r="F52" s="976">
        <v>0.1</v>
      </c>
    </row>
    <row r="53" spans="1:6" ht="14.25" thickBot="1">
      <c r="A53" s="776" t="s">
        <v>114</v>
      </c>
      <c r="B53" s="770" t="s">
        <v>205</v>
      </c>
      <c r="C53" s="975">
        <v>9.7000000000000003E-2</v>
      </c>
      <c r="D53" s="975">
        <v>7.5999999999999998E-2</v>
      </c>
      <c r="E53" s="975">
        <v>7.0999999999999994E-2</v>
      </c>
      <c r="F53" s="976">
        <v>0.1</v>
      </c>
    </row>
    <row r="54" spans="1:6" ht="14.25" thickBot="1">
      <c r="A54" s="776" t="s">
        <v>114</v>
      </c>
      <c r="B54" s="770" t="s">
        <v>216</v>
      </c>
      <c r="C54" s="975">
        <v>7.5999999999999998E-2</v>
      </c>
      <c r="D54" s="975">
        <v>0.1</v>
      </c>
      <c r="E54" s="975">
        <v>9.9000000000000005E-2</v>
      </c>
      <c r="F54" s="976">
        <v>0.1</v>
      </c>
    </row>
    <row r="55" spans="1:6" ht="14.25" thickBot="1">
      <c r="A55" s="776" t="s">
        <v>114</v>
      </c>
      <c r="B55" s="770" t="s">
        <v>227</v>
      </c>
      <c r="C55" s="975">
        <v>0.1</v>
      </c>
      <c r="D55" s="975">
        <v>0.1</v>
      </c>
      <c r="E55" s="975">
        <v>9.6000000000000002E-2</v>
      </c>
      <c r="F55" s="976">
        <v>0.1</v>
      </c>
    </row>
    <row r="56" spans="1:6" ht="14.25" thickBot="1">
      <c r="A56" s="776" t="s">
        <v>114</v>
      </c>
      <c r="B56" s="770" t="s">
        <v>238</v>
      </c>
      <c r="C56" s="975">
        <v>0.1</v>
      </c>
      <c r="D56" s="975">
        <v>9.6000000000000002E-2</v>
      </c>
      <c r="E56" s="975">
        <v>5.1999999999999998E-2</v>
      </c>
      <c r="F56" s="976">
        <v>0.1</v>
      </c>
    </row>
    <row r="57" spans="1:6" ht="14.25" thickBot="1">
      <c r="A57" s="776" t="s">
        <v>114</v>
      </c>
      <c r="B57" s="770" t="s">
        <v>250</v>
      </c>
      <c r="C57" s="975">
        <v>9.7000000000000003E-2</v>
      </c>
      <c r="D57" s="975">
        <v>9.6000000000000002E-2</v>
      </c>
      <c r="E57" s="975">
        <v>9.6000000000000002E-2</v>
      </c>
      <c r="F57" s="976">
        <v>0.1</v>
      </c>
    </row>
    <row r="58" spans="1:6" ht="14.25" thickBot="1">
      <c r="A58" s="776" t="s">
        <v>114</v>
      </c>
      <c r="B58" s="770" t="s">
        <v>260</v>
      </c>
      <c r="C58" s="975">
        <v>9.6000000000000002E-2</v>
      </c>
      <c r="D58" s="975">
        <v>9.9000000000000005E-2</v>
      </c>
      <c r="E58" s="975">
        <v>9.6000000000000002E-2</v>
      </c>
      <c r="F58" s="976">
        <v>0.1</v>
      </c>
    </row>
    <row r="59" spans="1:6" ht="14.25" thickBot="1">
      <c r="A59" s="776" t="s">
        <v>114</v>
      </c>
      <c r="B59" s="770" t="s">
        <v>270</v>
      </c>
      <c r="C59" s="975">
        <v>7.1999999999999995E-2</v>
      </c>
      <c r="D59" s="975">
        <v>9.6000000000000002E-2</v>
      </c>
      <c r="E59" s="975">
        <v>7.0999999999999994E-2</v>
      </c>
      <c r="F59" s="976">
        <v>0.1</v>
      </c>
    </row>
    <row r="60" spans="1:6" ht="14.25" thickBot="1">
      <c r="A60" s="776" t="s">
        <v>114</v>
      </c>
      <c r="B60" s="770" t="s">
        <v>280</v>
      </c>
      <c r="C60" s="975">
        <v>9.6000000000000002E-2</v>
      </c>
      <c r="D60" s="975">
        <v>8.8999999999999996E-2</v>
      </c>
      <c r="E60" s="975">
        <v>9.6000000000000002E-2</v>
      </c>
      <c r="F60" s="976">
        <v>0.1</v>
      </c>
    </row>
    <row r="61" spans="1:6" ht="14.25" thickBot="1">
      <c r="A61" s="776" t="s">
        <v>114</v>
      </c>
      <c r="B61" s="770" t="s">
        <v>290</v>
      </c>
      <c r="C61" s="975">
        <v>8.8999999999999996E-2</v>
      </c>
      <c r="D61" s="975">
        <v>9.8000000000000004E-2</v>
      </c>
      <c r="E61" s="975">
        <v>8.7999999999999995E-2</v>
      </c>
      <c r="F61" s="987"/>
    </row>
    <row r="62" spans="1:6" ht="14.25" thickBot="1">
      <c r="A62" s="776" t="s">
        <v>114</v>
      </c>
      <c r="B62" s="770" t="s">
        <v>301</v>
      </c>
      <c r="C62" s="975">
        <v>9.8000000000000004E-2</v>
      </c>
      <c r="D62" s="975">
        <v>9.2999999999999999E-2</v>
      </c>
      <c r="E62" s="975">
        <v>9.7000000000000003E-2</v>
      </c>
      <c r="F62" s="987"/>
    </row>
    <row r="63" spans="1:6" ht="14.25" thickBot="1">
      <c r="A63" s="776" t="s">
        <v>114</v>
      </c>
      <c r="B63" s="770" t="s">
        <v>312</v>
      </c>
      <c r="C63" s="975">
        <v>9.6000000000000002E-2</v>
      </c>
      <c r="D63" s="975">
        <v>9.8000000000000004E-2</v>
      </c>
      <c r="E63" s="975">
        <v>0.09</v>
      </c>
      <c r="F63" s="987"/>
    </row>
    <row r="64" spans="1:6" ht="14.25" thickBot="1">
      <c r="A64" s="776" t="s">
        <v>114</v>
      </c>
      <c r="B64" s="770" t="s">
        <v>322</v>
      </c>
      <c r="C64" s="975">
        <v>9.9000000000000005E-2</v>
      </c>
      <c r="D64" s="975">
        <v>9.7000000000000003E-2</v>
      </c>
      <c r="E64" s="975">
        <v>9.9000000000000005E-2</v>
      </c>
      <c r="F64" s="987"/>
    </row>
    <row r="65" spans="1:6" ht="14.25" thickBot="1">
      <c r="A65" s="776" t="s">
        <v>114</v>
      </c>
      <c r="B65" s="770" t="s">
        <v>332</v>
      </c>
      <c r="C65" s="975">
        <v>9.8000000000000004E-2</v>
      </c>
      <c r="D65" s="975">
        <v>9.6000000000000002E-2</v>
      </c>
      <c r="E65" s="975">
        <v>9.6000000000000002E-2</v>
      </c>
      <c r="F65" s="987"/>
    </row>
    <row r="66" spans="1:6" ht="14.25" thickBot="1">
      <c r="A66" s="776" t="s">
        <v>114</v>
      </c>
      <c r="B66" s="770" t="s">
        <v>342</v>
      </c>
      <c r="C66" s="975">
        <v>9.6000000000000002E-2</v>
      </c>
      <c r="D66" s="975">
        <v>9.1999999999999998E-2</v>
      </c>
      <c r="E66" s="975">
        <v>9.6000000000000002E-2</v>
      </c>
      <c r="F66" s="987"/>
    </row>
    <row r="67" spans="1:6" ht="14.25" thickBot="1">
      <c r="A67" s="776" t="s">
        <v>114</v>
      </c>
      <c r="B67" s="770" t="s">
        <v>352</v>
      </c>
      <c r="C67" s="975">
        <v>9.4E-2</v>
      </c>
      <c r="D67" s="975">
        <v>0.1</v>
      </c>
      <c r="E67" s="975">
        <v>8.7999999999999995E-2</v>
      </c>
      <c r="F67" s="987"/>
    </row>
    <row r="68" spans="1:6" ht="14.25" thickBot="1">
      <c r="A68" s="776" t="s">
        <v>114</v>
      </c>
      <c r="B68" s="770" t="s">
        <v>361</v>
      </c>
      <c r="C68" s="975">
        <v>0.1</v>
      </c>
      <c r="D68" s="975">
        <v>8.7999999999999995E-2</v>
      </c>
      <c r="E68" s="975">
        <v>9.7000000000000003E-2</v>
      </c>
      <c r="F68" s="987"/>
    </row>
    <row r="69" spans="1:6" ht="14.25" thickBot="1">
      <c r="A69" s="776" t="s">
        <v>114</v>
      </c>
      <c r="B69" s="770" t="s">
        <v>370</v>
      </c>
      <c r="C69" s="975">
        <v>6.4000000000000001E-2</v>
      </c>
      <c r="D69" s="975">
        <v>0.1</v>
      </c>
      <c r="E69" s="975">
        <v>0.1</v>
      </c>
      <c r="F69" s="987"/>
    </row>
    <row r="70" spans="1:6" ht="14.25" thickBot="1">
      <c r="A70" s="776" t="s">
        <v>114</v>
      </c>
      <c r="B70" s="770" t="s">
        <v>378</v>
      </c>
      <c r="C70" s="975">
        <v>9.0999999999999998E-2</v>
      </c>
      <c r="D70" s="988"/>
      <c r="E70" s="988"/>
      <c r="F70" s="987"/>
    </row>
    <row r="71" spans="1:6" ht="14.25" thickBot="1">
      <c r="A71" s="776" t="s">
        <v>114</v>
      </c>
      <c r="B71" s="770" t="s">
        <v>385</v>
      </c>
      <c r="C71" s="975">
        <v>0.1</v>
      </c>
      <c r="D71" s="988"/>
      <c r="E71" s="988"/>
      <c r="F71" s="987"/>
    </row>
    <row r="72" spans="1:6" ht="24.75" thickBot="1">
      <c r="A72" s="776" t="s">
        <v>114</v>
      </c>
      <c r="B72" s="770" t="s">
        <v>830</v>
      </c>
      <c r="C72" s="988"/>
      <c r="D72" s="988"/>
      <c r="E72" s="988"/>
      <c r="F72" s="976">
        <v>0.05</v>
      </c>
    </row>
    <row r="73" spans="1:6" ht="24.75" thickBot="1">
      <c r="A73" s="776" t="s">
        <v>114</v>
      </c>
      <c r="B73" s="770" t="s">
        <v>831</v>
      </c>
      <c r="C73" s="988"/>
      <c r="D73" s="988"/>
      <c r="E73" s="988"/>
      <c r="F73" s="976">
        <v>0.05</v>
      </c>
    </row>
    <row r="74" spans="1:6" ht="24.75" thickBot="1">
      <c r="A74" s="776" t="s">
        <v>114</v>
      </c>
      <c r="B74" s="770" t="s">
        <v>832</v>
      </c>
      <c r="C74" s="988"/>
      <c r="D74" s="988"/>
      <c r="E74" s="988"/>
      <c r="F74" s="976">
        <v>0.05</v>
      </c>
    </row>
    <row r="75" spans="1:6" ht="24.75" thickBot="1">
      <c r="A75" s="786" t="s">
        <v>114</v>
      </c>
      <c r="B75" s="782" t="s">
        <v>833</v>
      </c>
      <c r="C75" s="985"/>
      <c r="D75" s="985"/>
      <c r="E75" s="985"/>
      <c r="F75" s="978">
        <v>0.05</v>
      </c>
    </row>
    <row r="76" spans="1:6" ht="14.25" thickBot="1">
      <c r="A76" s="776" t="s">
        <v>500</v>
      </c>
      <c r="B76" s="777" t="s">
        <v>834</v>
      </c>
      <c r="C76" s="973">
        <v>0.1</v>
      </c>
      <c r="D76" s="973">
        <v>0.1</v>
      </c>
      <c r="E76" s="973">
        <v>0.1</v>
      </c>
      <c r="F76" s="974">
        <v>0.1</v>
      </c>
    </row>
    <row r="77" spans="1:6" ht="14.25" thickBot="1">
      <c r="A77" s="776" t="s">
        <v>500</v>
      </c>
      <c r="B77" s="770" t="s">
        <v>168</v>
      </c>
      <c r="C77" s="975">
        <v>8.7999999999999995E-2</v>
      </c>
      <c r="D77" s="975">
        <v>8.6999999999999994E-2</v>
      </c>
      <c r="E77" s="975">
        <v>7.9000000000000001E-2</v>
      </c>
      <c r="F77" s="976">
        <v>0.1</v>
      </c>
    </row>
    <row r="78" spans="1:6" ht="14.25" thickBot="1">
      <c r="A78" s="776" t="s">
        <v>500</v>
      </c>
      <c r="B78" s="770" t="s">
        <v>181</v>
      </c>
      <c r="C78" s="975">
        <v>8.6999999999999994E-2</v>
      </c>
      <c r="D78" s="975">
        <v>8.4000000000000005E-2</v>
      </c>
      <c r="E78" s="975">
        <v>9.6000000000000002E-2</v>
      </c>
      <c r="F78" s="976">
        <v>0.1</v>
      </c>
    </row>
    <row r="79" spans="1:6" ht="14.25" thickBot="1">
      <c r="A79" s="776" t="s">
        <v>500</v>
      </c>
      <c r="B79" s="770" t="s">
        <v>194</v>
      </c>
      <c r="C79" s="975">
        <v>9.8000000000000004E-2</v>
      </c>
      <c r="D79" s="975">
        <v>9.8000000000000004E-2</v>
      </c>
      <c r="E79" s="975">
        <v>9.0999999999999998E-2</v>
      </c>
      <c r="F79" s="976">
        <v>0.1</v>
      </c>
    </row>
    <row r="80" spans="1:6" ht="14.25" thickBot="1">
      <c r="A80" s="776" t="s">
        <v>500</v>
      </c>
      <c r="B80" s="770" t="s">
        <v>206</v>
      </c>
      <c r="C80" s="975">
        <v>9.6000000000000002E-2</v>
      </c>
      <c r="D80" s="975">
        <v>9.6000000000000002E-2</v>
      </c>
      <c r="E80" s="975">
        <v>0.1</v>
      </c>
      <c r="F80" s="976">
        <v>0.1</v>
      </c>
    </row>
    <row r="81" spans="1:6" ht="14.25" thickBot="1">
      <c r="A81" s="776" t="s">
        <v>500</v>
      </c>
      <c r="B81" s="770" t="s">
        <v>217</v>
      </c>
      <c r="C81" s="975">
        <v>9.9000000000000005E-2</v>
      </c>
      <c r="D81" s="975">
        <v>9.9000000000000005E-2</v>
      </c>
      <c r="E81" s="975">
        <v>9.8000000000000004E-2</v>
      </c>
      <c r="F81" s="976">
        <v>0.1</v>
      </c>
    </row>
    <row r="82" spans="1:6" ht="14.25" thickBot="1">
      <c r="A82" s="776" t="s">
        <v>500</v>
      </c>
      <c r="B82" s="770" t="s">
        <v>228</v>
      </c>
      <c r="C82" s="975">
        <v>9.9000000000000005E-2</v>
      </c>
      <c r="D82" s="975">
        <v>9.9000000000000005E-2</v>
      </c>
      <c r="E82" s="975">
        <v>9.7000000000000003E-2</v>
      </c>
      <c r="F82" s="976">
        <v>0.1</v>
      </c>
    </row>
    <row r="83" spans="1:6" ht="14.25" thickBot="1">
      <c r="A83" s="776" t="s">
        <v>500</v>
      </c>
      <c r="B83" s="770" t="s">
        <v>239</v>
      </c>
      <c r="C83" s="975">
        <v>9.8000000000000004E-2</v>
      </c>
      <c r="D83" s="975">
        <v>9.8000000000000004E-2</v>
      </c>
      <c r="E83" s="975">
        <v>9.8000000000000004E-2</v>
      </c>
      <c r="F83" s="976">
        <v>0.1</v>
      </c>
    </row>
    <row r="84" spans="1:6" ht="14.25" thickBot="1">
      <c r="A84" s="776" t="s">
        <v>500</v>
      </c>
      <c r="B84" s="770" t="s">
        <v>251</v>
      </c>
      <c r="C84" s="975">
        <v>9.9000000000000005E-2</v>
      </c>
      <c r="D84" s="975">
        <v>9.9000000000000005E-2</v>
      </c>
      <c r="E84" s="975">
        <v>9.9000000000000005E-2</v>
      </c>
      <c r="F84" s="976">
        <v>0.1</v>
      </c>
    </row>
    <row r="85" spans="1:6" ht="14.25" thickBot="1">
      <c r="A85" s="776" t="s">
        <v>500</v>
      </c>
      <c r="B85" s="770" t="s">
        <v>261</v>
      </c>
      <c r="C85" s="975">
        <v>9.9000000000000005E-2</v>
      </c>
      <c r="D85" s="975">
        <v>9.9000000000000005E-2</v>
      </c>
      <c r="E85" s="975">
        <v>9.9000000000000005E-2</v>
      </c>
      <c r="F85" s="976">
        <v>0.1</v>
      </c>
    </row>
    <row r="86" spans="1:6" ht="14.25" thickBot="1">
      <c r="A86" s="776" t="s">
        <v>500</v>
      </c>
      <c r="B86" s="770" t="s">
        <v>271</v>
      </c>
      <c r="C86" s="975">
        <v>0.1</v>
      </c>
      <c r="D86" s="975">
        <v>0.1</v>
      </c>
      <c r="E86" s="975">
        <v>7.6999999999999999E-2</v>
      </c>
      <c r="F86" s="976">
        <v>0.1</v>
      </c>
    </row>
    <row r="87" spans="1:6" ht="14.25" thickBot="1">
      <c r="A87" s="776" t="s">
        <v>500</v>
      </c>
      <c r="B87" s="770" t="s">
        <v>281</v>
      </c>
      <c r="C87" s="975">
        <v>0.1</v>
      </c>
      <c r="D87" s="975">
        <v>0.1</v>
      </c>
      <c r="E87" s="975">
        <v>9.8000000000000004E-2</v>
      </c>
      <c r="F87" s="987"/>
    </row>
    <row r="88" spans="1:6" ht="14.25" thickBot="1">
      <c r="A88" s="776" t="s">
        <v>500</v>
      </c>
      <c r="B88" s="770" t="s">
        <v>291</v>
      </c>
      <c r="C88" s="975">
        <v>9.1999999999999998E-2</v>
      </c>
      <c r="D88" s="975">
        <v>8.5000000000000006E-2</v>
      </c>
      <c r="E88" s="975">
        <v>9.6000000000000002E-2</v>
      </c>
      <c r="F88" s="987"/>
    </row>
    <row r="89" spans="1:6" ht="14.25" thickBot="1">
      <c r="A89" s="776" t="s">
        <v>500</v>
      </c>
      <c r="B89" s="770" t="s">
        <v>302</v>
      </c>
      <c r="C89" s="975">
        <v>0.1</v>
      </c>
      <c r="D89" s="975">
        <v>0.1</v>
      </c>
      <c r="E89" s="975">
        <v>9.7000000000000003E-2</v>
      </c>
      <c r="F89" s="987"/>
    </row>
    <row r="90" spans="1:6" ht="14.25" thickBot="1">
      <c r="A90" s="776" t="s">
        <v>500</v>
      </c>
      <c r="B90" s="770" t="s">
        <v>313</v>
      </c>
      <c r="C90" s="975">
        <v>9.8000000000000004E-2</v>
      </c>
      <c r="D90" s="975">
        <v>9.8000000000000004E-2</v>
      </c>
      <c r="E90" s="975">
        <v>8.7999999999999995E-2</v>
      </c>
      <c r="F90" s="987"/>
    </row>
    <row r="91" spans="1:6" ht="14.25" thickBot="1">
      <c r="A91" s="776" t="s">
        <v>500</v>
      </c>
      <c r="B91" s="770" t="s">
        <v>323</v>
      </c>
      <c r="C91" s="975">
        <v>9.9000000000000005E-2</v>
      </c>
      <c r="D91" s="975">
        <v>9.9000000000000005E-2</v>
      </c>
      <c r="E91" s="975">
        <v>9.0999999999999998E-2</v>
      </c>
      <c r="F91" s="987"/>
    </row>
    <row r="92" spans="1:6" ht="14.25" thickBot="1">
      <c r="A92" s="776" t="s">
        <v>500</v>
      </c>
      <c r="B92" s="770" t="s">
        <v>333</v>
      </c>
      <c r="C92" s="975">
        <v>9.6000000000000002E-2</v>
      </c>
      <c r="D92" s="975">
        <v>9.6000000000000002E-2</v>
      </c>
      <c r="E92" s="975">
        <v>7.2999999999999995E-2</v>
      </c>
      <c r="F92" s="987"/>
    </row>
    <row r="93" spans="1:6" ht="14.25" thickBot="1">
      <c r="A93" s="776" t="s">
        <v>500</v>
      </c>
      <c r="B93" s="770" t="s">
        <v>343</v>
      </c>
      <c r="C93" s="975">
        <v>9.6000000000000002E-2</v>
      </c>
      <c r="D93" s="975">
        <v>9.6000000000000002E-2</v>
      </c>
      <c r="E93" s="975">
        <v>9.9000000000000005E-2</v>
      </c>
      <c r="F93" s="987"/>
    </row>
    <row r="94" spans="1:6" ht="14.25" thickBot="1">
      <c r="A94" s="776" t="s">
        <v>500</v>
      </c>
      <c r="B94" s="770" t="s">
        <v>353</v>
      </c>
      <c r="C94" s="975">
        <v>7.5999999999999998E-2</v>
      </c>
      <c r="D94" s="975">
        <v>7.3999999999999996E-2</v>
      </c>
      <c r="E94" s="975">
        <v>9.7000000000000003E-2</v>
      </c>
      <c r="F94" s="987"/>
    </row>
    <row r="95" spans="1:6" ht="14.25" thickBot="1">
      <c r="A95" s="776" t="s">
        <v>500</v>
      </c>
      <c r="B95" s="770" t="s">
        <v>362</v>
      </c>
      <c r="C95" s="975">
        <v>9.9000000000000005E-2</v>
      </c>
      <c r="D95" s="975">
        <v>9.4E-2</v>
      </c>
      <c r="E95" s="975">
        <v>9.6000000000000002E-2</v>
      </c>
      <c r="F95" s="987"/>
    </row>
    <row r="96" spans="1:6" ht="14.25" thickBot="1">
      <c r="A96" s="776" t="s">
        <v>500</v>
      </c>
      <c r="B96" s="770" t="s">
        <v>371</v>
      </c>
      <c r="C96" s="975">
        <v>9.9000000000000005E-2</v>
      </c>
      <c r="D96" s="975">
        <v>9.9000000000000005E-2</v>
      </c>
      <c r="E96" s="975">
        <v>9.9000000000000005E-2</v>
      </c>
      <c r="F96" s="987"/>
    </row>
    <row r="97" spans="1:6" ht="14.25" thickBot="1">
      <c r="A97" s="776" t="s">
        <v>500</v>
      </c>
      <c r="B97" s="770" t="s">
        <v>379</v>
      </c>
      <c r="C97" s="975">
        <v>9.8000000000000004E-2</v>
      </c>
      <c r="D97" s="975">
        <v>9.8000000000000004E-2</v>
      </c>
      <c r="E97" s="975">
        <v>9.7000000000000003E-2</v>
      </c>
      <c r="F97" s="987"/>
    </row>
    <row r="98" spans="1:6" ht="14.25" thickBot="1">
      <c r="A98" s="776" t="s">
        <v>500</v>
      </c>
      <c r="B98" s="770" t="s">
        <v>386</v>
      </c>
      <c r="C98" s="975">
        <v>0.1</v>
      </c>
      <c r="D98" s="975">
        <v>0.1</v>
      </c>
      <c r="E98" s="975">
        <v>9.7000000000000003E-2</v>
      </c>
      <c r="F98" s="987"/>
    </row>
    <row r="99" spans="1:6" ht="14.25" thickBot="1">
      <c r="A99" s="776" t="s">
        <v>500</v>
      </c>
      <c r="B99" s="770" t="s">
        <v>393</v>
      </c>
      <c r="C99" s="975">
        <v>0.1</v>
      </c>
      <c r="D99" s="975">
        <v>0.1</v>
      </c>
      <c r="E99" s="988"/>
      <c r="F99" s="987"/>
    </row>
    <row r="100" spans="1:6" ht="14.25" thickBot="1">
      <c r="A100" s="776" t="s">
        <v>500</v>
      </c>
      <c r="B100" s="770" t="s">
        <v>400</v>
      </c>
      <c r="C100" s="975">
        <v>0.09</v>
      </c>
      <c r="D100" s="975">
        <v>8.8999999999999996E-2</v>
      </c>
      <c r="E100" s="988"/>
      <c r="F100" s="987"/>
    </row>
    <row r="101" spans="1:6" ht="14.25" thickBot="1">
      <c r="A101" s="776" t="s">
        <v>500</v>
      </c>
      <c r="B101" s="770" t="s">
        <v>407</v>
      </c>
      <c r="C101" s="975">
        <v>9.8000000000000004E-2</v>
      </c>
      <c r="D101" s="975">
        <v>9.7000000000000003E-2</v>
      </c>
      <c r="E101" s="988"/>
      <c r="F101" s="987"/>
    </row>
    <row r="102" spans="1:6" ht="24.75" thickBot="1">
      <c r="A102" s="776" t="s">
        <v>500</v>
      </c>
      <c r="B102" s="770" t="s">
        <v>835</v>
      </c>
      <c r="C102" s="988"/>
      <c r="D102" s="988"/>
      <c r="E102" s="988"/>
      <c r="F102" s="976">
        <v>0.05</v>
      </c>
    </row>
    <row r="103" spans="1:6" ht="24.75" thickBot="1">
      <c r="A103" s="776" t="s">
        <v>500</v>
      </c>
      <c r="B103" s="770" t="s">
        <v>836</v>
      </c>
      <c r="C103" s="988"/>
      <c r="D103" s="988"/>
      <c r="E103" s="988"/>
      <c r="F103" s="976">
        <v>0.05</v>
      </c>
    </row>
    <row r="104" spans="1:6" ht="14.25" thickBot="1">
      <c r="A104" s="776" t="s">
        <v>500</v>
      </c>
      <c r="B104" s="770" t="s">
        <v>837</v>
      </c>
      <c r="C104" s="988"/>
      <c r="D104" s="988"/>
      <c r="E104" s="988"/>
      <c r="F104" s="976">
        <v>0.05</v>
      </c>
    </row>
    <row r="105" spans="1:6" ht="14.25" thickBot="1">
      <c r="A105" s="776" t="s">
        <v>500</v>
      </c>
      <c r="B105" s="770" t="s">
        <v>838</v>
      </c>
      <c r="C105" s="988"/>
      <c r="D105" s="988"/>
      <c r="E105" s="988"/>
      <c r="F105" s="976">
        <v>0.05</v>
      </c>
    </row>
    <row r="106" spans="1:6" ht="14.25" thickBot="1">
      <c r="A106" s="776" t="s">
        <v>500</v>
      </c>
      <c r="B106" s="770" t="s">
        <v>839</v>
      </c>
      <c r="C106" s="988"/>
      <c r="D106" s="988"/>
      <c r="E106" s="988"/>
      <c r="F106" s="976">
        <v>0.05</v>
      </c>
    </row>
    <row r="107" spans="1:6" ht="24.75" thickBot="1">
      <c r="A107" s="776" t="s">
        <v>500</v>
      </c>
      <c r="B107" s="770" t="s">
        <v>840</v>
      </c>
      <c r="C107" s="988"/>
      <c r="D107" s="988"/>
      <c r="E107" s="988"/>
      <c r="F107" s="976">
        <v>0.05</v>
      </c>
    </row>
    <row r="108" spans="1:6" ht="24.75" thickBot="1">
      <c r="A108" s="776" t="s">
        <v>500</v>
      </c>
      <c r="B108" s="770" t="s">
        <v>841</v>
      </c>
      <c r="C108" s="988"/>
      <c r="D108" s="988"/>
      <c r="E108" s="988"/>
      <c r="F108" s="976">
        <v>0.05</v>
      </c>
    </row>
    <row r="109" spans="1:6" ht="24.75" thickBot="1">
      <c r="A109" s="786" t="s">
        <v>500</v>
      </c>
      <c r="B109" s="782" t="s">
        <v>842</v>
      </c>
      <c r="C109" s="985"/>
      <c r="D109" s="985"/>
      <c r="E109" s="985"/>
      <c r="F109" s="978">
        <v>0.05</v>
      </c>
    </row>
    <row r="110" spans="1:6" ht="14.25" thickBot="1">
      <c r="A110" s="776" t="s">
        <v>33</v>
      </c>
      <c r="B110" s="777" t="s">
        <v>843</v>
      </c>
      <c r="C110" s="973">
        <v>0.129</v>
      </c>
      <c r="D110" s="973">
        <v>0.129</v>
      </c>
      <c r="E110" s="973">
        <v>0.126</v>
      </c>
      <c r="F110" s="974">
        <v>0.13</v>
      </c>
    </row>
    <row r="111" spans="1:6" ht="14.25" thickBot="1">
      <c r="A111" s="776" t="s">
        <v>33</v>
      </c>
      <c r="B111" s="770" t="s">
        <v>169</v>
      </c>
      <c r="C111" s="975">
        <v>0.11</v>
      </c>
      <c r="D111" s="975">
        <v>0.11</v>
      </c>
      <c r="E111" s="975">
        <v>9.9000000000000005E-2</v>
      </c>
      <c r="F111" s="976">
        <v>0.128</v>
      </c>
    </row>
    <row r="112" spans="1:6" ht="14.25" thickBot="1">
      <c r="A112" s="776" t="s">
        <v>33</v>
      </c>
      <c r="B112" s="770" t="s">
        <v>182</v>
      </c>
      <c r="C112" s="975">
        <v>0.125</v>
      </c>
      <c r="D112" s="975">
        <v>0.125</v>
      </c>
      <c r="E112" s="975">
        <v>0.12</v>
      </c>
      <c r="F112" s="976">
        <v>0.125</v>
      </c>
    </row>
    <row r="113" spans="1:6" ht="14.25" thickBot="1">
      <c r="A113" s="776" t="s">
        <v>33</v>
      </c>
      <c r="B113" s="770" t="s">
        <v>195</v>
      </c>
      <c r="C113" s="975">
        <v>0.13</v>
      </c>
      <c r="D113" s="975">
        <v>0.13</v>
      </c>
      <c r="E113" s="975">
        <v>0.13</v>
      </c>
      <c r="F113" s="976">
        <v>0.13</v>
      </c>
    </row>
    <row r="114" spans="1:6" ht="14.25" thickBot="1">
      <c r="A114" s="776" t="s">
        <v>33</v>
      </c>
      <c r="B114" s="770" t="s">
        <v>207</v>
      </c>
      <c r="C114" s="975">
        <v>0.123</v>
      </c>
      <c r="D114" s="975">
        <v>0.123</v>
      </c>
      <c r="E114" s="975">
        <v>0.12</v>
      </c>
      <c r="F114" s="976">
        <v>0.13</v>
      </c>
    </row>
    <row r="115" spans="1:6" ht="14.25" thickBot="1">
      <c r="A115" s="776" t="s">
        <v>33</v>
      </c>
      <c r="B115" s="770" t="s">
        <v>218</v>
      </c>
      <c r="C115" s="975">
        <v>0.125</v>
      </c>
      <c r="D115" s="975">
        <v>0.125</v>
      </c>
      <c r="E115" s="975">
        <v>0.11700000000000001</v>
      </c>
      <c r="F115" s="976">
        <v>0.13</v>
      </c>
    </row>
    <row r="116" spans="1:6" ht="14.25" thickBot="1">
      <c r="A116" s="776" t="s">
        <v>33</v>
      </c>
      <c r="B116" s="770" t="s">
        <v>229</v>
      </c>
      <c r="C116" s="975">
        <v>0.11700000000000001</v>
      </c>
      <c r="D116" s="975">
        <v>0.11700000000000001</v>
      </c>
      <c r="E116" s="975">
        <v>8.7999999999999995E-2</v>
      </c>
      <c r="F116" s="976">
        <v>0.13</v>
      </c>
    </row>
    <row r="117" spans="1:6" ht="14.25" thickBot="1">
      <c r="A117" s="776" t="s">
        <v>33</v>
      </c>
      <c r="B117" s="770" t="s">
        <v>240</v>
      </c>
      <c r="C117" s="975">
        <v>0.13</v>
      </c>
      <c r="D117" s="975">
        <v>0.13</v>
      </c>
      <c r="E117" s="975">
        <v>0.129</v>
      </c>
      <c r="F117" s="976">
        <v>0.13</v>
      </c>
    </row>
    <row r="118" spans="1:6" ht="14.25" thickBot="1">
      <c r="A118" s="776" t="s">
        <v>33</v>
      </c>
      <c r="B118" s="770" t="s">
        <v>252</v>
      </c>
      <c r="C118" s="975">
        <v>0.123</v>
      </c>
      <c r="D118" s="975">
        <v>0.123</v>
      </c>
      <c r="E118" s="975">
        <v>0.11600000000000001</v>
      </c>
      <c r="F118" s="976">
        <v>0.13</v>
      </c>
    </row>
    <row r="119" spans="1:6" ht="14.25" thickBot="1">
      <c r="A119" s="776" t="s">
        <v>33</v>
      </c>
      <c r="B119" s="770" t="s">
        <v>262</v>
      </c>
      <c r="C119" s="975">
        <v>0.127</v>
      </c>
      <c r="D119" s="975">
        <v>0.127</v>
      </c>
      <c r="E119" s="975">
        <v>0.124</v>
      </c>
      <c r="F119" s="976">
        <v>0.13</v>
      </c>
    </row>
    <row r="120" spans="1:6" ht="14.25" thickBot="1">
      <c r="A120" s="776" t="s">
        <v>33</v>
      </c>
      <c r="B120" s="770" t="s">
        <v>272</v>
      </c>
      <c r="C120" s="975">
        <v>0.125</v>
      </c>
      <c r="D120" s="975">
        <v>0.125</v>
      </c>
      <c r="E120" s="975">
        <v>0.122</v>
      </c>
      <c r="F120" s="976">
        <v>0.13</v>
      </c>
    </row>
    <row r="121" spans="1:6" ht="14.25" thickBot="1">
      <c r="A121" s="776" t="s">
        <v>33</v>
      </c>
      <c r="B121" s="770" t="s">
        <v>282</v>
      </c>
      <c r="C121" s="975">
        <v>0.13</v>
      </c>
      <c r="D121" s="975">
        <v>0.13</v>
      </c>
      <c r="E121" s="975">
        <v>0.13</v>
      </c>
      <c r="F121" s="976">
        <v>0.13</v>
      </c>
    </row>
    <row r="122" spans="1:6" ht="14.25" thickBot="1">
      <c r="A122" s="776" t="s">
        <v>33</v>
      </c>
      <c r="B122" s="770" t="s">
        <v>292</v>
      </c>
      <c r="C122" s="975">
        <v>0.13</v>
      </c>
      <c r="D122" s="975">
        <v>0.13</v>
      </c>
      <c r="E122" s="975">
        <v>0.125</v>
      </c>
      <c r="F122" s="976">
        <v>0.13</v>
      </c>
    </row>
    <row r="123" spans="1:6" ht="14.25" thickBot="1">
      <c r="A123" s="776" t="s">
        <v>33</v>
      </c>
      <c r="B123" s="770" t="s">
        <v>303</v>
      </c>
      <c r="C123" s="975">
        <v>0.129</v>
      </c>
      <c r="D123" s="975">
        <v>0.129</v>
      </c>
      <c r="E123" s="975">
        <v>0.123</v>
      </c>
      <c r="F123" s="976">
        <v>0.13</v>
      </c>
    </row>
    <row r="124" spans="1:6" ht="14.25" thickBot="1">
      <c r="A124" s="776" t="s">
        <v>33</v>
      </c>
      <c r="B124" s="770" t="s">
        <v>314</v>
      </c>
      <c r="C124" s="975">
        <v>0.10199999999999999</v>
      </c>
      <c r="D124" s="975">
        <v>0.10100000000000001</v>
      </c>
      <c r="E124" s="975">
        <v>0.08</v>
      </c>
      <c r="F124" s="987"/>
    </row>
    <row r="125" spans="1:6" ht="14.25" thickBot="1">
      <c r="A125" s="776" t="s">
        <v>33</v>
      </c>
      <c r="B125" s="770" t="s">
        <v>324</v>
      </c>
      <c r="C125" s="975">
        <v>0.13</v>
      </c>
      <c r="D125" s="975">
        <v>0.13</v>
      </c>
      <c r="E125" s="975">
        <v>0.129</v>
      </c>
      <c r="F125" s="987"/>
    </row>
    <row r="126" spans="1:6" ht="14.25" thickBot="1">
      <c r="A126" s="776" t="s">
        <v>33</v>
      </c>
      <c r="B126" s="770" t="s">
        <v>334</v>
      </c>
      <c r="C126" s="975">
        <v>0.13</v>
      </c>
      <c r="D126" s="975">
        <v>0.13</v>
      </c>
      <c r="E126" s="975">
        <v>0.126</v>
      </c>
      <c r="F126" s="987"/>
    </row>
    <row r="127" spans="1:6" ht="14.25" thickBot="1">
      <c r="A127" s="776" t="s">
        <v>33</v>
      </c>
      <c r="B127" s="770" t="s">
        <v>344</v>
      </c>
      <c r="C127" s="975">
        <v>0.125</v>
      </c>
      <c r="D127" s="975">
        <v>0.125</v>
      </c>
      <c r="E127" s="975">
        <v>0.121</v>
      </c>
      <c r="F127" s="987"/>
    </row>
    <row r="128" spans="1:6" ht="14.25" thickBot="1">
      <c r="A128" s="776" t="s">
        <v>33</v>
      </c>
      <c r="B128" s="770" t="s">
        <v>354</v>
      </c>
      <c r="C128" s="975">
        <v>0.12</v>
      </c>
      <c r="D128" s="975">
        <v>0.12</v>
      </c>
      <c r="E128" s="975">
        <v>0.105</v>
      </c>
      <c r="F128" s="987"/>
    </row>
    <row r="129" spans="1:6" ht="14.25" thickBot="1">
      <c r="A129" s="776" t="s">
        <v>33</v>
      </c>
      <c r="B129" s="770" t="s">
        <v>363</v>
      </c>
      <c r="C129" s="975">
        <v>0.13</v>
      </c>
      <c r="D129" s="975">
        <v>0.13</v>
      </c>
      <c r="E129" s="975">
        <v>0.126</v>
      </c>
      <c r="F129" s="987"/>
    </row>
    <row r="130" spans="1:6" ht="14.25" thickBot="1">
      <c r="A130" s="776" t="s">
        <v>33</v>
      </c>
      <c r="B130" s="770" t="s">
        <v>372</v>
      </c>
      <c r="C130" s="975">
        <v>0.125</v>
      </c>
      <c r="D130" s="975">
        <v>0.125</v>
      </c>
      <c r="E130" s="975">
        <v>0.122</v>
      </c>
      <c r="F130" s="987"/>
    </row>
    <row r="131" spans="1:6" ht="14.25" thickBot="1">
      <c r="A131" s="776" t="s">
        <v>33</v>
      </c>
      <c r="B131" s="770" t="s">
        <v>380</v>
      </c>
      <c r="C131" s="975">
        <v>0.127</v>
      </c>
      <c r="D131" s="975">
        <v>0.126</v>
      </c>
      <c r="E131" s="975">
        <v>0.123</v>
      </c>
      <c r="F131" s="987"/>
    </row>
    <row r="132" spans="1:6" ht="14.25" thickBot="1">
      <c r="A132" s="776" t="s">
        <v>33</v>
      </c>
      <c r="B132" s="770" t="s">
        <v>387</v>
      </c>
      <c r="C132" s="975">
        <v>9.0999999999999998E-2</v>
      </c>
      <c r="D132" s="975">
        <v>0.121</v>
      </c>
      <c r="E132" s="975">
        <v>9.9000000000000005E-2</v>
      </c>
      <c r="F132" s="987"/>
    </row>
    <row r="133" spans="1:6" ht="14.25" thickBot="1">
      <c r="A133" s="776" t="s">
        <v>33</v>
      </c>
      <c r="B133" s="770" t="s">
        <v>394</v>
      </c>
      <c r="C133" s="975">
        <v>0.13</v>
      </c>
      <c r="D133" s="975">
        <v>0.13</v>
      </c>
      <c r="E133" s="975">
        <v>0.129</v>
      </c>
      <c r="F133" s="987"/>
    </row>
    <row r="134" spans="1:6" ht="14.25" thickBot="1">
      <c r="A134" s="776" t="s">
        <v>33</v>
      </c>
      <c r="B134" s="770" t="s">
        <v>844</v>
      </c>
      <c r="C134" s="975">
        <v>6.8000000000000005E-2</v>
      </c>
      <c r="D134" s="975">
        <v>6.5000000000000002E-2</v>
      </c>
      <c r="E134" s="975">
        <v>6.5000000000000002E-2</v>
      </c>
      <c r="F134" s="976">
        <v>0.13</v>
      </c>
    </row>
    <row r="135" spans="1:6" ht="14.25" thickBot="1">
      <c r="A135" s="776" t="s">
        <v>33</v>
      </c>
      <c r="B135" s="770" t="s">
        <v>408</v>
      </c>
      <c r="C135" s="975">
        <v>0.123</v>
      </c>
      <c r="D135" s="975">
        <v>0.123</v>
      </c>
      <c r="E135" s="975">
        <v>0.11</v>
      </c>
      <c r="F135" s="987"/>
    </row>
    <row r="136" spans="1:6" ht="14.25" thickBot="1">
      <c r="A136" s="776" t="s">
        <v>33</v>
      </c>
      <c r="B136" s="770" t="s">
        <v>415</v>
      </c>
      <c r="C136" s="975">
        <v>0.13</v>
      </c>
      <c r="D136" s="975">
        <v>0.13</v>
      </c>
      <c r="E136" s="975">
        <v>0.125</v>
      </c>
      <c r="F136" s="987"/>
    </row>
    <row r="137" spans="1:6" ht="14.25" thickBot="1">
      <c r="A137" s="776" t="s">
        <v>33</v>
      </c>
      <c r="B137" s="770" t="s">
        <v>422</v>
      </c>
      <c r="C137" s="975">
        <v>0.121</v>
      </c>
      <c r="D137" s="975">
        <v>0.122</v>
      </c>
      <c r="E137" s="975">
        <v>0.115</v>
      </c>
      <c r="F137" s="987"/>
    </row>
    <row r="138" spans="1:6" ht="14.25" thickBot="1">
      <c r="A138" s="776" t="s">
        <v>33</v>
      </c>
      <c r="B138" s="770" t="s">
        <v>845</v>
      </c>
      <c r="C138" s="975">
        <v>0.105</v>
      </c>
      <c r="D138" s="975">
        <v>0.125</v>
      </c>
      <c r="E138" s="975">
        <v>0.112</v>
      </c>
      <c r="F138" s="987"/>
    </row>
    <row r="139" spans="1:6" ht="14.25" thickBot="1">
      <c r="A139" s="776" t="s">
        <v>33</v>
      </c>
      <c r="B139" s="770" t="s">
        <v>846</v>
      </c>
      <c r="C139" s="975">
        <v>0.127</v>
      </c>
      <c r="D139" s="975">
        <v>0.127</v>
      </c>
      <c r="E139" s="975">
        <v>0.122</v>
      </c>
      <c r="F139" s="976">
        <v>0.13</v>
      </c>
    </row>
    <row r="140" spans="1:6" ht="14.25" thickBot="1">
      <c r="A140" s="776" t="s">
        <v>33</v>
      </c>
      <c r="B140" s="770" t="s">
        <v>847</v>
      </c>
      <c r="C140" s="975">
        <v>0.125</v>
      </c>
      <c r="D140" s="975">
        <v>0.125</v>
      </c>
      <c r="E140" s="975">
        <v>0.11899999999999999</v>
      </c>
      <c r="F140" s="976">
        <v>0.13</v>
      </c>
    </row>
    <row r="141" spans="1:6" ht="14.25" thickBot="1">
      <c r="A141" s="776" t="s">
        <v>33</v>
      </c>
      <c r="B141" s="770" t="s">
        <v>441</v>
      </c>
      <c r="C141" s="975">
        <v>0.125</v>
      </c>
      <c r="D141" s="975">
        <v>0.125</v>
      </c>
      <c r="E141" s="975">
        <v>0.11700000000000001</v>
      </c>
      <c r="F141" s="987"/>
    </row>
    <row r="142" spans="1:6" ht="14.25" thickBot="1">
      <c r="A142" s="776" t="s">
        <v>33</v>
      </c>
      <c r="B142" s="770" t="s">
        <v>446</v>
      </c>
      <c r="C142" s="975">
        <v>0.125</v>
      </c>
      <c r="D142" s="975">
        <v>0.125</v>
      </c>
      <c r="E142" s="975">
        <v>0.115</v>
      </c>
      <c r="F142" s="987"/>
    </row>
    <row r="143" spans="1:6" ht="14.25" thickBot="1">
      <c r="A143" s="776" t="s">
        <v>33</v>
      </c>
      <c r="B143" s="770" t="s">
        <v>451</v>
      </c>
      <c r="C143" s="975">
        <v>0.121</v>
      </c>
      <c r="D143" s="975">
        <v>0.121</v>
      </c>
      <c r="E143" s="975">
        <v>0.108</v>
      </c>
      <c r="F143" s="987"/>
    </row>
    <row r="144" spans="1:6" ht="14.25" thickBot="1">
      <c r="A144" s="776" t="s">
        <v>33</v>
      </c>
      <c r="B144" s="979" t="s">
        <v>848</v>
      </c>
      <c r="C144" s="980">
        <v>0.126</v>
      </c>
      <c r="D144" s="980">
        <v>0.126</v>
      </c>
      <c r="E144" s="980">
        <v>0.121</v>
      </c>
      <c r="F144" s="987"/>
    </row>
    <row r="145" spans="1:6" ht="14.25" thickBot="1">
      <c r="A145" s="786" t="s">
        <v>33</v>
      </c>
      <c r="B145" s="981" t="s">
        <v>849</v>
      </c>
      <c r="C145" s="989"/>
      <c r="D145" s="989"/>
      <c r="E145" s="989"/>
      <c r="F145" s="982">
        <v>0.05</v>
      </c>
    </row>
    <row r="146" spans="1:6" ht="24.75" thickBot="1">
      <c r="A146" s="983" t="s">
        <v>33</v>
      </c>
      <c r="B146" s="780" t="s">
        <v>850</v>
      </c>
      <c r="C146" s="988"/>
      <c r="D146" s="988"/>
      <c r="E146" s="988"/>
      <c r="F146" s="984">
        <v>0.05</v>
      </c>
    </row>
    <row r="147" spans="1:6" ht="24.75" thickBot="1">
      <c r="A147" s="776" t="s">
        <v>33</v>
      </c>
      <c r="B147" s="770" t="s">
        <v>851</v>
      </c>
      <c r="C147" s="988"/>
      <c r="D147" s="988"/>
      <c r="E147" s="988"/>
      <c r="F147" s="976">
        <v>0.05</v>
      </c>
    </row>
    <row r="148" spans="1:6" ht="24.75" thickBot="1">
      <c r="A148" s="776" t="s">
        <v>33</v>
      </c>
      <c r="B148" s="770" t="s">
        <v>852</v>
      </c>
      <c r="C148" s="988"/>
      <c r="D148" s="988"/>
      <c r="E148" s="988"/>
      <c r="F148" s="976">
        <v>0.05</v>
      </c>
    </row>
    <row r="149" spans="1:6" ht="24.75" thickBot="1">
      <c r="A149" s="776" t="s">
        <v>33</v>
      </c>
      <c r="B149" s="770" t="s">
        <v>853</v>
      </c>
      <c r="C149" s="988"/>
      <c r="D149" s="988"/>
      <c r="E149" s="988"/>
      <c r="F149" s="976">
        <v>0.05</v>
      </c>
    </row>
    <row r="150" spans="1:6" ht="24.75" thickBot="1">
      <c r="A150" s="776" t="s">
        <v>33</v>
      </c>
      <c r="B150" s="770" t="s">
        <v>854</v>
      </c>
      <c r="C150" s="988"/>
      <c r="D150" s="988"/>
      <c r="E150" s="988"/>
      <c r="F150" s="976">
        <v>0.05</v>
      </c>
    </row>
    <row r="151" spans="1:6" ht="24.75" thickBot="1">
      <c r="A151" s="776" t="s">
        <v>33</v>
      </c>
      <c r="B151" s="770" t="s">
        <v>855</v>
      </c>
      <c r="C151" s="988"/>
      <c r="D151" s="988"/>
      <c r="E151" s="988"/>
      <c r="F151" s="976">
        <v>0.05</v>
      </c>
    </row>
    <row r="152" spans="1:6" ht="24.75" thickBot="1">
      <c r="A152" s="776" t="s">
        <v>33</v>
      </c>
      <c r="B152" s="770" t="s">
        <v>484</v>
      </c>
      <c r="C152" s="988"/>
      <c r="D152" s="988"/>
      <c r="E152" s="988"/>
      <c r="F152" s="976">
        <v>0.05</v>
      </c>
    </row>
    <row r="153" spans="1:6" ht="14.25" thickBot="1">
      <c r="A153" s="776" t="s">
        <v>33</v>
      </c>
      <c r="B153" s="770" t="s">
        <v>856</v>
      </c>
      <c r="C153" s="988"/>
      <c r="D153" s="988"/>
      <c r="E153" s="988"/>
      <c r="F153" s="976">
        <v>0.05</v>
      </c>
    </row>
    <row r="154" spans="1:6" ht="14.25" thickBot="1">
      <c r="A154" s="776" t="s">
        <v>33</v>
      </c>
      <c r="B154" s="770" t="s">
        <v>857</v>
      </c>
      <c r="C154" s="988"/>
      <c r="D154" s="988"/>
      <c r="E154" s="988"/>
      <c r="F154" s="976">
        <v>0.05</v>
      </c>
    </row>
    <row r="155" spans="1:6" ht="24.75" thickBot="1">
      <c r="A155" s="776" t="s">
        <v>33</v>
      </c>
      <c r="B155" s="770" t="s">
        <v>858</v>
      </c>
      <c r="C155" s="988"/>
      <c r="D155" s="988"/>
      <c r="E155" s="988"/>
      <c r="F155" s="976">
        <v>0.05</v>
      </c>
    </row>
    <row r="156" spans="1:6" ht="24.75" thickBot="1">
      <c r="A156" s="776" t="s">
        <v>33</v>
      </c>
      <c r="B156" s="770" t="s">
        <v>859</v>
      </c>
      <c r="C156" s="988"/>
      <c r="D156" s="988"/>
      <c r="E156" s="988"/>
      <c r="F156" s="976">
        <v>0.05</v>
      </c>
    </row>
    <row r="157" spans="1:6" ht="14.25" thickBot="1">
      <c r="A157" s="786" t="s">
        <v>33</v>
      </c>
      <c r="B157" s="782" t="s">
        <v>860</v>
      </c>
      <c r="C157" s="985"/>
      <c r="D157" s="985"/>
      <c r="E157" s="985"/>
      <c r="F157" s="978">
        <v>0.05</v>
      </c>
    </row>
    <row r="158" spans="1:6" ht="14.25" thickBot="1">
      <c r="A158" s="776" t="s">
        <v>503</v>
      </c>
      <c r="B158" s="777" t="s">
        <v>861</v>
      </c>
      <c r="C158" s="973">
        <v>0.13</v>
      </c>
      <c r="D158" s="973">
        <v>0.13</v>
      </c>
      <c r="E158" s="973">
        <v>0.13</v>
      </c>
      <c r="F158" s="974">
        <v>0.13</v>
      </c>
    </row>
    <row r="159" spans="1:6" ht="14.25" thickBot="1">
      <c r="A159" s="776" t="s">
        <v>503</v>
      </c>
      <c r="B159" s="770" t="s">
        <v>170</v>
      </c>
      <c r="C159" s="975">
        <v>0.13</v>
      </c>
      <c r="D159" s="975">
        <v>0.13</v>
      </c>
      <c r="E159" s="975">
        <v>0.13</v>
      </c>
      <c r="F159" s="976">
        <v>0.13</v>
      </c>
    </row>
    <row r="160" spans="1:6" ht="14.25" thickBot="1">
      <c r="A160" s="776" t="s">
        <v>503</v>
      </c>
      <c r="B160" s="770" t="s">
        <v>183</v>
      </c>
      <c r="C160" s="975">
        <v>0.13</v>
      </c>
      <c r="D160" s="975">
        <v>0.13</v>
      </c>
      <c r="E160" s="975">
        <v>0.129</v>
      </c>
      <c r="F160" s="976">
        <v>0.13</v>
      </c>
    </row>
    <row r="161" spans="1:6" ht="14.25" thickBot="1">
      <c r="A161" s="776" t="s">
        <v>503</v>
      </c>
      <c r="B161" s="770" t="s">
        <v>196</v>
      </c>
      <c r="C161" s="975">
        <v>0.128</v>
      </c>
      <c r="D161" s="975">
        <v>0.128</v>
      </c>
      <c r="E161" s="975">
        <v>0.125</v>
      </c>
      <c r="F161" s="976">
        <v>0.13</v>
      </c>
    </row>
    <row r="162" spans="1:6" ht="14.25" thickBot="1">
      <c r="A162" s="776" t="s">
        <v>503</v>
      </c>
      <c r="B162" s="770" t="s">
        <v>208</v>
      </c>
      <c r="C162" s="975">
        <v>0.122</v>
      </c>
      <c r="D162" s="975">
        <v>0.122</v>
      </c>
      <c r="E162" s="975">
        <v>0.126</v>
      </c>
      <c r="F162" s="976">
        <v>0.122</v>
      </c>
    </row>
    <row r="163" spans="1:6" ht="14.25" thickBot="1">
      <c r="A163" s="776" t="s">
        <v>503</v>
      </c>
      <c r="B163" s="770" t="s">
        <v>219</v>
      </c>
      <c r="C163" s="975">
        <v>0.13</v>
      </c>
      <c r="D163" s="975">
        <v>0.13</v>
      </c>
      <c r="E163" s="975">
        <v>0.125</v>
      </c>
      <c r="F163" s="976">
        <v>0.13</v>
      </c>
    </row>
    <row r="164" spans="1:6" ht="14.25" thickBot="1">
      <c r="A164" s="776" t="s">
        <v>503</v>
      </c>
      <c r="B164" s="770" t="s">
        <v>230</v>
      </c>
      <c r="C164" s="975">
        <v>0.13</v>
      </c>
      <c r="D164" s="975">
        <v>0.13</v>
      </c>
      <c r="E164" s="975">
        <v>0.13</v>
      </c>
      <c r="F164" s="976">
        <v>0.13</v>
      </c>
    </row>
    <row r="165" spans="1:6" ht="14.25" thickBot="1">
      <c r="A165" s="776" t="s">
        <v>503</v>
      </c>
      <c r="B165" s="770" t="s">
        <v>241</v>
      </c>
      <c r="C165" s="975">
        <v>0.13</v>
      </c>
      <c r="D165" s="975">
        <v>0.13</v>
      </c>
      <c r="E165" s="975">
        <v>0.124</v>
      </c>
      <c r="F165" s="976">
        <v>0.13</v>
      </c>
    </row>
    <row r="166" spans="1:6" ht="14.25" thickBot="1">
      <c r="A166" s="776" t="s">
        <v>503</v>
      </c>
      <c r="B166" s="770" t="s">
        <v>253</v>
      </c>
      <c r="C166" s="975">
        <v>0.13</v>
      </c>
      <c r="D166" s="975">
        <v>0.13</v>
      </c>
      <c r="E166" s="975">
        <v>0.13</v>
      </c>
      <c r="F166" s="976">
        <v>0.13</v>
      </c>
    </row>
    <row r="167" spans="1:6" ht="14.25" thickBot="1">
      <c r="A167" s="776" t="s">
        <v>503</v>
      </c>
      <c r="B167" s="770" t="s">
        <v>263</v>
      </c>
      <c r="C167" s="975">
        <v>0.125</v>
      </c>
      <c r="D167" s="975">
        <v>0.125</v>
      </c>
      <c r="E167" s="975">
        <v>0.121</v>
      </c>
      <c r="F167" s="987"/>
    </row>
    <row r="168" spans="1:6" ht="14.25" thickBot="1">
      <c r="A168" s="776" t="s">
        <v>503</v>
      </c>
      <c r="B168" s="770" t="s">
        <v>273</v>
      </c>
      <c r="C168" s="975">
        <v>0.13</v>
      </c>
      <c r="D168" s="975">
        <v>0.13</v>
      </c>
      <c r="E168" s="975">
        <v>0.126</v>
      </c>
      <c r="F168" s="987"/>
    </row>
    <row r="169" spans="1:6" ht="14.25" thickBot="1">
      <c r="A169" s="776" t="s">
        <v>503</v>
      </c>
      <c r="B169" s="770" t="s">
        <v>283</v>
      </c>
      <c r="C169" s="975">
        <v>0.128</v>
      </c>
      <c r="D169" s="975">
        <v>0.129</v>
      </c>
      <c r="E169" s="975">
        <v>0.13</v>
      </c>
      <c r="F169" s="987"/>
    </row>
    <row r="170" spans="1:6" ht="14.25" thickBot="1">
      <c r="A170" s="776" t="s">
        <v>503</v>
      </c>
      <c r="B170" s="770" t="s">
        <v>293</v>
      </c>
      <c r="C170" s="975">
        <v>0.14099999999999999</v>
      </c>
      <c r="D170" s="975">
        <v>0.13</v>
      </c>
      <c r="E170" s="975">
        <v>0.125</v>
      </c>
      <c r="F170" s="987"/>
    </row>
    <row r="171" spans="1:6" ht="14.25" thickBot="1">
      <c r="A171" s="776" t="s">
        <v>503</v>
      </c>
      <c r="B171" s="770" t="s">
        <v>862</v>
      </c>
      <c r="C171" s="975">
        <v>0.127</v>
      </c>
      <c r="D171" s="975">
        <v>0.126</v>
      </c>
      <c r="E171" s="975">
        <v>0.126</v>
      </c>
      <c r="F171" s="976">
        <v>0.11799999999999999</v>
      </c>
    </row>
    <row r="172" spans="1:6" ht="14.25" thickBot="1">
      <c r="A172" s="776" t="s">
        <v>503</v>
      </c>
      <c r="B172" s="770" t="s">
        <v>863</v>
      </c>
      <c r="C172" s="975">
        <v>0.13</v>
      </c>
      <c r="D172" s="975">
        <v>0.13</v>
      </c>
      <c r="E172" s="975">
        <v>0.13</v>
      </c>
      <c r="F172" s="987"/>
    </row>
    <row r="173" spans="1:6" ht="14.25" thickBot="1">
      <c r="A173" s="776" t="s">
        <v>503</v>
      </c>
      <c r="B173" s="770" t="s">
        <v>325</v>
      </c>
      <c r="C173" s="975">
        <v>0.13</v>
      </c>
      <c r="D173" s="975">
        <v>0.13</v>
      </c>
      <c r="E173" s="975">
        <v>0.13</v>
      </c>
      <c r="F173" s="987"/>
    </row>
    <row r="174" spans="1:6" ht="14.25" thickBot="1">
      <c r="A174" s="776" t="s">
        <v>503</v>
      </c>
      <c r="B174" s="770" t="s">
        <v>864</v>
      </c>
      <c r="C174" s="975">
        <v>0.13</v>
      </c>
      <c r="D174" s="975">
        <v>0.13</v>
      </c>
      <c r="E174" s="975">
        <v>0.13</v>
      </c>
      <c r="F174" s="976">
        <v>0.13</v>
      </c>
    </row>
    <row r="175" spans="1:6" ht="14.25" thickBot="1">
      <c r="A175" s="776" t="s">
        <v>503</v>
      </c>
      <c r="B175" s="770" t="s">
        <v>865</v>
      </c>
      <c r="C175" s="975">
        <v>0.13</v>
      </c>
      <c r="D175" s="975">
        <v>0.13</v>
      </c>
      <c r="E175" s="975">
        <v>0.13</v>
      </c>
      <c r="F175" s="976">
        <v>0.13</v>
      </c>
    </row>
    <row r="176" spans="1:6" ht="14.25" thickBot="1">
      <c r="A176" s="776" t="s">
        <v>503</v>
      </c>
      <c r="B176" s="770" t="s">
        <v>355</v>
      </c>
      <c r="C176" s="975">
        <v>0.13</v>
      </c>
      <c r="D176" s="975">
        <v>0.13</v>
      </c>
      <c r="E176" s="975">
        <v>0.13</v>
      </c>
      <c r="F176" s="976">
        <v>0.13</v>
      </c>
    </row>
    <row r="177" spans="1:6" ht="14.25" thickBot="1">
      <c r="A177" s="776" t="s">
        <v>503</v>
      </c>
      <c r="B177" s="770" t="s">
        <v>866</v>
      </c>
      <c r="C177" s="975">
        <v>0.13</v>
      </c>
      <c r="D177" s="975">
        <v>0.13</v>
      </c>
      <c r="E177" s="975">
        <v>0.13</v>
      </c>
      <c r="F177" s="976">
        <v>0.13</v>
      </c>
    </row>
    <row r="178" spans="1:6" ht="14.25" thickBot="1">
      <c r="A178" s="776" t="s">
        <v>503</v>
      </c>
      <c r="B178" s="770" t="s">
        <v>373</v>
      </c>
      <c r="C178" s="975">
        <v>0.13</v>
      </c>
      <c r="D178" s="975">
        <v>0.13</v>
      </c>
      <c r="E178" s="975">
        <v>0.13</v>
      </c>
      <c r="F178" s="976">
        <v>0.127</v>
      </c>
    </row>
    <row r="179" spans="1:6" ht="14.25" thickBot="1">
      <c r="A179" s="776" t="s">
        <v>503</v>
      </c>
      <c r="B179" s="770" t="s">
        <v>381</v>
      </c>
      <c r="C179" s="975">
        <v>0.13</v>
      </c>
      <c r="D179" s="975">
        <v>0.13</v>
      </c>
      <c r="E179" s="975">
        <v>0.13</v>
      </c>
      <c r="F179" s="987"/>
    </row>
    <row r="180" spans="1:6" ht="14.25" thickBot="1">
      <c r="A180" s="776" t="s">
        <v>503</v>
      </c>
      <c r="B180" s="770" t="s">
        <v>867</v>
      </c>
      <c r="C180" s="975">
        <v>0.13</v>
      </c>
      <c r="D180" s="975">
        <v>0.13</v>
      </c>
      <c r="E180" s="975">
        <v>0.125</v>
      </c>
      <c r="F180" s="976">
        <v>0.13</v>
      </c>
    </row>
    <row r="181" spans="1:6" ht="14.25" thickBot="1">
      <c r="A181" s="776" t="s">
        <v>503</v>
      </c>
      <c r="B181" s="770" t="s">
        <v>395</v>
      </c>
      <c r="C181" s="975">
        <v>0.122</v>
      </c>
      <c r="D181" s="975">
        <v>0.123</v>
      </c>
      <c r="E181" s="975">
        <v>0.126</v>
      </c>
      <c r="F181" s="976">
        <v>0.121</v>
      </c>
    </row>
    <row r="182" spans="1:6" ht="14.25" thickBot="1">
      <c r="A182" s="776" t="s">
        <v>503</v>
      </c>
      <c r="B182" s="770" t="s">
        <v>402</v>
      </c>
      <c r="C182" s="975">
        <v>0.125</v>
      </c>
      <c r="D182" s="975">
        <v>0.125</v>
      </c>
      <c r="E182" s="975">
        <v>0.11700000000000001</v>
      </c>
      <c r="F182" s="976">
        <v>0.13</v>
      </c>
    </row>
    <row r="183" spans="1:6" ht="14.25" thickBot="1">
      <c r="A183" s="776" t="s">
        <v>503</v>
      </c>
      <c r="B183" s="770" t="s">
        <v>409</v>
      </c>
      <c r="C183" s="975">
        <v>0.127</v>
      </c>
      <c r="D183" s="975">
        <v>0.127</v>
      </c>
      <c r="E183" s="975">
        <v>0.128</v>
      </c>
      <c r="F183" s="987"/>
    </row>
    <row r="184" spans="1:6" ht="14.25" thickBot="1">
      <c r="A184" s="776" t="s">
        <v>503</v>
      </c>
      <c r="B184" s="770" t="s">
        <v>416</v>
      </c>
      <c r="C184" s="975">
        <v>0.125</v>
      </c>
      <c r="D184" s="975">
        <v>0.125</v>
      </c>
      <c r="E184" s="975">
        <v>0.127</v>
      </c>
      <c r="F184" s="987"/>
    </row>
    <row r="185" spans="1:6" ht="14.25" thickBot="1">
      <c r="A185" s="776" t="s">
        <v>503</v>
      </c>
      <c r="B185" s="770" t="s">
        <v>868</v>
      </c>
      <c r="C185" s="975">
        <v>0.127</v>
      </c>
      <c r="D185" s="975">
        <v>0.127</v>
      </c>
      <c r="E185" s="975">
        <v>0.128</v>
      </c>
      <c r="F185" s="976">
        <v>0.13</v>
      </c>
    </row>
    <row r="186" spans="1:6" ht="24.75" thickBot="1">
      <c r="A186" s="776" t="s">
        <v>503</v>
      </c>
      <c r="B186" s="770" t="s">
        <v>869</v>
      </c>
      <c r="C186" s="988"/>
      <c r="D186" s="988"/>
      <c r="E186" s="988"/>
      <c r="F186" s="976">
        <v>0.05</v>
      </c>
    </row>
    <row r="187" spans="1:6" ht="14.25" thickBot="1">
      <c r="A187" s="776" t="s">
        <v>503</v>
      </c>
      <c r="B187" s="770" t="s">
        <v>870</v>
      </c>
      <c r="C187" s="988"/>
      <c r="D187" s="988"/>
      <c r="E187" s="988"/>
      <c r="F187" s="976">
        <v>0.05</v>
      </c>
    </row>
    <row r="188" spans="1:6" ht="24.75" thickBot="1">
      <c r="A188" s="776" t="s">
        <v>503</v>
      </c>
      <c r="B188" s="770" t="s">
        <v>871</v>
      </c>
      <c r="C188" s="988"/>
      <c r="D188" s="988"/>
      <c r="E188" s="988"/>
      <c r="F188" s="976">
        <v>0.05</v>
      </c>
    </row>
    <row r="189" spans="1:6" ht="24.75" thickBot="1">
      <c r="A189" s="776" t="s">
        <v>503</v>
      </c>
      <c r="B189" s="770" t="s">
        <v>872</v>
      </c>
      <c r="C189" s="988"/>
      <c r="D189" s="988"/>
      <c r="E189" s="988"/>
      <c r="F189" s="976">
        <v>0.05</v>
      </c>
    </row>
    <row r="190" spans="1:6" ht="24.75" thickBot="1">
      <c r="A190" s="776" t="s">
        <v>503</v>
      </c>
      <c r="B190" s="770" t="s">
        <v>873</v>
      </c>
      <c r="C190" s="988"/>
      <c r="D190" s="988"/>
      <c r="E190" s="988"/>
      <c r="F190" s="976">
        <v>0.05</v>
      </c>
    </row>
    <row r="191" spans="1:6" ht="24.75" thickBot="1">
      <c r="A191" s="776" t="s">
        <v>503</v>
      </c>
      <c r="B191" s="770" t="s">
        <v>874</v>
      </c>
      <c r="C191" s="988"/>
      <c r="D191" s="988"/>
      <c r="E191" s="988"/>
      <c r="F191" s="976">
        <v>0.05</v>
      </c>
    </row>
    <row r="192" spans="1:6" ht="24.75" thickBot="1">
      <c r="A192" s="776" t="s">
        <v>503</v>
      </c>
      <c r="B192" s="770" t="s">
        <v>875</v>
      </c>
      <c r="C192" s="988"/>
      <c r="D192" s="988"/>
      <c r="E192" s="988"/>
      <c r="F192" s="976">
        <v>0.05</v>
      </c>
    </row>
    <row r="193" spans="1:6" ht="24.75" thickBot="1">
      <c r="A193" s="776" t="s">
        <v>503</v>
      </c>
      <c r="B193" s="770" t="s">
        <v>876</v>
      </c>
      <c r="C193" s="988"/>
      <c r="D193" s="988"/>
      <c r="E193" s="988"/>
      <c r="F193" s="976">
        <v>0.05</v>
      </c>
    </row>
    <row r="194" spans="1:6" ht="24.75" thickBot="1">
      <c r="A194" s="776" t="s">
        <v>503</v>
      </c>
      <c r="B194" s="770" t="s">
        <v>877</v>
      </c>
      <c r="C194" s="988"/>
      <c r="D194" s="988"/>
      <c r="E194" s="988"/>
      <c r="F194" s="976">
        <v>0.05</v>
      </c>
    </row>
    <row r="195" spans="1:6" ht="14.25" thickBot="1">
      <c r="A195" s="776" t="s">
        <v>503</v>
      </c>
      <c r="B195" s="770" t="s">
        <v>878</v>
      </c>
      <c r="C195" s="988"/>
      <c r="D195" s="988"/>
      <c r="E195" s="988"/>
      <c r="F195" s="976">
        <v>0.05</v>
      </c>
    </row>
    <row r="196" spans="1:6" ht="24.75" thickBot="1">
      <c r="A196" s="776" t="s">
        <v>503</v>
      </c>
      <c r="B196" s="770" t="s">
        <v>879</v>
      </c>
      <c r="C196" s="988"/>
      <c r="D196" s="988"/>
      <c r="E196" s="988"/>
      <c r="F196" s="976">
        <v>0.05</v>
      </c>
    </row>
    <row r="197" spans="1:6" ht="24.75" thickBot="1">
      <c r="A197" s="776" t="s">
        <v>503</v>
      </c>
      <c r="B197" s="770" t="s">
        <v>880</v>
      </c>
      <c r="C197" s="988"/>
      <c r="D197" s="988"/>
      <c r="E197" s="988"/>
      <c r="F197" s="976">
        <v>0.05</v>
      </c>
    </row>
    <row r="198" spans="1:6" ht="24.75" thickBot="1">
      <c r="A198" s="776" t="s">
        <v>503</v>
      </c>
      <c r="B198" s="770" t="s">
        <v>881</v>
      </c>
      <c r="C198" s="988"/>
      <c r="D198" s="988"/>
      <c r="E198" s="988"/>
      <c r="F198" s="976">
        <v>0.05</v>
      </c>
    </row>
    <row r="199" spans="1:6" ht="24.75" thickBot="1">
      <c r="A199" s="776" t="s">
        <v>503</v>
      </c>
      <c r="B199" s="770" t="s">
        <v>882</v>
      </c>
      <c r="C199" s="988"/>
      <c r="D199" s="988"/>
      <c r="E199" s="988"/>
      <c r="F199" s="976">
        <v>0.05</v>
      </c>
    </row>
    <row r="200" spans="1:6" ht="24.75" thickBot="1">
      <c r="A200" s="776" t="s">
        <v>503</v>
      </c>
      <c r="B200" s="770" t="s">
        <v>883</v>
      </c>
      <c r="C200" s="988"/>
      <c r="D200" s="988"/>
      <c r="E200" s="988"/>
      <c r="F200" s="976">
        <v>0.05</v>
      </c>
    </row>
    <row r="201" spans="1:6" ht="24.75" thickBot="1">
      <c r="A201" s="776" t="s">
        <v>503</v>
      </c>
      <c r="B201" s="770" t="s">
        <v>884</v>
      </c>
      <c r="C201" s="988"/>
      <c r="D201" s="988"/>
      <c r="E201" s="988"/>
      <c r="F201" s="976">
        <v>0.05</v>
      </c>
    </row>
    <row r="202" spans="1:6" ht="24.75" thickBot="1">
      <c r="A202" s="776" t="s">
        <v>503</v>
      </c>
      <c r="B202" s="770" t="s">
        <v>885</v>
      </c>
      <c r="C202" s="988"/>
      <c r="D202" s="988"/>
      <c r="E202" s="988"/>
      <c r="F202" s="976">
        <v>0.05</v>
      </c>
    </row>
    <row r="203" spans="1:6" ht="24.75" thickBot="1">
      <c r="A203" s="776" t="s">
        <v>503</v>
      </c>
      <c r="B203" s="770" t="s">
        <v>886</v>
      </c>
      <c r="C203" s="988"/>
      <c r="D203" s="988"/>
      <c r="E203" s="988"/>
      <c r="F203" s="976">
        <v>0.05</v>
      </c>
    </row>
    <row r="204" spans="1:6" ht="14.25" thickBot="1">
      <c r="A204" s="776" t="s">
        <v>503</v>
      </c>
      <c r="B204" s="770" t="s">
        <v>887</v>
      </c>
      <c r="C204" s="988"/>
      <c r="D204" s="988"/>
      <c r="E204" s="988"/>
      <c r="F204" s="976">
        <v>0.05</v>
      </c>
    </row>
    <row r="205" spans="1:6" ht="14.25" thickBot="1">
      <c r="A205" s="786" t="s">
        <v>503</v>
      </c>
      <c r="B205" s="782" t="s">
        <v>888</v>
      </c>
      <c r="C205" s="985"/>
      <c r="D205" s="985"/>
      <c r="E205" s="985"/>
      <c r="F205" s="978">
        <v>0.05</v>
      </c>
    </row>
    <row r="206" spans="1:6" ht="14.25" thickBot="1">
      <c r="A206" s="776" t="s">
        <v>505</v>
      </c>
      <c r="B206" s="777" t="s">
        <v>889</v>
      </c>
      <c r="C206" s="973">
        <v>0.15</v>
      </c>
      <c r="D206" s="973">
        <v>0.15</v>
      </c>
      <c r="E206" s="973">
        <v>0.15</v>
      </c>
      <c r="F206" s="974">
        <v>0.15</v>
      </c>
    </row>
    <row r="207" spans="1:6" ht="14.25" thickBot="1">
      <c r="A207" s="776" t="s">
        <v>505</v>
      </c>
      <c r="B207" s="770" t="s">
        <v>171</v>
      </c>
      <c r="C207" s="975">
        <v>0.15</v>
      </c>
      <c r="D207" s="975">
        <v>0.15</v>
      </c>
      <c r="E207" s="975">
        <v>0.15</v>
      </c>
      <c r="F207" s="976">
        <v>0.14399999999999999</v>
      </c>
    </row>
    <row r="208" spans="1:6" ht="14.25" thickBot="1">
      <c r="A208" s="776" t="s">
        <v>505</v>
      </c>
      <c r="B208" s="770" t="s">
        <v>184</v>
      </c>
      <c r="C208" s="975">
        <v>0.15</v>
      </c>
      <c r="D208" s="975">
        <v>0.15</v>
      </c>
      <c r="E208" s="975">
        <v>0.15</v>
      </c>
      <c r="F208" s="976">
        <v>0.15</v>
      </c>
    </row>
    <row r="209" spans="1:6" ht="14.25" thickBot="1">
      <c r="A209" s="776" t="s">
        <v>505</v>
      </c>
      <c r="B209" s="770" t="s">
        <v>197</v>
      </c>
      <c r="C209" s="975">
        <v>0.13700000000000001</v>
      </c>
      <c r="D209" s="975">
        <v>0.13700000000000001</v>
      </c>
      <c r="E209" s="975">
        <v>0.14000000000000001</v>
      </c>
      <c r="F209" s="976">
        <v>0.11700000000000001</v>
      </c>
    </row>
    <row r="210" spans="1:6" ht="14.25" thickBot="1">
      <c r="A210" s="776" t="s">
        <v>505</v>
      </c>
      <c r="B210" s="770" t="s">
        <v>890</v>
      </c>
      <c r="C210" s="975">
        <v>0.15</v>
      </c>
      <c r="D210" s="975">
        <v>0.15</v>
      </c>
      <c r="E210" s="975">
        <v>0.15</v>
      </c>
      <c r="F210" s="976">
        <v>0.13800000000000001</v>
      </c>
    </row>
    <row r="211" spans="1:6" ht="14.25" thickBot="1">
      <c r="A211" s="776" t="s">
        <v>505</v>
      </c>
      <c r="B211" s="770" t="s">
        <v>891</v>
      </c>
      <c r="C211" s="975">
        <v>0.13700000000000001</v>
      </c>
      <c r="D211" s="975">
        <v>0.13500000000000001</v>
      </c>
      <c r="E211" s="975">
        <v>0.13600000000000001</v>
      </c>
      <c r="F211" s="976">
        <v>0.1</v>
      </c>
    </row>
    <row r="212" spans="1:6" ht="14.25" thickBot="1">
      <c r="A212" s="776" t="s">
        <v>505</v>
      </c>
      <c r="B212" s="770" t="s">
        <v>892</v>
      </c>
      <c r="C212" s="975">
        <v>0.15</v>
      </c>
      <c r="D212" s="975">
        <v>0.15</v>
      </c>
      <c r="E212" s="975">
        <v>0.14799999999999999</v>
      </c>
      <c r="F212" s="976">
        <v>0.13600000000000001</v>
      </c>
    </row>
    <row r="213" spans="1:6" ht="14.25" thickBot="1">
      <c r="A213" s="776" t="s">
        <v>505</v>
      </c>
      <c r="B213" s="770" t="s">
        <v>242</v>
      </c>
      <c r="C213" s="975">
        <v>0.15</v>
      </c>
      <c r="D213" s="975">
        <v>0.15</v>
      </c>
      <c r="E213" s="975">
        <v>0.15</v>
      </c>
      <c r="F213" s="976">
        <v>0.13800000000000001</v>
      </c>
    </row>
    <row r="214" spans="1:6" ht="14.25" thickBot="1">
      <c r="A214" s="776" t="s">
        <v>505</v>
      </c>
      <c r="B214" s="770" t="s">
        <v>254</v>
      </c>
      <c r="C214" s="975">
        <v>9.0999999999999998E-2</v>
      </c>
      <c r="D214" s="975">
        <v>0.09</v>
      </c>
      <c r="E214" s="975">
        <v>9.1999999999999998E-2</v>
      </c>
      <c r="F214" s="987"/>
    </row>
    <row r="215" spans="1:6" ht="14.25" thickBot="1">
      <c r="A215" s="776" t="s">
        <v>505</v>
      </c>
      <c r="B215" s="770" t="s">
        <v>893</v>
      </c>
      <c r="C215" s="975">
        <v>0.15</v>
      </c>
      <c r="D215" s="975">
        <v>0.15</v>
      </c>
      <c r="E215" s="975">
        <v>0.15</v>
      </c>
      <c r="F215" s="976">
        <v>0.15</v>
      </c>
    </row>
    <row r="216" spans="1:6" ht="14.25" thickBot="1">
      <c r="A216" s="776" t="s">
        <v>505</v>
      </c>
      <c r="B216" s="770" t="s">
        <v>274</v>
      </c>
      <c r="C216" s="975">
        <v>0.14699999999999999</v>
      </c>
      <c r="D216" s="975">
        <v>0.14699999999999999</v>
      </c>
      <c r="E216" s="975">
        <v>0.15</v>
      </c>
      <c r="F216" s="976">
        <v>0.14000000000000001</v>
      </c>
    </row>
    <row r="217" spans="1:6" ht="14.25" thickBot="1">
      <c r="A217" s="776" t="s">
        <v>505</v>
      </c>
      <c r="B217" s="770" t="s">
        <v>284</v>
      </c>
      <c r="C217" s="975">
        <v>0.15</v>
      </c>
      <c r="D217" s="975">
        <v>0.15</v>
      </c>
      <c r="E217" s="975">
        <v>0.15</v>
      </c>
      <c r="F217" s="976">
        <v>0.15</v>
      </c>
    </row>
    <row r="218" spans="1:6" ht="14.25" thickBot="1">
      <c r="A218" s="776" t="s">
        <v>505</v>
      </c>
      <c r="B218" s="770" t="s">
        <v>894</v>
      </c>
      <c r="C218" s="975">
        <v>0.15</v>
      </c>
      <c r="D218" s="975">
        <v>0.15</v>
      </c>
      <c r="E218" s="975">
        <v>0.15</v>
      </c>
      <c r="F218" s="976">
        <v>0.15</v>
      </c>
    </row>
    <row r="219" spans="1:6" ht="14.25" thickBot="1">
      <c r="A219" s="776" t="s">
        <v>505</v>
      </c>
      <c r="B219" s="770" t="s">
        <v>305</v>
      </c>
      <c r="C219" s="975">
        <v>0.15</v>
      </c>
      <c r="D219" s="975">
        <v>0.15</v>
      </c>
      <c r="E219" s="975">
        <v>0.15</v>
      </c>
      <c r="F219" s="976">
        <v>0.14799999999999999</v>
      </c>
    </row>
    <row r="220" spans="1:6" ht="14.25" thickBot="1">
      <c r="A220" s="776" t="s">
        <v>505</v>
      </c>
      <c r="B220" s="770" t="s">
        <v>895</v>
      </c>
      <c r="C220" s="975">
        <v>0.15</v>
      </c>
      <c r="D220" s="975">
        <v>0.15</v>
      </c>
      <c r="E220" s="975">
        <v>0.15</v>
      </c>
      <c r="F220" s="976">
        <v>0.15</v>
      </c>
    </row>
    <row r="221" spans="1:6" ht="14.25" thickBot="1">
      <c r="A221" s="776" t="s">
        <v>505</v>
      </c>
      <c r="B221" s="770" t="s">
        <v>326</v>
      </c>
      <c r="C221" s="975"/>
      <c r="D221" s="988"/>
      <c r="E221" s="988"/>
      <c r="F221" s="976">
        <v>0.14799999999999999</v>
      </c>
    </row>
    <row r="222" spans="1:6" ht="14.25" thickBot="1">
      <c r="A222" s="776" t="s">
        <v>505</v>
      </c>
      <c r="B222" s="770" t="s">
        <v>336</v>
      </c>
      <c r="C222" s="975"/>
      <c r="D222" s="988"/>
      <c r="E222" s="988"/>
      <c r="F222" s="976">
        <v>0.1</v>
      </c>
    </row>
    <row r="223" spans="1:6" ht="14.25" thickBot="1">
      <c r="A223" s="776" t="s">
        <v>505</v>
      </c>
      <c r="B223" s="770" t="s">
        <v>346</v>
      </c>
      <c r="C223" s="975"/>
      <c r="D223" s="988"/>
      <c r="E223" s="988"/>
      <c r="F223" s="976">
        <v>0.15</v>
      </c>
    </row>
    <row r="224" spans="1:6" ht="14.25" thickBot="1">
      <c r="A224" s="776" t="s">
        <v>505</v>
      </c>
      <c r="B224" s="770" t="s">
        <v>356</v>
      </c>
      <c r="C224" s="975"/>
      <c r="D224" s="988"/>
      <c r="E224" s="988"/>
      <c r="F224" s="976">
        <v>0.15</v>
      </c>
    </row>
    <row r="225" spans="1:6" ht="14.25" thickBot="1">
      <c r="A225" s="776" t="s">
        <v>505</v>
      </c>
      <c r="B225" s="770" t="s">
        <v>896</v>
      </c>
      <c r="C225" s="975">
        <v>0.15</v>
      </c>
      <c r="D225" s="975">
        <v>0.15</v>
      </c>
      <c r="E225" s="975">
        <v>0.15</v>
      </c>
      <c r="F225" s="976">
        <v>0.15</v>
      </c>
    </row>
    <row r="226" spans="1:6" ht="14.25" thickBot="1">
      <c r="A226" s="776" t="s">
        <v>505</v>
      </c>
      <c r="B226" s="770" t="s">
        <v>374</v>
      </c>
      <c r="C226" s="975">
        <v>0.15</v>
      </c>
      <c r="D226" s="975">
        <v>0.15</v>
      </c>
      <c r="E226" s="975">
        <v>0.15</v>
      </c>
      <c r="F226" s="976">
        <v>0.14799999999999999</v>
      </c>
    </row>
    <row r="227" spans="1:6" ht="14.25" thickBot="1">
      <c r="A227" s="776" t="s">
        <v>505</v>
      </c>
      <c r="B227" s="770" t="s">
        <v>897</v>
      </c>
      <c r="C227" s="975">
        <v>0.15</v>
      </c>
      <c r="D227" s="975">
        <v>0.15</v>
      </c>
      <c r="E227" s="975">
        <v>0.15</v>
      </c>
      <c r="F227" s="976">
        <v>0.15</v>
      </c>
    </row>
    <row r="228" spans="1:6" ht="14.25" thickBot="1">
      <c r="A228" s="776" t="s">
        <v>505</v>
      </c>
      <c r="B228" s="770" t="s">
        <v>389</v>
      </c>
      <c r="C228" s="975">
        <v>0.15</v>
      </c>
      <c r="D228" s="975">
        <v>0.15</v>
      </c>
      <c r="E228" s="975">
        <v>0.15</v>
      </c>
      <c r="F228" s="976">
        <v>0.15</v>
      </c>
    </row>
    <row r="229" spans="1:6" ht="14.25" thickBot="1">
      <c r="A229" s="776" t="s">
        <v>505</v>
      </c>
      <c r="B229" s="770" t="s">
        <v>396</v>
      </c>
      <c r="C229" s="975">
        <v>0.15</v>
      </c>
      <c r="D229" s="975">
        <v>0.15</v>
      </c>
      <c r="E229" s="975">
        <v>0.15</v>
      </c>
      <c r="F229" s="987"/>
    </row>
    <row r="230" spans="1:6" ht="14.25" thickBot="1">
      <c r="A230" s="776" t="s">
        <v>505</v>
      </c>
      <c r="B230" s="770" t="s">
        <v>403</v>
      </c>
      <c r="C230" s="975">
        <v>0.14499999999999999</v>
      </c>
      <c r="D230" s="975">
        <v>0.14499999999999999</v>
      </c>
      <c r="E230" s="975">
        <v>0.14399999999999999</v>
      </c>
      <c r="F230" s="987"/>
    </row>
    <row r="231" spans="1:6" ht="14.25" thickBot="1">
      <c r="A231" s="776" t="s">
        <v>505</v>
      </c>
      <c r="B231" s="770" t="s">
        <v>898</v>
      </c>
      <c r="C231" s="975">
        <v>0.128</v>
      </c>
      <c r="D231" s="975">
        <v>0.125</v>
      </c>
      <c r="E231" s="975">
        <v>0.13200000000000001</v>
      </c>
      <c r="F231" s="987"/>
    </row>
    <row r="232" spans="1:6" ht="14.25" thickBot="1">
      <c r="A232" s="776" t="s">
        <v>505</v>
      </c>
      <c r="B232" s="770" t="s">
        <v>899</v>
      </c>
      <c r="C232" s="975">
        <v>0.14499999999999999</v>
      </c>
      <c r="D232" s="975">
        <v>0.14399999999999999</v>
      </c>
      <c r="E232" s="975">
        <v>0.14599999999999999</v>
      </c>
      <c r="F232" s="976">
        <v>0.13800000000000001</v>
      </c>
    </row>
    <row r="233" spans="1:6" ht="14.25" thickBot="1">
      <c r="A233" s="776" t="s">
        <v>505</v>
      </c>
      <c r="B233" s="770" t="s">
        <v>900</v>
      </c>
      <c r="C233" s="975">
        <v>0.14499999999999999</v>
      </c>
      <c r="D233" s="975">
        <v>0.14299999999999999</v>
      </c>
      <c r="E233" s="975">
        <v>0.14199999999999999</v>
      </c>
      <c r="F233" s="987"/>
    </row>
    <row r="234" spans="1:6" ht="14.25" thickBot="1">
      <c r="A234" s="776" t="s">
        <v>505</v>
      </c>
      <c r="B234" s="770" t="s">
        <v>901</v>
      </c>
      <c r="C234" s="975">
        <v>0.14000000000000001</v>
      </c>
      <c r="D234" s="975">
        <v>0.14000000000000001</v>
      </c>
      <c r="E234" s="975">
        <v>0.14399999999999999</v>
      </c>
      <c r="F234" s="987"/>
    </row>
    <row r="235" spans="1:6" ht="14.25" thickBot="1">
      <c r="A235" s="776" t="s">
        <v>505</v>
      </c>
      <c r="B235" s="770" t="s">
        <v>902</v>
      </c>
      <c r="C235" s="975">
        <v>0.14099999999999999</v>
      </c>
      <c r="D235" s="975">
        <v>0.14199999999999999</v>
      </c>
      <c r="E235" s="975">
        <v>0.14499999999999999</v>
      </c>
      <c r="F235" s="976">
        <v>0.15</v>
      </c>
    </row>
    <row r="236" spans="1:6" ht="14.25" thickBot="1">
      <c r="A236" s="776" t="s">
        <v>505</v>
      </c>
      <c r="B236" s="770" t="s">
        <v>438</v>
      </c>
      <c r="C236" s="988"/>
      <c r="D236" s="988"/>
      <c r="E236" s="988"/>
      <c r="F236" s="976">
        <v>0.14299999999999999</v>
      </c>
    </row>
    <row r="237" spans="1:6" ht="24.75" thickBot="1">
      <c r="A237" s="776" t="s">
        <v>505</v>
      </c>
      <c r="B237" s="770" t="s">
        <v>903</v>
      </c>
      <c r="C237" s="988"/>
      <c r="D237" s="988"/>
      <c r="E237" s="988"/>
      <c r="F237" s="976">
        <v>0.05</v>
      </c>
    </row>
    <row r="238" spans="1:6" ht="24.75" thickBot="1">
      <c r="A238" s="776" t="s">
        <v>505</v>
      </c>
      <c r="B238" s="770" t="s">
        <v>904</v>
      </c>
      <c r="C238" s="988"/>
      <c r="D238" s="988"/>
      <c r="E238" s="988"/>
      <c r="F238" s="976">
        <v>0.05</v>
      </c>
    </row>
    <row r="239" spans="1:6" ht="24.75" thickBot="1">
      <c r="A239" s="776" t="s">
        <v>505</v>
      </c>
      <c r="B239" s="770" t="s">
        <v>905</v>
      </c>
      <c r="C239" s="988"/>
      <c r="D239" s="988"/>
      <c r="E239" s="988"/>
      <c r="F239" s="976">
        <v>0.05</v>
      </c>
    </row>
    <row r="240" spans="1:6" ht="24.75" thickBot="1">
      <c r="A240" s="776" t="s">
        <v>505</v>
      </c>
      <c r="B240" s="770" t="s">
        <v>906</v>
      </c>
      <c r="C240" s="988"/>
      <c r="D240" s="988"/>
      <c r="E240" s="988"/>
      <c r="F240" s="976">
        <v>0.05</v>
      </c>
    </row>
    <row r="241" spans="1:6" ht="24.75" thickBot="1">
      <c r="A241" s="776" t="s">
        <v>505</v>
      </c>
      <c r="B241" s="770" t="s">
        <v>907</v>
      </c>
      <c r="C241" s="988"/>
      <c r="D241" s="988"/>
      <c r="E241" s="988"/>
      <c r="F241" s="976">
        <v>0.05</v>
      </c>
    </row>
    <row r="242" spans="1:6" ht="24.75" thickBot="1">
      <c r="A242" s="776" t="s">
        <v>505</v>
      </c>
      <c r="B242" s="770" t="s">
        <v>908</v>
      </c>
      <c r="C242" s="988"/>
      <c r="D242" s="988"/>
      <c r="E242" s="988"/>
      <c r="F242" s="976">
        <v>0.05</v>
      </c>
    </row>
    <row r="243" spans="1:6" ht="24.75" thickBot="1">
      <c r="A243" s="776" t="s">
        <v>505</v>
      </c>
      <c r="B243" s="770" t="s">
        <v>909</v>
      </c>
      <c r="C243" s="988"/>
      <c r="D243" s="988"/>
      <c r="E243" s="988"/>
      <c r="F243" s="976">
        <v>0.05</v>
      </c>
    </row>
    <row r="244" spans="1:6" ht="24.75" thickBot="1">
      <c r="A244" s="786" t="s">
        <v>505</v>
      </c>
      <c r="B244" s="782" t="s">
        <v>910</v>
      </c>
      <c r="C244" s="985"/>
      <c r="D244" s="985"/>
      <c r="E244" s="985"/>
      <c r="F244" s="978">
        <v>0.05</v>
      </c>
    </row>
    <row r="245" spans="1:6" ht="14.25" thickBot="1">
      <c r="A245" s="776" t="s">
        <v>507</v>
      </c>
      <c r="B245" s="777" t="s">
        <v>911</v>
      </c>
      <c r="C245" s="973">
        <v>0.15</v>
      </c>
      <c r="D245" s="973">
        <v>0.15</v>
      </c>
      <c r="E245" s="973">
        <v>0.15</v>
      </c>
      <c r="F245" s="974">
        <v>0.14299999999999999</v>
      </c>
    </row>
    <row r="246" spans="1:6" ht="14.25" thickBot="1">
      <c r="A246" s="776" t="s">
        <v>507</v>
      </c>
      <c r="B246" s="770" t="s">
        <v>172</v>
      </c>
      <c r="C246" s="975">
        <v>0.15</v>
      </c>
      <c r="D246" s="975">
        <v>0.15</v>
      </c>
      <c r="E246" s="975">
        <v>0.15</v>
      </c>
      <c r="F246" s="976">
        <v>0.114</v>
      </c>
    </row>
    <row r="247" spans="1:6" ht="14.25" thickBot="1">
      <c r="A247" s="776" t="s">
        <v>507</v>
      </c>
      <c r="B247" s="770" t="s">
        <v>912</v>
      </c>
      <c r="C247" s="975">
        <v>0.15</v>
      </c>
      <c r="D247" s="975">
        <v>0.15</v>
      </c>
      <c r="E247" s="975">
        <v>0.15</v>
      </c>
      <c r="F247" s="976">
        <v>0.15</v>
      </c>
    </row>
    <row r="248" spans="1:6" ht="14.25" thickBot="1">
      <c r="A248" s="776" t="s">
        <v>507</v>
      </c>
      <c r="B248" s="770" t="s">
        <v>913</v>
      </c>
      <c r="C248" s="975">
        <v>0.15</v>
      </c>
      <c r="D248" s="975">
        <v>0.15</v>
      </c>
      <c r="E248" s="975">
        <v>0.15</v>
      </c>
      <c r="F248" s="976">
        <v>0.14000000000000001</v>
      </c>
    </row>
    <row r="249" spans="1:6" ht="14.25" thickBot="1">
      <c r="A249" s="776" t="s">
        <v>507</v>
      </c>
      <c r="B249" s="770" t="s">
        <v>914</v>
      </c>
      <c r="C249" s="975">
        <v>0.15</v>
      </c>
      <c r="D249" s="975">
        <v>0.14899999999999999</v>
      </c>
      <c r="E249" s="975">
        <v>0.15</v>
      </c>
      <c r="F249" s="976">
        <v>0.1</v>
      </c>
    </row>
    <row r="250" spans="1:6" ht="14.25" thickBot="1">
      <c r="A250" s="776" t="s">
        <v>507</v>
      </c>
      <c r="B250" s="770" t="s">
        <v>915</v>
      </c>
      <c r="C250" s="975">
        <v>0.15</v>
      </c>
      <c r="D250" s="975">
        <v>0.15</v>
      </c>
      <c r="E250" s="975">
        <v>0.15</v>
      </c>
      <c r="F250" s="976">
        <v>0.14399999999999999</v>
      </c>
    </row>
    <row r="251" spans="1:6" ht="14.25" thickBot="1">
      <c r="A251" s="776" t="s">
        <v>507</v>
      </c>
      <c r="B251" s="770" t="s">
        <v>232</v>
      </c>
      <c r="C251" s="975">
        <v>0.15</v>
      </c>
      <c r="D251" s="975">
        <v>0.15</v>
      </c>
      <c r="E251" s="975">
        <v>0.15</v>
      </c>
      <c r="F251" s="976">
        <v>0.14299999999999999</v>
      </c>
    </row>
    <row r="252" spans="1:6" ht="14.25" thickBot="1">
      <c r="A252" s="776" t="s">
        <v>507</v>
      </c>
      <c r="B252" s="770" t="s">
        <v>243</v>
      </c>
      <c r="C252" s="975">
        <v>0.15</v>
      </c>
      <c r="D252" s="975">
        <v>0.15</v>
      </c>
      <c r="E252" s="975">
        <v>0.15</v>
      </c>
      <c r="F252" s="976">
        <v>0.1</v>
      </c>
    </row>
    <row r="253" spans="1:6" ht="14.25" thickBot="1">
      <c r="A253" s="776" t="s">
        <v>507</v>
      </c>
      <c r="B253" s="770" t="s">
        <v>255</v>
      </c>
      <c r="C253" s="975">
        <v>0.15</v>
      </c>
      <c r="D253" s="975">
        <v>0.15</v>
      </c>
      <c r="E253" s="975">
        <v>0.15</v>
      </c>
      <c r="F253" s="976">
        <v>0.1</v>
      </c>
    </row>
    <row r="254" spans="1:6" ht="14.25" thickBot="1">
      <c r="A254" s="776" t="s">
        <v>507</v>
      </c>
      <c r="B254" s="770" t="s">
        <v>265</v>
      </c>
      <c r="C254" s="988"/>
      <c r="D254" s="988"/>
      <c r="E254" s="988"/>
      <c r="F254" s="976">
        <v>0.15</v>
      </c>
    </row>
    <row r="255" spans="1:6" ht="14.25" thickBot="1">
      <c r="A255" s="776" t="s">
        <v>507</v>
      </c>
      <c r="B255" s="770" t="s">
        <v>275</v>
      </c>
      <c r="C255" s="988"/>
      <c r="D255" s="988"/>
      <c r="E255" s="988"/>
      <c r="F255" s="976">
        <v>0.14299999999999999</v>
      </c>
    </row>
    <row r="256" spans="1:6" ht="14.25" thickBot="1">
      <c r="A256" s="776" t="s">
        <v>507</v>
      </c>
      <c r="B256" s="770" t="s">
        <v>916</v>
      </c>
      <c r="C256" s="975">
        <v>0.14599999999999999</v>
      </c>
      <c r="D256" s="975">
        <v>0.14699999999999999</v>
      </c>
      <c r="E256" s="975">
        <v>0.15</v>
      </c>
      <c r="F256" s="976">
        <v>0.13200000000000001</v>
      </c>
    </row>
    <row r="257" spans="1:6" ht="14.25" thickBot="1">
      <c r="A257" s="776" t="s">
        <v>507</v>
      </c>
      <c r="B257" s="770" t="s">
        <v>295</v>
      </c>
      <c r="C257" s="975">
        <v>0.15</v>
      </c>
      <c r="D257" s="975">
        <v>0.15</v>
      </c>
      <c r="E257" s="975">
        <v>0.15</v>
      </c>
      <c r="F257" s="976">
        <v>0.13900000000000001</v>
      </c>
    </row>
    <row r="258" spans="1:6" ht="14.25" thickBot="1">
      <c r="A258" s="776" t="s">
        <v>507</v>
      </c>
      <c r="B258" s="770" t="s">
        <v>306</v>
      </c>
      <c r="C258" s="975">
        <v>0.15</v>
      </c>
      <c r="D258" s="975">
        <v>0.15</v>
      </c>
      <c r="E258" s="975">
        <v>0.15</v>
      </c>
      <c r="F258" s="976">
        <v>0.13</v>
      </c>
    </row>
    <row r="259" spans="1:6" ht="14.25" thickBot="1">
      <c r="A259" s="776" t="s">
        <v>507</v>
      </c>
      <c r="B259" s="770" t="s">
        <v>917</v>
      </c>
      <c r="C259" s="975">
        <v>0.14799999999999999</v>
      </c>
      <c r="D259" s="975">
        <v>0.14899999999999999</v>
      </c>
      <c r="E259" s="975">
        <v>0.15</v>
      </c>
      <c r="F259" s="976">
        <v>0.13700000000000001</v>
      </c>
    </row>
    <row r="260" spans="1:6" ht="14.25" thickBot="1">
      <c r="A260" s="776" t="s">
        <v>507</v>
      </c>
      <c r="B260" s="770" t="s">
        <v>327</v>
      </c>
      <c r="C260" s="975">
        <v>0.15</v>
      </c>
      <c r="D260" s="975">
        <v>0.15</v>
      </c>
      <c r="E260" s="975">
        <v>0.15</v>
      </c>
      <c r="F260" s="976">
        <v>0.14199999999999999</v>
      </c>
    </row>
    <row r="261" spans="1:6" ht="14.25" thickBot="1">
      <c r="A261" s="776" t="s">
        <v>507</v>
      </c>
      <c r="B261" s="770" t="s">
        <v>337</v>
      </c>
      <c r="C261" s="975">
        <v>0.15</v>
      </c>
      <c r="D261" s="975">
        <v>0.15</v>
      </c>
      <c r="E261" s="975">
        <v>0.14899999999999999</v>
      </c>
      <c r="F261" s="976">
        <v>0.14799999999999999</v>
      </c>
    </row>
    <row r="262" spans="1:6" ht="14.25" thickBot="1">
      <c r="A262" s="776" t="s">
        <v>507</v>
      </c>
      <c r="B262" s="770" t="s">
        <v>347</v>
      </c>
      <c r="C262" s="975">
        <v>0.15</v>
      </c>
      <c r="D262" s="975">
        <v>0.15</v>
      </c>
      <c r="E262" s="975">
        <v>0.15</v>
      </c>
      <c r="F262" s="987"/>
    </row>
    <row r="263" spans="1:6" ht="14.25" thickBot="1">
      <c r="A263" s="776" t="s">
        <v>507</v>
      </c>
      <c r="B263" s="770" t="s">
        <v>918</v>
      </c>
      <c r="C263" s="975">
        <v>0.14899999999999999</v>
      </c>
      <c r="D263" s="975">
        <v>0.14899999999999999</v>
      </c>
      <c r="E263" s="975">
        <v>0.15</v>
      </c>
      <c r="F263" s="976">
        <v>0.13</v>
      </c>
    </row>
    <row r="264" spans="1:6" ht="14.25" thickBot="1">
      <c r="A264" s="776" t="s">
        <v>507</v>
      </c>
      <c r="B264" s="770" t="s">
        <v>366</v>
      </c>
      <c r="C264" s="975">
        <v>0.14799999999999999</v>
      </c>
      <c r="D264" s="975">
        <v>0.14699999999999999</v>
      </c>
      <c r="E264" s="975">
        <v>0.15</v>
      </c>
      <c r="F264" s="976">
        <v>7.8E-2</v>
      </c>
    </row>
    <row r="265" spans="1:6" ht="14.25" thickBot="1">
      <c r="A265" s="776" t="s">
        <v>507</v>
      </c>
      <c r="B265" s="770" t="s">
        <v>375</v>
      </c>
      <c r="C265" s="975">
        <v>0.15</v>
      </c>
      <c r="D265" s="975">
        <v>0.15</v>
      </c>
      <c r="E265" s="975">
        <v>0.15</v>
      </c>
      <c r="F265" s="976">
        <v>7.3999999999999996E-2</v>
      </c>
    </row>
    <row r="266" spans="1:6" ht="14.25" thickBot="1">
      <c r="A266" s="776" t="s">
        <v>507</v>
      </c>
      <c r="B266" s="770" t="s">
        <v>383</v>
      </c>
      <c r="C266" s="975">
        <v>0.14699999999999999</v>
      </c>
      <c r="D266" s="975">
        <v>0.14699999999999999</v>
      </c>
      <c r="E266" s="975">
        <v>0.15</v>
      </c>
      <c r="F266" s="976">
        <v>0.14299999999999999</v>
      </c>
    </row>
    <row r="267" spans="1:6" ht="14.25" thickBot="1">
      <c r="A267" s="776" t="s">
        <v>507</v>
      </c>
      <c r="B267" s="770" t="s">
        <v>390</v>
      </c>
      <c r="C267" s="975">
        <v>0.14199999999999999</v>
      </c>
      <c r="D267" s="975">
        <v>0.14299999999999999</v>
      </c>
      <c r="E267" s="975">
        <v>0.15</v>
      </c>
      <c r="F267" s="987"/>
    </row>
    <row r="268" spans="1:6" ht="14.25" thickBot="1">
      <c r="A268" s="776" t="s">
        <v>507</v>
      </c>
      <c r="B268" s="770" t="s">
        <v>919</v>
      </c>
      <c r="C268" s="975">
        <v>0.15</v>
      </c>
      <c r="D268" s="975">
        <v>0.15</v>
      </c>
      <c r="E268" s="975">
        <v>0.15</v>
      </c>
      <c r="F268" s="976">
        <v>0.13</v>
      </c>
    </row>
    <row r="269" spans="1:6" ht="14.25" thickBot="1">
      <c r="A269" s="776" t="s">
        <v>507</v>
      </c>
      <c r="B269" s="770" t="s">
        <v>404</v>
      </c>
      <c r="C269" s="975">
        <v>0.15</v>
      </c>
      <c r="D269" s="975">
        <v>0.15</v>
      </c>
      <c r="E269" s="975">
        <v>0.15</v>
      </c>
      <c r="F269" s="976">
        <v>0.14299999999999999</v>
      </c>
    </row>
    <row r="270" spans="1:6" ht="14.25" thickBot="1">
      <c r="A270" s="776" t="s">
        <v>507</v>
      </c>
      <c r="B270" s="770" t="s">
        <v>411</v>
      </c>
      <c r="C270" s="975">
        <v>0.14499999999999999</v>
      </c>
      <c r="D270" s="975">
        <v>0.14499999999999999</v>
      </c>
      <c r="E270" s="975">
        <v>0.15</v>
      </c>
      <c r="F270" s="976">
        <v>0.14699999999999999</v>
      </c>
    </row>
    <row r="271" spans="1:6" ht="14.25" thickBot="1">
      <c r="A271" s="776" t="s">
        <v>507</v>
      </c>
      <c r="B271" s="770" t="s">
        <v>418</v>
      </c>
      <c r="C271" s="975">
        <v>0.15</v>
      </c>
      <c r="D271" s="975">
        <v>0.15</v>
      </c>
      <c r="E271" s="975">
        <v>0.15</v>
      </c>
      <c r="F271" s="976">
        <v>0.13800000000000001</v>
      </c>
    </row>
    <row r="272" spans="1:6" ht="14.25" thickBot="1">
      <c r="A272" s="776" t="s">
        <v>507</v>
      </c>
      <c r="B272" s="770" t="s">
        <v>425</v>
      </c>
      <c r="C272" s="988"/>
      <c r="D272" s="988"/>
      <c r="E272" s="988"/>
      <c r="F272" s="976">
        <v>0.14000000000000001</v>
      </c>
    </row>
    <row r="273" spans="1:6" ht="14.25" thickBot="1">
      <c r="A273" s="776" t="s">
        <v>507</v>
      </c>
      <c r="B273" s="770" t="s">
        <v>920</v>
      </c>
      <c r="C273" s="975">
        <v>0.14199999999999999</v>
      </c>
      <c r="D273" s="975">
        <v>0.14299999999999999</v>
      </c>
      <c r="E273" s="975">
        <v>0.15</v>
      </c>
      <c r="F273" s="976">
        <v>0.1</v>
      </c>
    </row>
    <row r="274" spans="1:6" ht="14.25" thickBot="1">
      <c r="A274" s="776" t="s">
        <v>507</v>
      </c>
      <c r="B274" s="770" t="s">
        <v>921</v>
      </c>
      <c r="C274" s="975">
        <v>0.14799999999999999</v>
      </c>
      <c r="D274" s="975">
        <v>0.14799999999999999</v>
      </c>
      <c r="E274" s="975">
        <v>0.15</v>
      </c>
      <c r="F274" s="976">
        <v>6.7000000000000004E-2</v>
      </c>
    </row>
    <row r="275" spans="1:6" ht="14.25" thickBot="1">
      <c r="A275" s="776" t="s">
        <v>507</v>
      </c>
      <c r="B275" s="770" t="s">
        <v>922</v>
      </c>
      <c r="C275" s="975">
        <v>0.15</v>
      </c>
      <c r="D275" s="975">
        <v>0.15</v>
      </c>
      <c r="E275" s="975">
        <v>0.15</v>
      </c>
      <c r="F275" s="976">
        <v>0.15</v>
      </c>
    </row>
    <row r="276" spans="1:6" ht="14.25" thickBot="1">
      <c r="A276" s="776" t="s">
        <v>507</v>
      </c>
      <c r="B276" s="770" t="s">
        <v>923</v>
      </c>
      <c r="C276" s="975">
        <v>0.14499999999999999</v>
      </c>
      <c r="D276" s="975">
        <v>0.14299999999999999</v>
      </c>
      <c r="E276" s="975">
        <v>0.15</v>
      </c>
      <c r="F276" s="976">
        <v>5.8999999999999997E-2</v>
      </c>
    </row>
    <row r="277" spans="1:6" ht="14.25" thickBot="1">
      <c r="A277" s="776" t="s">
        <v>507</v>
      </c>
      <c r="B277" s="770" t="s">
        <v>924</v>
      </c>
      <c r="C277" s="975">
        <v>0.15</v>
      </c>
      <c r="D277" s="975">
        <v>0.15</v>
      </c>
      <c r="E277" s="975">
        <v>0.15</v>
      </c>
      <c r="F277" s="976">
        <v>0.121</v>
      </c>
    </row>
    <row r="278" spans="1:6" ht="14.25" thickBot="1">
      <c r="A278" s="776" t="s">
        <v>507</v>
      </c>
      <c r="B278" s="770" t="s">
        <v>925</v>
      </c>
      <c r="C278" s="975">
        <v>0.15</v>
      </c>
      <c r="D278" s="975">
        <v>0.15</v>
      </c>
      <c r="E278" s="975">
        <v>0.15</v>
      </c>
      <c r="F278" s="976">
        <v>0.13800000000000001</v>
      </c>
    </row>
    <row r="279" spans="1:6" ht="24.75" thickBot="1">
      <c r="A279" s="776" t="s">
        <v>507</v>
      </c>
      <c r="B279" s="770" t="s">
        <v>926</v>
      </c>
      <c r="C279" s="988"/>
      <c r="D279" s="988"/>
      <c r="E279" s="988"/>
      <c r="F279" s="976">
        <v>0.05</v>
      </c>
    </row>
    <row r="280" spans="1:6" ht="24.75" thickBot="1">
      <c r="A280" s="776" t="s">
        <v>507</v>
      </c>
      <c r="B280" s="770" t="s">
        <v>927</v>
      </c>
      <c r="C280" s="988"/>
      <c r="D280" s="988"/>
      <c r="E280" s="988"/>
      <c r="F280" s="976">
        <v>0.05</v>
      </c>
    </row>
    <row r="281" spans="1:6" ht="24.75" thickBot="1">
      <c r="A281" s="776" t="s">
        <v>507</v>
      </c>
      <c r="B281" s="770" t="s">
        <v>928</v>
      </c>
      <c r="C281" s="988"/>
      <c r="D281" s="988"/>
      <c r="E281" s="988"/>
      <c r="F281" s="976">
        <v>0.05</v>
      </c>
    </row>
    <row r="282" spans="1:6" ht="24.75" thickBot="1">
      <c r="A282" s="776" t="s">
        <v>507</v>
      </c>
      <c r="B282" s="770" t="s">
        <v>929</v>
      </c>
      <c r="C282" s="988"/>
      <c r="D282" s="988"/>
      <c r="E282" s="988"/>
      <c r="F282" s="976">
        <v>0.05</v>
      </c>
    </row>
    <row r="283" spans="1:6" ht="24.75" thickBot="1">
      <c r="A283" s="776" t="s">
        <v>507</v>
      </c>
      <c r="B283" s="770" t="s">
        <v>930</v>
      </c>
      <c r="C283" s="988"/>
      <c r="D283" s="988"/>
      <c r="E283" s="988"/>
      <c r="F283" s="976">
        <v>0.05</v>
      </c>
    </row>
    <row r="284" spans="1:6" ht="24.75" thickBot="1">
      <c r="A284" s="776" t="s">
        <v>507</v>
      </c>
      <c r="B284" s="770" t="s">
        <v>931</v>
      </c>
      <c r="C284" s="988"/>
      <c r="D284" s="988"/>
      <c r="E284" s="988"/>
      <c r="F284" s="976">
        <v>0.05</v>
      </c>
    </row>
    <row r="285" spans="1:6" ht="24.75" thickBot="1">
      <c r="A285" s="776" t="s">
        <v>507</v>
      </c>
      <c r="B285" s="770" t="s">
        <v>932</v>
      </c>
      <c r="C285" s="988"/>
      <c r="D285" s="988"/>
      <c r="E285" s="988"/>
      <c r="F285" s="976">
        <v>0.05</v>
      </c>
    </row>
    <row r="286" spans="1:6" ht="24.75" thickBot="1">
      <c r="A286" s="776" t="s">
        <v>507</v>
      </c>
      <c r="B286" s="770" t="s">
        <v>933</v>
      </c>
      <c r="C286" s="988"/>
      <c r="D286" s="988"/>
      <c r="E286" s="988"/>
      <c r="F286" s="976">
        <v>0.05</v>
      </c>
    </row>
    <row r="287" spans="1:6" ht="24.75" thickBot="1">
      <c r="A287" s="776" t="s">
        <v>507</v>
      </c>
      <c r="B287" s="770" t="s">
        <v>934</v>
      </c>
      <c r="C287" s="988"/>
      <c r="D287" s="988"/>
      <c r="E287" s="988"/>
      <c r="F287" s="976">
        <v>0.05</v>
      </c>
    </row>
    <row r="288" spans="1:6" ht="24.75" thickBot="1">
      <c r="A288" s="776" t="s">
        <v>507</v>
      </c>
      <c r="B288" s="770" t="s">
        <v>935</v>
      </c>
      <c r="C288" s="988"/>
      <c r="D288" s="988"/>
      <c r="E288" s="988"/>
      <c r="F288" s="976">
        <v>0.05</v>
      </c>
    </row>
    <row r="289" spans="1:6" ht="24.75" thickBot="1">
      <c r="A289" s="786" t="s">
        <v>507</v>
      </c>
      <c r="B289" s="782" t="s">
        <v>936</v>
      </c>
      <c r="C289" s="985"/>
      <c r="D289" s="985"/>
      <c r="E289" s="985"/>
      <c r="F289" s="978">
        <v>0.05</v>
      </c>
    </row>
    <row r="290" spans="1:6" ht="14.25" thickBot="1">
      <c r="A290" s="776" t="s">
        <v>511</v>
      </c>
      <c r="B290" s="777" t="s">
        <v>937</v>
      </c>
      <c r="C290" s="973">
        <v>0.15</v>
      </c>
      <c r="D290" s="973">
        <v>0.15</v>
      </c>
      <c r="E290" s="973">
        <v>0.15</v>
      </c>
      <c r="F290" s="990"/>
    </row>
    <row r="291" spans="1:6" ht="14.25" thickBot="1">
      <c r="A291" s="776" t="s">
        <v>511</v>
      </c>
      <c r="B291" s="770" t="s">
        <v>173</v>
      </c>
      <c r="C291" s="975">
        <v>0.15</v>
      </c>
      <c r="D291" s="975">
        <v>0.15</v>
      </c>
      <c r="E291" s="975">
        <v>0.15</v>
      </c>
      <c r="F291" s="987"/>
    </row>
    <row r="292" spans="1:6" ht="14.25" thickBot="1">
      <c r="A292" s="776" t="s">
        <v>511</v>
      </c>
      <c r="B292" s="770" t="s">
        <v>938</v>
      </c>
      <c r="C292" s="975">
        <v>0.15</v>
      </c>
      <c r="D292" s="975">
        <v>0.15</v>
      </c>
      <c r="E292" s="975">
        <v>0.15</v>
      </c>
      <c r="F292" s="976">
        <v>0.14699999999999999</v>
      </c>
    </row>
    <row r="293" spans="1:6" ht="14.25" thickBot="1">
      <c r="A293" s="776" t="s">
        <v>511</v>
      </c>
      <c r="B293" s="770" t="s">
        <v>939</v>
      </c>
      <c r="C293" s="988"/>
      <c r="D293" s="988"/>
      <c r="E293" s="988"/>
      <c r="F293" s="976">
        <v>0.1</v>
      </c>
    </row>
    <row r="294" spans="1:6" ht="14.25" thickBot="1">
      <c r="A294" s="776" t="s">
        <v>511</v>
      </c>
      <c r="B294" s="770" t="s">
        <v>940</v>
      </c>
      <c r="C294" s="975">
        <v>0.15</v>
      </c>
      <c r="D294" s="975">
        <v>0.15</v>
      </c>
      <c r="E294" s="975">
        <v>0.15</v>
      </c>
      <c r="F294" s="976">
        <v>0.15</v>
      </c>
    </row>
    <row r="295" spans="1:6" ht="14.25" thickBot="1">
      <c r="A295" s="776" t="s">
        <v>511</v>
      </c>
      <c r="B295" s="770" t="s">
        <v>211</v>
      </c>
      <c r="C295" s="975">
        <v>0.15</v>
      </c>
      <c r="D295" s="975">
        <v>0.15</v>
      </c>
      <c r="E295" s="975">
        <v>0.15</v>
      </c>
      <c r="F295" s="976">
        <v>0.15</v>
      </c>
    </row>
    <row r="296" spans="1:6" ht="14.25" thickBot="1">
      <c r="A296" s="776" t="s">
        <v>511</v>
      </c>
      <c r="B296" s="770" t="s">
        <v>941</v>
      </c>
      <c r="C296" s="975">
        <v>0.15</v>
      </c>
      <c r="D296" s="975">
        <v>0.15</v>
      </c>
      <c r="E296" s="975">
        <v>0.15</v>
      </c>
      <c r="F296" s="976">
        <v>0.15</v>
      </c>
    </row>
    <row r="297" spans="1:6" ht="14.25" thickBot="1">
      <c r="A297" s="776" t="s">
        <v>511</v>
      </c>
      <c r="B297" s="770" t="s">
        <v>942</v>
      </c>
      <c r="C297" s="975">
        <v>0.14799999999999999</v>
      </c>
      <c r="D297" s="975">
        <v>0.14899999999999999</v>
      </c>
      <c r="E297" s="975">
        <v>0.15</v>
      </c>
      <c r="F297" s="976">
        <v>0.13700000000000001</v>
      </c>
    </row>
    <row r="298" spans="1:6" ht="14.25" thickBot="1">
      <c r="A298" s="776" t="s">
        <v>511</v>
      </c>
      <c r="B298" s="770" t="s">
        <v>244</v>
      </c>
      <c r="C298" s="975">
        <v>0.13400000000000001</v>
      </c>
      <c r="D298" s="975">
        <v>0.13400000000000001</v>
      </c>
      <c r="E298" s="975">
        <v>0.14499999999999999</v>
      </c>
      <c r="F298" s="976">
        <v>0.14799999999999999</v>
      </c>
    </row>
    <row r="299" spans="1:6" ht="14.25" thickBot="1">
      <c r="A299" s="776" t="s">
        <v>511</v>
      </c>
      <c r="B299" s="770" t="s">
        <v>256</v>
      </c>
      <c r="C299" s="975">
        <v>0.15</v>
      </c>
      <c r="D299" s="975">
        <v>0.15</v>
      </c>
      <c r="E299" s="975">
        <v>0.15</v>
      </c>
      <c r="F299" s="987"/>
    </row>
    <row r="300" spans="1:6" ht="14.25" thickBot="1">
      <c r="A300" s="776" t="s">
        <v>511</v>
      </c>
      <c r="B300" s="770" t="s">
        <v>943</v>
      </c>
      <c r="C300" s="975">
        <v>0.15</v>
      </c>
      <c r="D300" s="975">
        <v>0.15</v>
      </c>
      <c r="E300" s="975">
        <v>0.15</v>
      </c>
      <c r="F300" s="976">
        <v>0.15</v>
      </c>
    </row>
    <row r="301" spans="1:6" ht="14.25" thickBot="1">
      <c r="A301" s="776" t="s">
        <v>511</v>
      </c>
      <c r="B301" s="770" t="s">
        <v>276</v>
      </c>
      <c r="C301" s="975">
        <v>0.15</v>
      </c>
      <c r="D301" s="975">
        <v>0.15</v>
      </c>
      <c r="E301" s="975">
        <v>0.15</v>
      </c>
      <c r="F301" s="987"/>
    </row>
    <row r="302" spans="1:6" ht="14.25" thickBot="1">
      <c r="A302" s="776" t="s">
        <v>511</v>
      </c>
      <c r="B302" s="770" t="s">
        <v>944</v>
      </c>
      <c r="C302" s="975">
        <v>0.15</v>
      </c>
      <c r="D302" s="975">
        <v>0.15</v>
      </c>
      <c r="E302" s="975">
        <v>0.15</v>
      </c>
      <c r="F302" s="976">
        <v>0.15</v>
      </c>
    </row>
    <row r="303" spans="1:6" ht="14.25" thickBot="1">
      <c r="A303" s="776" t="s">
        <v>511</v>
      </c>
      <c r="B303" s="770" t="s">
        <v>296</v>
      </c>
      <c r="C303" s="975">
        <v>0.15</v>
      </c>
      <c r="D303" s="975">
        <v>0.15</v>
      </c>
      <c r="E303" s="975">
        <v>0.15</v>
      </c>
      <c r="F303" s="976">
        <v>0.15</v>
      </c>
    </row>
    <row r="304" spans="1:6" ht="14.25" thickBot="1">
      <c r="A304" s="776" t="s">
        <v>511</v>
      </c>
      <c r="B304" s="770" t="s">
        <v>307</v>
      </c>
      <c r="C304" s="975">
        <v>0.15</v>
      </c>
      <c r="D304" s="975">
        <v>0.15</v>
      </c>
      <c r="E304" s="975">
        <v>0.15</v>
      </c>
      <c r="F304" s="987"/>
    </row>
    <row r="305" spans="1:6" ht="14.25" thickBot="1">
      <c r="A305" s="776" t="s">
        <v>511</v>
      </c>
      <c r="B305" s="770" t="s">
        <v>945</v>
      </c>
      <c r="C305" s="975">
        <v>0.15</v>
      </c>
      <c r="D305" s="975">
        <v>0.15</v>
      </c>
      <c r="E305" s="975">
        <v>0.15</v>
      </c>
      <c r="F305" s="976">
        <v>0.14000000000000001</v>
      </c>
    </row>
    <row r="306" spans="1:6" ht="14.25" thickBot="1">
      <c r="A306" s="776" t="s">
        <v>511</v>
      </c>
      <c r="B306" s="770" t="s">
        <v>328</v>
      </c>
      <c r="C306" s="975">
        <v>0.15</v>
      </c>
      <c r="D306" s="975">
        <v>0.15</v>
      </c>
      <c r="E306" s="975">
        <v>0.15</v>
      </c>
      <c r="F306" s="987"/>
    </row>
    <row r="307" spans="1:6" ht="14.25" thickBot="1">
      <c r="A307" s="776" t="s">
        <v>511</v>
      </c>
      <c r="B307" s="770" t="s">
        <v>946</v>
      </c>
      <c r="C307" s="975">
        <v>0.15</v>
      </c>
      <c r="D307" s="975">
        <v>0.15</v>
      </c>
      <c r="E307" s="975">
        <v>0.15</v>
      </c>
      <c r="F307" s="976">
        <v>0.14299999999999999</v>
      </c>
    </row>
    <row r="308" spans="1:6" ht="14.25" thickBot="1">
      <c r="A308" s="776" t="s">
        <v>511</v>
      </c>
      <c r="B308" s="770" t="s">
        <v>348</v>
      </c>
      <c r="C308" s="975">
        <v>0.15</v>
      </c>
      <c r="D308" s="975">
        <v>0.15</v>
      </c>
      <c r="E308" s="975">
        <v>0.15</v>
      </c>
      <c r="F308" s="976">
        <v>0.15</v>
      </c>
    </row>
    <row r="309" spans="1:6" ht="14.25" thickBot="1">
      <c r="A309" s="776" t="s">
        <v>511</v>
      </c>
      <c r="B309" s="770" t="s">
        <v>358</v>
      </c>
      <c r="C309" s="975">
        <v>0.15</v>
      </c>
      <c r="D309" s="975">
        <v>0.15</v>
      </c>
      <c r="E309" s="975">
        <v>0.15</v>
      </c>
      <c r="F309" s="987"/>
    </row>
    <row r="310" spans="1:6" ht="14.25" thickBot="1">
      <c r="A310" s="776" t="s">
        <v>511</v>
      </c>
      <c r="B310" s="770" t="s">
        <v>947</v>
      </c>
      <c r="C310" s="975">
        <v>0.15</v>
      </c>
      <c r="D310" s="975">
        <v>0.15</v>
      </c>
      <c r="E310" s="975">
        <v>0.15</v>
      </c>
      <c r="F310" s="976">
        <v>0.13700000000000001</v>
      </c>
    </row>
    <row r="311" spans="1:6" ht="14.25" thickBot="1">
      <c r="A311" s="776" t="s">
        <v>511</v>
      </c>
      <c r="B311" s="770" t="s">
        <v>948</v>
      </c>
      <c r="C311" s="975">
        <v>0.15</v>
      </c>
      <c r="D311" s="975">
        <v>0.15</v>
      </c>
      <c r="E311" s="975">
        <v>0.15</v>
      </c>
      <c r="F311" s="976">
        <v>0.15</v>
      </c>
    </row>
    <row r="312" spans="1:6" ht="14.25" thickBot="1">
      <c r="A312" s="776" t="s">
        <v>511</v>
      </c>
      <c r="B312" s="770" t="s">
        <v>384</v>
      </c>
      <c r="C312" s="975">
        <v>0.15</v>
      </c>
      <c r="D312" s="975">
        <v>0.15</v>
      </c>
      <c r="E312" s="975">
        <v>0.15</v>
      </c>
      <c r="F312" s="976">
        <v>0.1</v>
      </c>
    </row>
    <row r="313" spans="1:6" ht="14.25" thickBot="1">
      <c r="A313" s="776" t="s">
        <v>511</v>
      </c>
      <c r="B313" s="770" t="s">
        <v>949</v>
      </c>
      <c r="C313" s="975">
        <v>0.15</v>
      </c>
      <c r="D313" s="975">
        <v>0.15</v>
      </c>
      <c r="E313" s="975">
        <v>0.15</v>
      </c>
      <c r="F313" s="976">
        <v>0.15</v>
      </c>
    </row>
    <row r="314" spans="1:6" ht="24.75" thickBot="1">
      <c r="A314" s="776" t="s">
        <v>511</v>
      </c>
      <c r="B314" s="770" t="s">
        <v>950</v>
      </c>
      <c r="C314" s="988"/>
      <c r="D314" s="988"/>
      <c r="E314" s="988"/>
      <c r="F314" s="976">
        <v>0.05</v>
      </c>
    </row>
    <row r="315" spans="1:6" ht="24.75" thickBot="1">
      <c r="A315" s="776" t="s">
        <v>511</v>
      </c>
      <c r="B315" s="770" t="s">
        <v>951</v>
      </c>
      <c r="C315" s="988"/>
      <c r="D315" s="988"/>
      <c r="E315" s="988"/>
      <c r="F315" s="976">
        <v>0.05</v>
      </c>
    </row>
    <row r="316" spans="1:6" ht="24.75" thickBot="1">
      <c r="A316" s="786" t="s">
        <v>511</v>
      </c>
      <c r="B316" s="782" t="s">
        <v>952</v>
      </c>
      <c r="C316" s="985"/>
      <c r="D316" s="985"/>
      <c r="E316" s="985"/>
      <c r="F316" s="978">
        <v>0.05</v>
      </c>
    </row>
    <row r="317" spans="1:6" ht="14.25" thickBot="1">
      <c r="A317" s="776" t="s">
        <v>953</v>
      </c>
      <c r="B317" s="777" t="s">
        <v>954</v>
      </c>
      <c r="C317" s="973">
        <v>0.15</v>
      </c>
      <c r="D317" s="973">
        <v>0.15</v>
      </c>
      <c r="E317" s="973">
        <v>0.15</v>
      </c>
      <c r="F317" s="974">
        <v>0.15</v>
      </c>
    </row>
    <row r="318" spans="1:6" ht="14.25" thickBot="1">
      <c r="A318" s="776" t="s">
        <v>953</v>
      </c>
      <c r="B318" s="770" t="s">
        <v>955</v>
      </c>
      <c r="C318" s="975">
        <v>0.107</v>
      </c>
      <c r="D318" s="975">
        <v>0.11</v>
      </c>
      <c r="E318" s="975">
        <v>0.112</v>
      </c>
      <c r="F318" s="987"/>
    </row>
    <row r="319" spans="1:6" ht="14.25" thickBot="1">
      <c r="A319" s="776" t="s">
        <v>953</v>
      </c>
      <c r="B319" s="770" t="s">
        <v>956</v>
      </c>
      <c r="C319" s="975">
        <v>0.15</v>
      </c>
      <c r="D319" s="975">
        <v>0.15</v>
      </c>
      <c r="E319" s="975">
        <v>0.15</v>
      </c>
      <c r="F319" s="976">
        <v>0.15</v>
      </c>
    </row>
    <row r="320" spans="1:6" ht="14.25" thickBot="1">
      <c r="A320" s="776" t="s">
        <v>953</v>
      </c>
      <c r="B320" s="770" t="s">
        <v>200</v>
      </c>
      <c r="C320" s="975">
        <v>0.15</v>
      </c>
      <c r="D320" s="975">
        <v>0.15</v>
      </c>
      <c r="E320" s="975">
        <v>0.15</v>
      </c>
      <c r="F320" s="987"/>
    </row>
    <row r="321" spans="1:6" ht="14.25" thickBot="1">
      <c r="A321" s="776" t="s">
        <v>953</v>
      </c>
      <c r="B321" s="770" t="s">
        <v>957</v>
      </c>
      <c r="C321" s="975">
        <v>0.15</v>
      </c>
      <c r="D321" s="975">
        <v>0.15</v>
      </c>
      <c r="E321" s="975">
        <v>0.15</v>
      </c>
      <c r="F321" s="987"/>
    </row>
    <row r="322" spans="1:6" ht="14.25" thickBot="1">
      <c r="A322" s="776" t="s">
        <v>953</v>
      </c>
      <c r="B322" s="770" t="s">
        <v>958</v>
      </c>
      <c r="C322" s="975">
        <v>0.15</v>
      </c>
      <c r="D322" s="975">
        <v>0.15</v>
      </c>
      <c r="E322" s="975">
        <v>0.15</v>
      </c>
      <c r="F322" s="976">
        <v>0.15</v>
      </c>
    </row>
    <row r="323" spans="1:6" ht="14.25" thickBot="1">
      <c r="A323" s="776" t="s">
        <v>953</v>
      </c>
      <c r="B323" s="770" t="s">
        <v>959</v>
      </c>
      <c r="C323" s="975">
        <v>0.15</v>
      </c>
      <c r="D323" s="975">
        <v>0.15</v>
      </c>
      <c r="E323" s="975">
        <v>0.15</v>
      </c>
      <c r="F323" s="987"/>
    </row>
    <row r="324" spans="1:6" ht="14.25" thickBot="1">
      <c r="A324" s="776" t="s">
        <v>953</v>
      </c>
      <c r="B324" s="770" t="s">
        <v>960</v>
      </c>
      <c r="C324" s="975">
        <v>0.15</v>
      </c>
      <c r="D324" s="975">
        <v>0.15</v>
      </c>
      <c r="E324" s="975">
        <v>0.15</v>
      </c>
      <c r="F324" s="987"/>
    </row>
    <row r="325" spans="1:6" ht="14.25" thickBot="1">
      <c r="A325" s="776" t="s">
        <v>953</v>
      </c>
      <c r="B325" s="770" t="s">
        <v>961</v>
      </c>
      <c r="C325" s="975">
        <v>0.15</v>
      </c>
      <c r="D325" s="975">
        <v>0.15</v>
      </c>
      <c r="E325" s="975">
        <v>0.15</v>
      </c>
      <c r="F325" s="976">
        <v>0.14699999999999999</v>
      </c>
    </row>
    <row r="326" spans="1:6" ht="14.25" thickBot="1">
      <c r="A326" s="776" t="s">
        <v>953</v>
      </c>
      <c r="B326" s="770" t="s">
        <v>267</v>
      </c>
      <c r="C326" s="975">
        <v>0.15</v>
      </c>
      <c r="D326" s="975">
        <v>0.15</v>
      </c>
      <c r="E326" s="975">
        <v>0.15</v>
      </c>
      <c r="F326" s="987"/>
    </row>
    <row r="327" spans="1:6" ht="14.25" thickBot="1">
      <c r="A327" s="776" t="s">
        <v>953</v>
      </c>
      <c r="B327" s="770" t="s">
        <v>962</v>
      </c>
      <c r="C327" s="975">
        <v>0.15</v>
      </c>
      <c r="D327" s="975">
        <v>0.15</v>
      </c>
      <c r="E327" s="975">
        <v>0.15</v>
      </c>
      <c r="F327" s="976">
        <v>0.15</v>
      </c>
    </row>
    <row r="328" spans="1:6" ht="14.25" thickBot="1">
      <c r="A328" s="776" t="s">
        <v>953</v>
      </c>
      <c r="B328" s="770" t="s">
        <v>287</v>
      </c>
      <c r="C328" s="975">
        <v>0.15</v>
      </c>
      <c r="D328" s="975">
        <v>0.15</v>
      </c>
      <c r="E328" s="975">
        <v>0.15</v>
      </c>
      <c r="F328" s="976">
        <v>0.14099999999999999</v>
      </c>
    </row>
    <row r="329" spans="1:6" ht="14.25" thickBot="1">
      <c r="A329" s="776" t="s">
        <v>953</v>
      </c>
      <c r="B329" s="770" t="s">
        <v>297</v>
      </c>
      <c r="C329" s="975">
        <v>0.15</v>
      </c>
      <c r="D329" s="975">
        <v>0.15</v>
      </c>
      <c r="E329" s="975">
        <v>0.15</v>
      </c>
      <c r="F329" s="976">
        <v>0.15</v>
      </c>
    </row>
    <row r="330" spans="1:6" ht="14.25" thickBot="1">
      <c r="A330" s="776" t="s">
        <v>953</v>
      </c>
      <c r="B330" s="770" t="s">
        <v>308</v>
      </c>
      <c r="C330" s="975">
        <v>0.15</v>
      </c>
      <c r="D330" s="975">
        <v>0.15</v>
      </c>
      <c r="E330" s="975">
        <v>0.15</v>
      </c>
      <c r="F330" s="987"/>
    </row>
    <row r="331" spans="1:6" ht="14.25" thickBot="1">
      <c r="A331" s="776" t="s">
        <v>953</v>
      </c>
      <c r="B331" s="770" t="s">
        <v>963</v>
      </c>
      <c r="C331" s="975">
        <v>0.15</v>
      </c>
      <c r="D331" s="975">
        <v>0.15</v>
      </c>
      <c r="E331" s="975">
        <v>0.15</v>
      </c>
      <c r="F331" s="976">
        <v>0.15</v>
      </c>
    </row>
    <row r="332" spans="1:6" ht="14.25" thickBot="1">
      <c r="A332" s="776" t="s">
        <v>953</v>
      </c>
      <c r="B332" s="770" t="s">
        <v>329</v>
      </c>
      <c r="C332" s="975">
        <v>0.15</v>
      </c>
      <c r="D332" s="975">
        <v>0.15</v>
      </c>
      <c r="E332" s="975">
        <v>0.15</v>
      </c>
      <c r="F332" s="976">
        <v>0.15</v>
      </c>
    </row>
    <row r="333" spans="1:6" ht="14.25" thickBot="1">
      <c r="A333" s="776" t="s">
        <v>953</v>
      </c>
      <c r="B333" s="770" t="s">
        <v>964</v>
      </c>
      <c r="C333" s="975">
        <v>0.15</v>
      </c>
      <c r="D333" s="975">
        <v>0.15</v>
      </c>
      <c r="E333" s="975">
        <v>0.15</v>
      </c>
      <c r="F333" s="976">
        <v>0.14099999999999999</v>
      </c>
    </row>
    <row r="334" spans="1:6" ht="14.25" thickBot="1">
      <c r="A334" s="776" t="s">
        <v>953</v>
      </c>
      <c r="B334" s="770" t="s">
        <v>349</v>
      </c>
      <c r="C334" s="975">
        <v>0.15</v>
      </c>
      <c r="D334" s="975">
        <v>0.15</v>
      </c>
      <c r="E334" s="975">
        <v>0.15</v>
      </c>
      <c r="F334" s="976">
        <v>0.15</v>
      </c>
    </row>
    <row r="335" spans="1:6" ht="14.25" thickBot="1">
      <c r="A335" s="776" t="s">
        <v>953</v>
      </c>
      <c r="B335" s="770" t="s">
        <v>359</v>
      </c>
      <c r="C335" s="975">
        <v>0.15</v>
      </c>
      <c r="D335" s="975">
        <v>0.15</v>
      </c>
      <c r="E335" s="975">
        <v>0.15</v>
      </c>
      <c r="F335" s="987"/>
    </row>
    <row r="336" spans="1:6" ht="14.25" thickBot="1">
      <c r="A336" s="776" t="s">
        <v>953</v>
      </c>
      <c r="B336" s="770" t="s">
        <v>965</v>
      </c>
      <c r="C336" s="975">
        <v>0.15</v>
      </c>
      <c r="D336" s="975">
        <v>0.15</v>
      </c>
      <c r="E336" s="975">
        <v>0.15</v>
      </c>
      <c r="F336" s="976">
        <v>0.11799999999999999</v>
      </c>
    </row>
    <row r="337" spans="1:6" ht="14.25" thickBot="1">
      <c r="A337" s="786" t="s">
        <v>953</v>
      </c>
      <c r="B337" s="782" t="s">
        <v>377</v>
      </c>
      <c r="C337" s="985"/>
      <c r="D337" s="985"/>
      <c r="E337" s="985"/>
      <c r="F337" s="978">
        <v>0.14299999999999999</v>
      </c>
    </row>
    <row r="338" spans="1:6" ht="14.25" thickBot="1">
      <c r="A338" s="776" t="s">
        <v>966</v>
      </c>
      <c r="B338" s="777" t="s">
        <v>967</v>
      </c>
      <c r="C338" s="973">
        <v>0.15</v>
      </c>
      <c r="D338" s="973">
        <v>0.15</v>
      </c>
      <c r="E338" s="973">
        <v>0.15</v>
      </c>
      <c r="F338" s="990"/>
    </row>
    <row r="339" spans="1:6" ht="14.25" thickBot="1">
      <c r="A339" s="776" t="s">
        <v>966</v>
      </c>
      <c r="B339" s="770" t="s">
        <v>968</v>
      </c>
      <c r="C339" s="975">
        <v>0.15</v>
      </c>
      <c r="D339" s="975">
        <v>0.15</v>
      </c>
      <c r="E339" s="975">
        <v>0.15</v>
      </c>
      <c r="F339" s="987"/>
    </row>
    <row r="340" spans="1:6" ht="14.25" thickBot="1">
      <c r="A340" s="776" t="s">
        <v>966</v>
      </c>
      <c r="B340" s="770" t="s">
        <v>969</v>
      </c>
      <c r="C340" s="975">
        <v>0.15</v>
      </c>
      <c r="D340" s="975">
        <v>0.15</v>
      </c>
      <c r="E340" s="975">
        <v>0.15</v>
      </c>
      <c r="F340" s="987"/>
    </row>
    <row r="341" spans="1:6" ht="14.25" thickBot="1">
      <c r="A341" s="776" t="s">
        <v>966</v>
      </c>
      <c r="B341" s="770" t="s">
        <v>970</v>
      </c>
      <c r="C341" s="975">
        <v>0.15</v>
      </c>
      <c r="D341" s="975">
        <v>0.15</v>
      </c>
      <c r="E341" s="975">
        <v>0.15</v>
      </c>
      <c r="F341" s="976">
        <v>0.15</v>
      </c>
    </row>
    <row r="342" spans="1:6" ht="14.25" thickBot="1">
      <c r="A342" s="776" t="s">
        <v>966</v>
      </c>
      <c r="B342" s="770" t="s">
        <v>971</v>
      </c>
      <c r="C342" s="975">
        <v>0.15</v>
      </c>
      <c r="D342" s="975">
        <v>0.15</v>
      </c>
      <c r="E342" s="975">
        <v>0.15</v>
      </c>
      <c r="F342" s="976">
        <v>0.15</v>
      </c>
    </row>
    <row r="343" spans="1:6" ht="14.25" thickBot="1">
      <c r="A343" s="776" t="s">
        <v>966</v>
      </c>
      <c r="B343" s="770" t="s">
        <v>972</v>
      </c>
      <c r="C343" s="975">
        <v>0.15</v>
      </c>
      <c r="D343" s="975">
        <v>0.15</v>
      </c>
      <c r="E343" s="975">
        <v>0.15</v>
      </c>
      <c r="F343" s="976">
        <v>0.15</v>
      </c>
    </row>
    <row r="344" spans="1:6" ht="14.25" thickBot="1">
      <c r="A344" s="786" t="s">
        <v>966</v>
      </c>
      <c r="B344" s="782" t="s">
        <v>973</v>
      </c>
      <c r="C344" s="977">
        <v>0.15</v>
      </c>
      <c r="D344" s="977">
        <v>0.15</v>
      </c>
      <c r="E344" s="977">
        <v>0.15</v>
      </c>
      <c r="F344" s="978">
        <v>0.15</v>
      </c>
    </row>
  </sheetData>
  <sheetProtection password="C66D"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1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125" style="1413" customWidth="1"/>
    <col min="9" max="9" width="9" style="1413"/>
    <col min="10" max="10" width="9.375" style="1413" bestFit="1" customWidth="1"/>
    <col min="11" max="11" width="4" style="1407" customWidth="1"/>
    <col min="12" max="12" width="5.125" style="1413" customWidth="1"/>
    <col min="13" max="13" width="13.875" style="1413" customWidth="1"/>
    <col min="14" max="256" width="9" style="1413"/>
    <col min="257" max="257" width="4.875" style="1404" customWidth="1"/>
    <col min="258" max="258" width="13.1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875" style="1404" customWidth="1"/>
    <col min="270" max="512" width="9" style="1404"/>
    <col min="513" max="513" width="4.875" style="1404" customWidth="1"/>
    <col min="514" max="514" width="13.1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875" style="1404" customWidth="1"/>
    <col min="526" max="768" width="9" style="1404"/>
    <col min="769" max="769" width="4.875" style="1404" customWidth="1"/>
    <col min="770" max="770" width="13.1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875" style="1404" customWidth="1"/>
    <col min="782" max="1024" width="9" style="1404"/>
    <col min="1025" max="1025" width="4.875" style="1404" customWidth="1"/>
    <col min="1026" max="1026" width="13.1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875" style="1404" customWidth="1"/>
    <col min="1038" max="1280" width="9" style="1404"/>
    <col min="1281" max="1281" width="4.875" style="1404" customWidth="1"/>
    <col min="1282" max="1282" width="13.1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875" style="1404" customWidth="1"/>
    <col min="1294" max="1536" width="9" style="1404"/>
    <col min="1537" max="1537" width="4.875" style="1404" customWidth="1"/>
    <col min="1538" max="1538" width="13.1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875" style="1404" customWidth="1"/>
    <col min="1550" max="1792" width="9" style="1404"/>
    <col min="1793" max="1793" width="4.875" style="1404" customWidth="1"/>
    <col min="1794" max="1794" width="13.1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875" style="1404" customWidth="1"/>
    <col min="1806" max="2048" width="9" style="1404"/>
    <col min="2049" max="2049" width="4.875" style="1404" customWidth="1"/>
    <col min="2050" max="2050" width="13.1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875" style="1404" customWidth="1"/>
    <col min="2062" max="2304" width="9" style="1404"/>
    <col min="2305" max="2305" width="4.875" style="1404" customWidth="1"/>
    <col min="2306" max="2306" width="13.1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875" style="1404" customWidth="1"/>
    <col min="2318" max="2560" width="9" style="1404"/>
    <col min="2561" max="2561" width="4.875" style="1404" customWidth="1"/>
    <col min="2562" max="2562" width="13.1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875" style="1404" customWidth="1"/>
    <col min="2574" max="2816" width="9" style="1404"/>
    <col min="2817" max="2817" width="4.875" style="1404" customWidth="1"/>
    <col min="2818" max="2818" width="13.1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875" style="1404" customWidth="1"/>
    <col min="2830" max="3072" width="9" style="1404"/>
    <col min="3073" max="3073" width="4.875" style="1404" customWidth="1"/>
    <col min="3074" max="3074" width="13.1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875" style="1404" customWidth="1"/>
    <col min="3086" max="3328" width="9" style="1404"/>
    <col min="3329" max="3329" width="4.875" style="1404" customWidth="1"/>
    <col min="3330" max="3330" width="13.1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875" style="1404" customWidth="1"/>
    <col min="3342" max="3584" width="9" style="1404"/>
    <col min="3585" max="3585" width="4.875" style="1404" customWidth="1"/>
    <col min="3586" max="3586" width="13.1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875" style="1404" customWidth="1"/>
    <col min="3598" max="3840" width="9" style="1404"/>
    <col min="3841" max="3841" width="4.875" style="1404" customWidth="1"/>
    <col min="3842" max="3842" width="13.1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875" style="1404" customWidth="1"/>
    <col min="3854" max="4096" width="9" style="1404"/>
    <col min="4097" max="4097" width="4.875" style="1404" customWidth="1"/>
    <col min="4098" max="4098" width="13.1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875" style="1404" customWidth="1"/>
    <col min="4110" max="4352" width="9" style="1404"/>
    <col min="4353" max="4353" width="4.875" style="1404" customWidth="1"/>
    <col min="4354" max="4354" width="13.1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875" style="1404" customWidth="1"/>
    <col min="4366" max="4608" width="9" style="1404"/>
    <col min="4609" max="4609" width="4.875" style="1404" customWidth="1"/>
    <col min="4610" max="4610" width="13.1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875" style="1404" customWidth="1"/>
    <col min="4622" max="4864" width="9" style="1404"/>
    <col min="4865" max="4865" width="4.875" style="1404" customWidth="1"/>
    <col min="4866" max="4866" width="13.1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875" style="1404" customWidth="1"/>
    <col min="4878" max="5120" width="9" style="1404"/>
    <col min="5121" max="5121" width="4.875" style="1404" customWidth="1"/>
    <col min="5122" max="5122" width="13.1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875" style="1404" customWidth="1"/>
    <col min="5134" max="5376" width="9" style="1404"/>
    <col min="5377" max="5377" width="4.875" style="1404" customWidth="1"/>
    <col min="5378" max="5378" width="13.1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875" style="1404" customWidth="1"/>
    <col min="5390" max="5632" width="9" style="1404"/>
    <col min="5633" max="5633" width="4.875" style="1404" customWidth="1"/>
    <col min="5634" max="5634" width="13.1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875" style="1404" customWidth="1"/>
    <col min="5646" max="5888" width="9" style="1404"/>
    <col min="5889" max="5889" width="4.875" style="1404" customWidth="1"/>
    <col min="5890" max="5890" width="13.1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875" style="1404" customWidth="1"/>
    <col min="5902" max="6144" width="9" style="1404"/>
    <col min="6145" max="6145" width="4.875" style="1404" customWidth="1"/>
    <col min="6146" max="6146" width="13.1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875" style="1404" customWidth="1"/>
    <col min="6158" max="6400" width="9" style="1404"/>
    <col min="6401" max="6401" width="4.875" style="1404" customWidth="1"/>
    <col min="6402" max="6402" width="13.1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875" style="1404" customWidth="1"/>
    <col min="6414" max="6656" width="9" style="1404"/>
    <col min="6657" max="6657" width="4.875" style="1404" customWidth="1"/>
    <col min="6658" max="6658" width="13.1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875" style="1404" customWidth="1"/>
    <col min="6670" max="6912" width="9" style="1404"/>
    <col min="6913" max="6913" width="4.875" style="1404" customWidth="1"/>
    <col min="6914" max="6914" width="13.1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875" style="1404" customWidth="1"/>
    <col min="6926" max="7168" width="9" style="1404"/>
    <col min="7169" max="7169" width="4.875" style="1404" customWidth="1"/>
    <col min="7170" max="7170" width="13.1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875" style="1404" customWidth="1"/>
    <col min="7182" max="7424" width="9" style="1404"/>
    <col min="7425" max="7425" width="4.875" style="1404" customWidth="1"/>
    <col min="7426" max="7426" width="13.1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875" style="1404" customWidth="1"/>
    <col min="7438" max="7680" width="9" style="1404"/>
    <col min="7681" max="7681" width="4.875" style="1404" customWidth="1"/>
    <col min="7682" max="7682" width="13.1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875" style="1404" customWidth="1"/>
    <col min="7694" max="7936" width="9" style="1404"/>
    <col min="7937" max="7937" width="4.875" style="1404" customWidth="1"/>
    <col min="7938" max="7938" width="13.1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875" style="1404" customWidth="1"/>
    <col min="7950" max="8192" width="9" style="1404"/>
    <col min="8193" max="8193" width="4.875" style="1404" customWidth="1"/>
    <col min="8194" max="8194" width="13.1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875" style="1404" customWidth="1"/>
    <col min="8206" max="8448" width="9" style="1404"/>
    <col min="8449" max="8449" width="4.875" style="1404" customWidth="1"/>
    <col min="8450" max="8450" width="13.1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875" style="1404" customWidth="1"/>
    <col min="8462" max="8704" width="9" style="1404"/>
    <col min="8705" max="8705" width="4.875" style="1404" customWidth="1"/>
    <col min="8706" max="8706" width="13.1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875" style="1404" customWidth="1"/>
    <col min="8718" max="8960" width="9" style="1404"/>
    <col min="8961" max="8961" width="4.875" style="1404" customWidth="1"/>
    <col min="8962" max="8962" width="13.1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875" style="1404" customWidth="1"/>
    <col min="8974" max="9216" width="9" style="1404"/>
    <col min="9217" max="9217" width="4.875" style="1404" customWidth="1"/>
    <col min="9218" max="9218" width="13.1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875" style="1404" customWidth="1"/>
    <col min="9230" max="9472" width="9" style="1404"/>
    <col min="9473" max="9473" width="4.875" style="1404" customWidth="1"/>
    <col min="9474" max="9474" width="13.1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875" style="1404" customWidth="1"/>
    <col min="9486" max="9728" width="9" style="1404"/>
    <col min="9729" max="9729" width="4.875" style="1404" customWidth="1"/>
    <col min="9730" max="9730" width="13.1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875" style="1404" customWidth="1"/>
    <col min="9742" max="9984" width="9" style="1404"/>
    <col min="9985" max="9985" width="4.875" style="1404" customWidth="1"/>
    <col min="9986" max="9986" width="13.1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875" style="1404" customWidth="1"/>
    <col min="9998" max="10240" width="9" style="1404"/>
    <col min="10241" max="10241" width="4.875" style="1404" customWidth="1"/>
    <col min="10242" max="10242" width="13.1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875" style="1404" customWidth="1"/>
    <col min="10254" max="10496" width="9" style="1404"/>
    <col min="10497" max="10497" width="4.875" style="1404" customWidth="1"/>
    <col min="10498" max="10498" width="13.1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875" style="1404" customWidth="1"/>
    <col min="10510" max="10752" width="9" style="1404"/>
    <col min="10753" max="10753" width="4.875" style="1404" customWidth="1"/>
    <col min="10754" max="10754" width="13.1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875" style="1404" customWidth="1"/>
    <col min="10766" max="11008" width="9" style="1404"/>
    <col min="11009" max="11009" width="4.875" style="1404" customWidth="1"/>
    <col min="11010" max="11010" width="13.1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875" style="1404" customWidth="1"/>
    <col min="11022" max="11264" width="9" style="1404"/>
    <col min="11265" max="11265" width="4.875" style="1404" customWidth="1"/>
    <col min="11266" max="11266" width="13.1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875" style="1404" customWidth="1"/>
    <col min="11278" max="11520" width="9" style="1404"/>
    <col min="11521" max="11521" width="4.875" style="1404" customWidth="1"/>
    <col min="11522" max="11522" width="13.1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875" style="1404" customWidth="1"/>
    <col min="11534" max="11776" width="9" style="1404"/>
    <col min="11777" max="11777" width="4.875" style="1404" customWidth="1"/>
    <col min="11778" max="11778" width="13.1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875" style="1404" customWidth="1"/>
    <col min="11790" max="12032" width="9" style="1404"/>
    <col min="12033" max="12033" width="4.875" style="1404" customWidth="1"/>
    <col min="12034" max="12034" width="13.1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875" style="1404" customWidth="1"/>
    <col min="12046" max="12288" width="9" style="1404"/>
    <col min="12289" max="12289" width="4.875" style="1404" customWidth="1"/>
    <col min="12290" max="12290" width="13.1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875" style="1404" customWidth="1"/>
    <col min="12302" max="12544" width="9" style="1404"/>
    <col min="12545" max="12545" width="4.875" style="1404" customWidth="1"/>
    <col min="12546" max="12546" width="13.1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875" style="1404" customWidth="1"/>
    <col min="12558" max="12800" width="9" style="1404"/>
    <col min="12801" max="12801" width="4.875" style="1404" customWidth="1"/>
    <col min="12802" max="12802" width="13.1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875" style="1404" customWidth="1"/>
    <col min="12814" max="13056" width="9" style="1404"/>
    <col min="13057" max="13057" width="4.875" style="1404" customWidth="1"/>
    <col min="13058" max="13058" width="13.1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875" style="1404" customWidth="1"/>
    <col min="13070" max="13312" width="9" style="1404"/>
    <col min="13313" max="13313" width="4.875" style="1404" customWidth="1"/>
    <col min="13314" max="13314" width="13.1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875" style="1404" customWidth="1"/>
    <col min="13326" max="13568" width="9" style="1404"/>
    <col min="13569" max="13569" width="4.875" style="1404" customWidth="1"/>
    <col min="13570" max="13570" width="13.1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875" style="1404" customWidth="1"/>
    <col min="13582" max="13824" width="9" style="1404"/>
    <col min="13825" max="13825" width="4.875" style="1404" customWidth="1"/>
    <col min="13826" max="13826" width="13.1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875" style="1404" customWidth="1"/>
    <col min="13838" max="14080" width="9" style="1404"/>
    <col min="14081" max="14081" width="4.875" style="1404" customWidth="1"/>
    <col min="14082" max="14082" width="13.1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875" style="1404" customWidth="1"/>
    <col min="14094" max="14336" width="9" style="1404"/>
    <col min="14337" max="14337" width="4.875" style="1404" customWidth="1"/>
    <col min="14338" max="14338" width="13.1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875" style="1404" customWidth="1"/>
    <col min="14350" max="14592" width="9" style="1404"/>
    <col min="14593" max="14593" width="4.875" style="1404" customWidth="1"/>
    <col min="14594" max="14594" width="13.1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875" style="1404" customWidth="1"/>
    <col min="14606" max="14848" width="9" style="1404"/>
    <col min="14849" max="14849" width="4.875" style="1404" customWidth="1"/>
    <col min="14850" max="14850" width="13.1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875" style="1404" customWidth="1"/>
    <col min="14862" max="15104" width="9" style="1404"/>
    <col min="15105" max="15105" width="4.875" style="1404" customWidth="1"/>
    <col min="15106" max="15106" width="13.1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875" style="1404" customWidth="1"/>
    <col min="15118" max="15360" width="9" style="1404"/>
    <col min="15361" max="15361" width="4.875" style="1404" customWidth="1"/>
    <col min="15362" max="15362" width="13.1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875" style="1404" customWidth="1"/>
    <col min="15374" max="15616" width="9" style="1404"/>
    <col min="15617" max="15617" width="4.875" style="1404" customWidth="1"/>
    <col min="15618" max="15618" width="13.1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875" style="1404" customWidth="1"/>
    <col min="15630" max="15872" width="9" style="1404"/>
    <col min="15873" max="15873" width="4.875" style="1404" customWidth="1"/>
    <col min="15874" max="15874" width="13.1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875" style="1404" customWidth="1"/>
    <col min="15886" max="16128" width="9" style="1404"/>
    <col min="16129" max="16129" width="4.875" style="1404" customWidth="1"/>
    <col min="16130" max="16130" width="13.1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875" style="1404" customWidth="1"/>
    <col min="16142" max="16384" width="9" style="1404"/>
  </cols>
  <sheetData>
    <row r="1" spans="1:257" s="1467" customFormat="1" ht="14.25" thickBot="1">
      <c r="A1" s="1461"/>
      <c r="B1" s="1468" t="s">
        <v>1244</v>
      </c>
      <c r="C1" s="1462">
        <f>项目基本情况!D3</f>
        <v>44236</v>
      </c>
      <c r="D1" s="1468" t="s">
        <v>1245</v>
      </c>
      <c r="E1" s="1463">
        <f>'数据-取费表'!B22</f>
        <v>3</v>
      </c>
      <c r="F1" s="1468" t="s">
        <v>1246</v>
      </c>
      <c r="G1" s="1464">
        <f ca="1">INDIRECT("d"&amp;$K$1)/100</f>
        <v>3.85E-2</v>
      </c>
      <c r="H1" s="1468" t="s">
        <v>1276</v>
      </c>
      <c r="I1" s="1464">
        <f ca="1">F4/100</f>
        <v>1.4999999999999999E-2</v>
      </c>
      <c r="J1" s="1469">
        <f>IF(C1&gt;C13,0,MATCH(C1,C$13:C$104,-1))+IF(SUMIF(C13:C104,C1,D13:D104)=0,13,12)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1247</v>
      </c>
      <c r="E2" s="1405"/>
      <c r="F2" s="1405" t="s">
        <v>1248</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1249</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1250</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1251</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1252</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1253</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1254</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1255</v>
      </c>
      <c r="C10" s="1433"/>
      <c r="D10" s="1433"/>
      <c r="E10" s="1433"/>
      <c r="F10" s="1433"/>
      <c r="G10" s="1433"/>
      <c r="H10" s="1433"/>
      <c r="I10" s="1407"/>
      <c r="J10" s="1407"/>
      <c r="K10" s="1433"/>
      <c r="L10" s="1434" t="s">
        <v>1256</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1257</v>
      </c>
      <c r="C11" s="1438" t="s">
        <v>1258</v>
      </c>
      <c r="D11" s="1439" t="s">
        <v>1259</v>
      </c>
      <c r="E11" s="1440"/>
      <c r="F11" s="1439" t="s">
        <v>1260</v>
      </c>
      <c r="G11" s="1441"/>
      <c r="H11" s="1440"/>
      <c r="I11" s="1439" t="s">
        <v>1261</v>
      </c>
      <c r="J11" s="1440"/>
      <c r="K11" s="1436"/>
      <c r="L11" s="1437" t="s">
        <v>1257</v>
      </c>
      <c r="M11" s="1438" t="s">
        <v>1258</v>
      </c>
      <c r="N11" s="1437" t="s">
        <v>1262</v>
      </c>
      <c r="O11" s="1439" t="s">
        <v>1263</v>
      </c>
      <c r="P11" s="1441"/>
      <c r="Q11" s="1441"/>
      <c r="R11" s="1441"/>
      <c r="S11" s="1441"/>
      <c r="T11" s="1440"/>
      <c r="U11" s="1439" t="s">
        <v>1264</v>
      </c>
      <c r="V11" s="1441"/>
      <c r="W11" s="1440"/>
      <c r="X11" s="1437" t="s">
        <v>1265</v>
      </c>
      <c r="Y11" s="1437" t="s">
        <v>1266</v>
      </c>
      <c r="Z11" s="1437" t="s">
        <v>1267</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1268</v>
      </c>
      <c r="E12" s="1446" t="s">
        <v>1269</v>
      </c>
      <c r="F12" s="1446" t="s">
        <v>1270</v>
      </c>
      <c r="G12" s="1446" t="s">
        <v>1271</v>
      </c>
      <c r="H12" s="1446" t="s">
        <v>1253</v>
      </c>
      <c r="I12" s="1447" t="s">
        <v>1272</v>
      </c>
      <c r="J12" s="1447" t="s">
        <v>1272</v>
      </c>
      <c r="K12" s="1443"/>
      <c r="L12" s="1444"/>
      <c r="M12" s="1445"/>
      <c r="N12" s="1444"/>
      <c r="O12" s="1447" t="s">
        <v>1273</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1274</v>
      </c>
      <c r="C13" s="3048">
        <v>43941</v>
      </c>
      <c r="D13" s="3049">
        <v>3.85</v>
      </c>
      <c r="E13" s="3049">
        <v>3.85</v>
      </c>
      <c r="F13" s="3049">
        <v>3.85</v>
      </c>
      <c r="G13" s="3049">
        <v>3.85</v>
      </c>
      <c r="H13" s="3049">
        <v>4.6500000000000004</v>
      </c>
      <c r="I13" s="1451"/>
      <c r="J13" s="1451"/>
      <c r="K13" s="1449"/>
      <c r="L13" s="1450" t="s">
        <v>1274</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4"/>
      <c r="C14" s="3045">
        <v>43881</v>
      </c>
      <c r="D14" s="3044">
        <v>4.05</v>
      </c>
      <c r="E14" s="3044">
        <v>4.05</v>
      </c>
      <c r="F14" s="3044">
        <v>4.05</v>
      </c>
      <c r="G14" s="3044">
        <v>4.05</v>
      </c>
      <c r="H14" s="3044">
        <v>4.75</v>
      </c>
      <c r="I14" s="3044"/>
      <c r="J14" s="3044"/>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4"/>
      <c r="C15" s="3045">
        <v>43789</v>
      </c>
      <c r="D15" s="3044">
        <v>4.1500000000000004</v>
      </c>
      <c r="E15" s="3044">
        <v>4.1500000000000004</v>
      </c>
      <c r="F15" s="3044">
        <v>4.1500000000000004</v>
      </c>
      <c r="G15" s="3044">
        <v>4.1500000000000004</v>
      </c>
      <c r="H15" s="3044">
        <v>4.8</v>
      </c>
      <c r="I15" s="3044"/>
      <c r="J15" s="3044"/>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4"/>
      <c r="C16" s="3045">
        <v>43728</v>
      </c>
      <c r="D16" s="3044">
        <v>4.2</v>
      </c>
      <c r="E16" s="3044">
        <v>4.2</v>
      </c>
      <c r="F16" s="3044">
        <v>4.2</v>
      </c>
      <c r="G16" s="3044">
        <v>4.2</v>
      </c>
      <c r="H16" s="3044">
        <v>4.8499999999999996</v>
      </c>
      <c r="I16" s="3044"/>
      <c r="J16" s="3044"/>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43" t="s">
        <v>3037</v>
      </c>
      <c r="C17" s="3046">
        <v>43697</v>
      </c>
      <c r="D17" s="3047">
        <v>4.25</v>
      </c>
      <c r="E17" s="3047">
        <v>4.25</v>
      </c>
      <c r="F17" s="3047">
        <v>4.25</v>
      </c>
      <c r="G17" s="3047">
        <v>4.25</v>
      </c>
      <c r="H17" s="3047">
        <v>4.8499999999999996</v>
      </c>
      <c r="I17" s="3047"/>
      <c r="J17" s="3047"/>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1275</v>
      </c>
      <c r="Y42" s="1455" t="s">
        <v>1275</v>
      </c>
      <c r="Z42" s="1455" t="s">
        <v>1275</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1275</v>
      </c>
      <c r="Y43" s="1455" t="s">
        <v>1275</v>
      </c>
      <c r="Z43" s="1455" t="s">
        <v>1275</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1275</v>
      </c>
      <c r="Y44" s="1455" t="s">
        <v>1275</v>
      </c>
      <c r="Z44" s="1455" t="s">
        <v>1275</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1275</v>
      </c>
      <c r="Y45" s="1455" t="s">
        <v>1275</v>
      </c>
      <c r="Z45" s="1455" t="s">
        <v>1275</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1275</v>
      </c>
      <c r="Y46" s="1455" t="s">
        <v>1275</v>
      </c>
      <c r="Z46" s="1455" t="s">
        <v>1275</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1275</v>
      </c>
      <c r="Y47" s="1455" t="s">
        <v>1275</v>
      </c>
      <c r="Z47" s="1455" t="s">
        <v>1275</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1275</v>
      </c>
      <c r="Y48" s="1455" t="s">
        <v>1275</v>
      </c>
      <c r="Z48" s="1455" t="s">
        <v>1275</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1275</v>
      </c>
      <c r="Y49" s="1455" t="s">
        <v>1275</v>
      </c>
      <c r="Z49" s="1455" t="s">
        <v>1275</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1275</v>
      </c>
      <c r="Y50" s="1455" t="s">
        <v>1275</v>
      </c>
      <c r="Z50" s="1455" t="s">
        <v>1275</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1275</v>
      </c>
      <c r="V51" s="1455" t="s">
        <v>1275</v>
      </c>
      <c r="W51" s="1455" t="s">
        <v>1275</v>
      </c>
      <c r="X51" s="1455" t="s">
        <v>1275</v>
      </c>
      <c r="Y51" s="1455" t="s">
        <v>1275</v>
      </c>
      <c r="Z51" s="1455" t="s">
        <v>1275</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1275</v>
      </c>
      <c r="J59" s="1455" t="s">
        <v>1275</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3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1315</v>
      </c>
      <c r="E1" s="1510" t="s">
        <v>1319</v>
      </c>
      <c r="F1" s="1511" t="s">
        <v>1323</v>
      </c>
    </row>
    <row r="2" spans="1:13" ht="20.25">
      <c r="A2" s="1517" t="s">
        <v>1316</v>
      </c>
    </row>
    <row r="3" spans="1:13" ht="16.5">
      <c r="A3" s="1518" t="s">
        <v>1317</v>
      </c>
    </row>
    <row r="4" spans="1:13" ht="14.25">
      <c r="A4" s="1508" t="s">
        <v>1318</v>
      </c>
      <c r="B4" s="1513" t="s">
        <v>1320</v>
      </c>
      <c r="C4" s="1514"/>
      <c r="D4" s="1515"/>
      <c r="E4" s="1513" t="s">
        <v>24</v>
      </c>
      <c r="F4" s="1514"/>
      <c r="G4" s="1515"/>
      <c r="H4" s="1513" t="s">
        <v>1321</v>
      </c>
      <c r="I4" s="1514"/>
      <c r="J4" s="1515"/>
      <c r="K4" s="1513" t="s">
        <v>3</v>
      </c>
      <c r="L4" s="1514"/>
      <c r="M4" s="1515"/>
    </row>
    <row r="5" spans="1:13" ht="14.25">
      <c r="A5" s="1509" t="s">
        <v>1322</v>
      </c>
      <c r="B5" s="1508" t="s">
        <v>1324</v>
      </c>
      <c r="C5" s="1508" t="s">
        <v>1325</v>
      </c>
      <c r="D5" s="1508" t="s">
        <v>1326</v>
      </c>
      <c r="E5" s="1508" t="s">
        <v>1324</v>
      </c>
      <c r="F5" s="1508" t="s">
        <v>1325</v>
      </c>
      <c r="G5" s="1508" t="s">
        <v>1326</v>
      </c>
      <c r="H5" s="1508" t="s">
        <v>1324</v>
      </c>
      <c r="I5" s="1508" t="s">
        <v>1325</v>
      </c>
      <c r="J5" s="1508" t="s">
        <v>1326</v>
      </c>
      <c r="K5" s="1508" t="s">
        <v>1324</v>
      </c>
      <c r="L5" s="1508" t="s">
        <v>1325</v>
      </c>
      <c r="M5" s="1508" t="s">
        <v>1326</v>
      </c>
    </row>
    <row r="6" spans="1:13" ht="14.25">
      <c r="A6" s="1512" t="s">
        <v>189</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246</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419</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114</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500</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33</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503</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505</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507</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511</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791</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792</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4" t="str">
        <f>IF(项目基本情况!B9="房地产市场价值","估价结果一览表","结果表-2")</f>
        <v>结果表-2</v>
      </c>
      <c r="B1" s="3104"/>
      <c r="C1" s="3104"/>
      <c r="D1" s="3104"/>
      <c r="E1" s="3104"/>
      <c r="F1" s="3104"/>
      <c r="G1" s="3104"/>
      <c r="H1" s="3104"/>
      <c r="I1" s="3104"/>
    </row>
    <row r="2" spans="1:9" ht="30" customHeight="1" thickTop="1">
      <c r="A2" s="3105" t="s">
        <v>1583</v>
      </c>
      <c r="B2" s="3105" t="s">
        <v>1584</v>
      </c>
      <c r="C2" s="3105" t="s">
        <v>1585</v>
      </c>
      <c r="D2" s="3105" t="str">
        <f>结果表!D116</f>
        <v>出让国有建设用地使用权价值</v>
      </c>
      <c r="E2" s="3105"/>
      <c r="F2" s="3105" t="str">
        <f>结果表!F116</f>
        <v>在建建筑物价值</v>
      </c>
      <c r="G2" s="3105"/>
      <c r="H2" s="3105" t="str">
        <f>IF(项目基本情况!B9="房地产市场价值","房地产市场价值","房地产价值")</f>
        <v>房地产价值</v>
      </c>
      <c r="I2" s="3105"/>
    </row>
    <row r="3" spans="1:9" ht="15">
      <c r="A3" s="3106"/>
      <c r="B3" s="3106"/>
      <c r="C3" s="3106"/>
      <c r="D3" s="960" t="s">
        <v>1580</v>
      </c>
      <c r="E3" s="960" t="s">
        <v>1586</v>
      </c>
      <c r="F3" s="960" t="s">
        <v>1580</v>
      </c>
      <c r="G3" s="960" t="s">
        <v>1581</v>
      </c>
      <c r="H3" s="960" t="s">
        <v>1580</v>
      </c>
      <c r="I3" s="960" t="s">
        <v>1581</v>
      </c>
    </row>
    <row r="4" spans="1:9" ht="30">
      <c r="A4" s="1688" t="str">
        <f>项目基本情况!S2</f>
        <v>出让国有建设用地使用权及在建建筑物房地产</v>
      </c>
      <c r="B4" s="960">
        <f>项目基本情况!C17</f>
        <v>125203.41</v>
      </c>
      <c r="C4" s="960">
        <f>项目基本情况!C18</f>
        <v>71942</v>
      </c>
      <c r="D4" s="960">
        <f ca="1">结果表!D118</f>
        <v>160673</v>
      </c>
      <c r="E4" s="960">
        <f ca="1">结果表!E118</f>
        <v>12833</v>
      </c>
      <c r="F4" s="960">
        <f ca="1">结果表!F118</f>
        <v>8279</v>
      </c>
      <c r="G4" s="960">
        <f ca="1">结果表!G118</f>
        <v>661</v>
      </c>
      <c r="H4" s="960">
        <f ca="1">结果表!H118</f>
        <v>168952</v>
      </c>
      <c r="I4" s="960">
        <f ca="1">结果表!I118</f>
        <v>13494</v>
      </c>
    </row>
    <row r="5" spans="1:9" ht="30" customHeight="1">
      <c r="A5" s="3106" t="s">
        <v>1582</v>
      </c>
      <c r="B5" s="3106"/>
      <c r="C5" s="3106"/>
      <c r="D5" s="3107" t="str">
        <f ca="1">结果表!D119</f>
        <v>壹拾陆亿零陆佰柒拾叁万元整</v>
      </c>
      <c r="E5" s="3107"/>
      <c r="F5" s="3107" t="str">
        <f ca="1">结果表!F119</f>
        <v>捌仟贰佰柒拾玖万元整</v>
      </c>
      <c r="G5" s="3107"/>
      <c r="H5" s="3107" t="str">
        <f ca="1">结果表!H119</f>
        <v>壹拾陆亿捌仟玖佰伍拾贰万元整</v>
      </c>
      <c r="I5" s="3107"/>
    </row>
    <row r="6" spans="1:9" ht="15.75">
      <c r="A6" s="3108" t="str">
        <f>结果表!A120</f>
        <v>估价师知悉的法定优先受偿款</v>
      </c>
      <c r="B6" s="3108"/>
      <c r="C6" s="3108"/>
      <c r="D6" s="3108">
        <f>结果表!D120</f>
        <v>0</v>
      </c>
      <c r="E6" s="3108"/>
      <c r="F6" s="3108"/>
      <c r="G6" s="3108"/>
      <c r="H6" s="3108"/>
      <c r="I6" s="3108"/>
    </row>
    <row r="7" spans="1:9" ht="15">
      <c r="A7" s="3106" t="s">
        <v>1582</v>
      </c>
      <c r="B7" s="3106"/>
      <c r="C7" s="3106"/>
      <c r="D7" s="3109" t="str">
        <f>结果表!D121</f>
        <v>零元整</v>
      </c>
      <c r="E7" s="3110"/>
      <c r="F7" s="3110"/>
      <c r="G7" s="3110"/>
      <c r="H7" s="3110"/>
      <c r="I7" s="3111"/>
    </row>
    <row r="8" spans="1:9" ht="15.75">
      <c r="A8" s="3108" t="str">
        <f>结果表!A122</f>
        <v>房地产抵押价值</v>
      </c>
      <c r="B8" s="3108"/>
      <c r="C8" s="3108"/>
      <c r="D8" s="3108">
        <f ca="1">结果表!D122</f>
        <v>168952</v>
      </c>
      <c r="E8" s="3108"/>
      <c r="F8" s="3108"/>
      <c r="G8" s="3108"/>
      <c r="H8" s="3108"/>
      <c r="I8" s="3108"/>
    </row>
    <row r="9" spans="1:9" ht="15">
      <c r="A9" s="3106" t="s">
        <v>1582</v>
      </c>
      <c r="B9" s="3106"/>
      <c r="C9" s="3106"/>
      <c r="D9" s="3107" t="str">
        <f ca="1">结果表!D123</f>
        <v>壹拾陆亿捌仟玖佰伍拾贰万元整</v>
      </c>
      <c r="E9" s="3107"/>
      <c r="F9" s="3107"/>
      <c r="G9" s="3107"/>
      <c r="H9" s="3107"/>
      <c r="I9" s="3107"/>
    </row>
    <row r="10" spans="1:9" ht="15.75">
      <c r="A10" s="3108" t="str">
        <f>结果表!A124</f>
        <v/>
      </c>
      <c r="B10" s="3108"/>
      <c r="C10" s="3108"/>
      <c r="D10" s="3108" t="str">
        <f>结果表!D124</f>
        <v>——</v>
      </c>
      <c r="E10" s="3108"/>
      <c r="F10" s="3108"/>
      <c r="G10" s="3108"/>
      <c r="H10" s="3108"/>
      <c r="I10" s="3108"/>
    </row>
    <row r="11" spans="1:9" ht="15">
      <c r="A11" s="3106" t="s">
        <v>1582</v>
      </c>
      <c r="B11" s="3106"/>
      <c r="C11" s="3106"/>
      <c r="D11" s="3107" t="e">
        <f>结果表!D125</f>
        <v>#VALUE!</v>
      </c>
      <c r="E11" s="3107"/>
      <c r="F11" s="3107"/>
      <c r="G11" s="3107"/>
      <c r="H11" s="3107"/>
      <c r="I11" s="3107"/>
    </row>
    <row r="12" spans="1:9" ht="15.75">
      <c r="A12" s="3108" t="str">
        <f>结果表!A126</f>
        <v/>
      </c>
      <c r="B12" s="3108"/>
      <c r="C12" s="3108"/>
      <c r="D12" s="3108" t="str">
        <f>结果表!D126</f>
        <v>——</v>
      </c>
      <c r="E12" s="3108"/>
      <c r="F12" s="3108"/>
      <c r="G12" s="3108"/>
      <c r="H12" s="3108"/>
      <c r="I12" s="3108"/>
    </row>
    <row r="13" spans="1:9" ht="15.75" thickBot="1">
      <c r="A13" s="3112" t="s">
        <v>1582</v>
      </c>
      <c r="B13" s="3112"/>
      <c r="C13" s="3112"/>
      <c r="D13" s="3113" t="e">
        <f>结果表!D127</f>
        <v>#VALUE!</v>
      </c>
      <c r="E13" s="3113"/>
      <c r="F13" s="3113"/>
      <c r="G13" s="3113"/>
      <c r="H13" s="3113"/>
      <c r="I13" s="3113"/>
    </row>
    <row r="14" spans="1:9" ht="15" thickTop="1">
      <c r="A14" s="3114" t="s">
        <v>1587</v>
      </c>
      <c r="B14" s="3114"/>
      <c r="C14" s="3114"/>
      <c r="D14" s="3114"/>
      <c r="E14" s="3114"/>
      <c r="F14" s="3114"/>
      <c r="G14" s="3114"/>
      <c r="H14" s="3114"/>
      <c r="I14" s="3114"/>
    </row>
    <row r="16" spans="1:9" ht="18.75">
      <c r="A16" s="1689" t="s">
        <v>1570</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5" t="s">
        <v>1604</v>
      </c>
      <c r="B1" s="3115"/>
      <c r="C1" s="3115"/>
      <c r="D1" s="3115"/>
    </row>
    <row r="2" spans="1:4" ht="18">
      <c r="A2" s="3116" t="s">
        <v>1588</v>
      </c>
      <c r="B2" s="3116"/>
      <c r="C2" s="3116"/>
      <c r="D2" s="3116"/>
    </row>
    <row r="3" spans="1:4" ht="18.75">
      <c r="A3" s="1692" t="s">
        <v>1589</v>
      </c>
      <c r="B3" s="1692" t="s">
        <v>1590</v>
      </c>
      <c r="C3" s="1692" t="s">
        <v>1591</v>
      </c>
      <c r="D3" s="1692" t="s">
        <v>1592</v>
      </c>
    </row>
    <row r="4" spans="1:4" ht="56.25" customHeight="1">
      <c r="A4" s="1693">
        <f>项目基本情况!B4</f>
        <v>0</v>
      </c>
      <c r="B4" s="1694">
        <f>项目基本情况!C4</f>
        <v>0</v>
      </c>
      <c r="C4" s="1695"/>
      <c r="D4" s="1696" t="s">
        <v>1593</v>
      </c>
    </row>
    <row r="5" spans="1:4" ht="56.25" customHeight="1">
      <c r="A5" s="1693">
        <f>项目基本情况!D4</f>
        <v>0</v>
      </c>
      <c r="B5" s="1694">
        <f>项目基本情况!E4</f>
        <v>0</v>
      </c>
      <c r="C5" s="1697"/>
      <c r="D5" s="1696" t="s">
        <v>1593</v>
      </c>
    </row>
    <row r="6" spans="1:4" ht="18">
      <c r="A6" s="3116" t="s">
        <v>1594</v>
      </c>
      <c r="B6" s="3116"/>
      <c r="C6" s="3116"/>
      <c r="D6" s="3116"/>
    </row>
    <row r="7" spans="1:4" ht="18.75">
      <c r="A7" s="1692" t="s">
        <v>1589</v>
      </c>
      <c r="B7" s="1694" t="s">
        <v>1595</v>
      </c>
      <c r="C7" s="1692" t="s">
        <v>1591</v>
      </c>
      <c r="D7" s="1692" t="s">
        <v>1592</v>
      </c>
    </row>
    <row r="8" spans="1:4" ht="56.25" customHeight="1">
      <c r="A8" s="1698" t="s">
        <v>814</v>
      </c>
      <c r="B8" s="1698" t="s">
        <v>0</v>
      </c>
      <c r="C8" s="1695"/>
      <c r="D8" s="1696" t="s">
        <v>1593</v>
      </c>
    </row>
    <row r="9" spans="1:4">
      <c r="A9" s="681"/>
      <c r="B9" s="681"/>
      <c r="C9" s="681"/>
      <c r="D9" s="681"/>
    </row>
    <row r="10" spans="1:4" ht="18.75">
      <c r="A10" s="1699" t="s">
        <v>1596</v>
      </c>
      <c r="B10" s="681"/>
      <c r="C10" s="681"/>
      <c r="D10" s="681"/>
    </row>
    <row r="11" spans="1:4" ht="30" customHeight="1">
      <c r="A11" s="3117" t="s">
        <v>1597</v>
      </c>
      <c r="B11" s="3118"/>
      <c r="C11" s="3118"/>
      <c r="D11" s="3118"/>
    </row>
    <row r="12" spans="1:4" ht="15.75">
      <c r="A12" s="31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9"/>
      <c r="C12" s="3119"/>
      <c r="D12" s="3119"/>
    </row>
    <row r="13" spans="1:4" ht="30" customHeight="1">
      <c r="A13" s="3118" t="str">
        <f>IF(项目基本情况!B8="抵押","3.抵押双方在办理抵押登记手续时，应使用本公司出具的正式《房地产评估报告》，特提醒报告使用者注意。","——")</f>
        <v>——</v>
      </c>
      <c r="B13" s="3119"/>
      <c r="C13" s="3119"/>
      <c r="D13" s="3119"/>
    </row>
    <row r="14" spans="1:4" ht="15.75" customHeight="1">
      <c r="A14" s="3118" t="str">
        <f>IF(项目基本情况!B8="抵押","4.本次评估估价师所知悉的法定优先受偿款情况说明如下：","——")</f>
        <v>——</v>
      </c>
      <c r="B14" s="3119"/>
      <c r="C14" s="3119"/>
      <c r="D14" s="3119"/>
    </row>
    <row r="15" spans="1:4" ht="42" customHeight="1">
      <c r="A15" s="3118" t="str">
        <f>IF(项目基本情况!B8="抵押","（1）"&amp;CONCATENATE(项目基本情况!L20,项目基本情况!L21,项目基本情况!L22),"——")</f>
        <v>——</v>
      </c>
      <c r="B15" s="3118"/>
      <c r="C15" s="3118"/>
      <c r="D15" s="3118"/>
    </row>
    <row r="16" spans="1:4" ht="30" customHeight="1">
      <c r="A16" s="3121" t="s">
        <v>1598</v>
      </c>
      <c r="B16" s="3121"/>
      <c r="C16" s="3121"/>
      <c r="D16" s="3121"/>
    </row>
    <row r="17" spans="1:4" ht="144" customHeight="1">
      <c r="A17" s="3121" t="s">
        <v>1599</v>
      </c>
      <c r="B17" s="3121"/>
      <c r="C17" s="3121"/>
      <c r="D17" s="3121"/>
    </row>
    <row r="18" spans="1:4" ht="15.75" customHeight="1">
      <c r="A18" s="3118" t="str">
        <f>IF(项目基本情况!B8="抵押",结果表!K120,"——")</f>
        <v>——</v>
      </c>
      <c r="B18" s="3118"/>
      <c r="C18" s="3118"/>
      <c r="D18" s="3118"/>
    </row>
    <row r="19" spans="1:4" ht="46.5" customHeight="1">
      <c r="A19" s="31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8"/>
      <c r="C19" s="3118"/>
      <c r="D19" s="3118"/>
    </row>
    <row r="20" spans="1:4" ht="57.75" customHeight="1">
      <c r="A20" s="31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8"/>
      <c r="C20" s="3118"/>
      <c r="D20" s="3118"/>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2"/>
      <c r="C21" s="3122"/>
      <c r="D21" s="3122"/>
    </row>
    <row r="22" spans="1:4" ht="18.75" customHeight="1">
      <c r="A22" s="3123" t="s">
        <v>1600</v>
      </c>
      <c r="B22" s="3123"/>
      <c r="C22" s="3123"/>
      <c r="D22" s="3123"/>
    </row>
    <row r="23" spans="1:4">
      <c r="A23" s="1700"/>
      <c r="B23" s="1672"/>
      <c r="C23" s="1672"/>
      <c r="D23" s="1672"/>
    </row>
    <row r="24" spans="1:4">
      <c r="A24" s="1700"/>
      <c r="B24" s="1672"/>
      <c r="C24" s="1672"/>
      <c r="D24" s="1672"/>
    </row>
    <row r="25" spans="1:4" ht="18.75">
      <c r="A25" s="1701" t="s">
        <v>1601</v>
      </c>
    </row>
    <row r="26" spans="1:4" ht="18">
      <c r="A26" s="1670"/>
    </row>
    <row r="27" spans="1:4" ht="18.75">
      <c r="A27" s="1670" t="s">
        <v>1602</v>
      </c>
    </row>
    <row r="30" spans="1:4" ht="18.75">
      <c r="D30" s="1701" t="s">
        <v>1603</v>
      </c>
    </row>
    <row r="31" spans="1:4" ht="13.5" customHeight="1">
      <c r="C31" s="3120">
        <v>42551</v>
      </c>
      <c r="D31" s="31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815</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1605</v>
      </c>
    </row>
    <row r="3" spans="1:7">
      <c r="A3" s="1706" t="s">
        <v>59</v>
      </c>
      <c r="B3" s="1690" t="s">
        <v>1606</v>
      </c>
      <c r="G3" s="1707"/>
    </row>
    <row r="4" spans="1:7">
      <c r="G4" s="1707"/>
    </row>
    <row r="5" spans="1:7">
      <c r="A5" s="1709" t="s">
        <v>50</v>
      </c>
      <c r="B5" s="1690" t="s">
        <v>1607</v>
      </c>
      <c r="G5" s="1707"/>
    </row>
    <row r="6" spans="1:7">
      <c r="G6" s="1707"/>
    </row>
    <row r="7" spans="1:7">
      <c r="A7" s="1710" t="s">
        <v>112</v>
      </c>
      <c r="B7" s="1690" t="s">
        <v>1608</v>
      </c>
      <c r="G7" s="1707"/>
    </row>
    <row r="8" spans="1:7">
      <c r="G8" s="1707"/>
    </row>
    <row r="9" spans="1:7">
      <c r="A9" s="1711" t="s">
        <v>51</v>
      </c>
      <c r="B9" s="1690" t="s">
        <v>1609</v>
      </c>
    </row>
    <row r="11" spans="1:7">
      <c r="A11" s="1712" t="s">
        <v>52</v>
      </c>
      <c r="B11" s="1713" t="s">
        <v>49</v>
      </c>
    </row>
    <row r="13" spans="1:7">
      <c r="A13" s="1714" t="s">
        <v>1610</v>
      </c>
    </row>
    <row r="15" spans="1:7" ht="13.5">
      <c r="A15" s="3129" t="s">
        <v>1611</v>
      </c>
      <c r="B15" s="3124" t="s">
        <v>113</v>
      </c>
      <c r="C15" s="3125"/>
    </row>
    <row r="16" spans="1:7" ht="13.5">
      <c r="A16" s="3130"/>
      <c r="B16" s="3124" t="s">
        <v>46</v>
      </c>
      <c r="C16" s="3125"/>
    </row>
    <row r="17" spans="1:3" ht="13.5">
      <c r="A17" s="3130"/>
      <c r="B17" s="3127" t="s">
        <v>1612</v>
      </c>
      <c r="C17" s="1715" t="s">
        <v>1611</v>
      </c>
    </row>
    <row r="18" spans="1:3" ht="13.5">
      <c r="A18" s="3130"/>
      <c r="B18" s="3127"/>
      <c r="C18" s="1715" t="s">
        <v>1613</v>
      </c>
    </row>
    <row r="19" spans="1:3" ht="13.5">
      <c r="A19" s="3130"/>
      <c r="B19" s="3127"/>
      <c r="C19" s="1715" t="s">
        <v>1614</v>
      </c>
    </row>
    <row r="20" spans="1:3" ht="13.5">
      <c r="A20" s="3131"/>
      <c r="B20" s="3126" t="s">
        <v>1615</v>
      </c>
      <c r="C20" s="3125"/>
    </row>
    <row r="21" spans="1:3" ht="13.5">
      <c r="A21" s="1716" t="s">
        <v>1616</v>
      </c>
      <c r="B21" s="1717"/>
      <c r="C21" s="1718"/>
    </row>
    <row r="22" spans="1:3" ht="13.5">
      <c r="A22" s="3128" t="s">
        <v>1617</v>
      </c>
      <c r="B22" s="3126" t="s">
        <v>1618</v>
      </c>
      <c r="C22" s="3125"/>
    </row>
    <row r="23" spans="1:3" ht="13.5">
      <c r="A23" s="3128"/>
      <c r="B23" s="3126" t="s">
        <v>1619</v>
      </c>
      <c r="C23" s="3125"/>
    </row>
    <row r="24" spans="1:3" ht="13.5">
      <c r="A24" s="3128"/>
      <c r="B24" s="3126" t="s">
        <v>1620</v>
      </c>
      <c r="C24" s="3125"/>
    </row>
    <row r="25" spans="1:3" ht="13.5">
      <c r="A25" s="3128"/>
      <c r="B25" s="3127" t="s">
        <v>1621</v>
      </c>
      <c r="C25" s="1715" t="s">
        <v>1622</v>
      </c>
    </row>
    <row r="26" spans="1:3" ht="13.5">
      <c r="A26" s="3128"/>
      <c r="B26" s="3127"/>
      <c r="C26" s="1715" t="s">
        <v>1623</v>
      </c>
    </row>
    <row r="27" spans="1:3" ht="13.5">
      <c r="A27" s="3128"/>
      <c r="B27" s="3127"/>
      <c r="C27" s="1715" t="s">
        <v>1624</v>
      </c>
    </row>
    <row r="28" spans="1:3" ht="13.5">
      <c r="A28" s="3128"/>
      <c r="B28" s="3127"/>
      <c r="C28" s="1715" t="s">
        <v>1625</v>
      </c>
    </row>
    <row r="29" spans="1:3" ht="13.5">
      <c r="A29" s="3128"/>
      <c r="B29" s="3127"/>
      <c r="C29" s="1715" t="s">
        <v>1626</v>
      </c>
    </row>
    <row r="30" spans="1:3" ht="13.5">
      <c r="A30" s="3128"/>
      <c r="B30" s="3127"/>
      <c r="C30" s="1715" t="s">
        <v>1627</v>
      </c>
    </row>
    <row r="31" spans="1:3" ht="13.5">
      <c r="A31" s="3128"/>
      <c r="B31" s="3127"/>
      <c r="C31" s="1715" t="s">
        <v>1628</v>
      </c>
    </row>
    <row r="32" spans="1:3" ht="13.5">
      <c r="A32" s="3128"/>
      <c r="B32" s="3127"/>
      <c r="C32" s="1715" t="s">
        <v>1629</v>
      </c>
    </row>
    <row r="33" spans="1:3" ht="13.5">
      <c r="A33" s="3128"/>
      <c r="B33" s="3127"/>
      <c r="C33" s="1715" t="s">
        <v>1630</v>
      </c>
    </row>
    <row r="34" spans="1:3">
      <c r="A34" s="1719" t="s">
        <v>53</v>
      </c>
    </row>
    <row r="37" spans="1:3">
      <c r="A37" s="1719" t="s">
        <v>1631</v>
      </c>
    </row>
    <row r="38" spans="1:3" ht="13.5">
      <c r="A38" s="1720" t="s">
        <v>54</v>
      </c>
    </row>
    <row r="39" spans="1:3" ht="13.5">
      <c r="A39" s="1720" t="s">
        <v>55</v>
      </c>
    </row>
    <row r="40" spans="1:3" ht="13.5">
      <c r="A40" s="1720" t="s">
        <v>56</v>
      </c>
    </row>
    <row r="41" spans="1:3" ht="13.5">
      <c r="A41" s="1721" t="s">
        <v>57</v>
      </c>
    </row>
    <row r="42" spans="1:3" ht="13.5">
      <c r="A42" s="1720" t="s">
        <v>58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2857</v>
      </c>
      <c r="B2" s="2559">
        <f ca="1">TODAY()</f>
        <v>44237</v>
      </c>
      <c r="C2" s="2560" t="s">
        <v>2858</v>
      </c>
      <c r="D2" s="2560"/>
      <c r="E2" s="2560"/>
      <c r="F2" s="2556"/>
      <c r="G2" s="2556"/>
      <c r="H2" s="2556"/>
    </row>
    <row r="3" spans="1:8" ht="24" customHeight="1">
      <c r="A3" s="2561" t="s">
        <v>2859</v>
      </c>
      <c r="B3" s="2562" t="s">
        <v>2860</v>
      </c>
      <c r="C3" s="2562" t="s">
        <v>2861</v>
      </c>
      <c r="D3" s="2563" t="s">
        <v>2862</v>
      </c>
      <c r="E3" s="2564" t="s">
        <v>2863</v>
      </c>
      <c r="F3" s="1470" t="s">
        <v>2864</v>
      </c>
      <c r="G3" s="2562" t="s">
        <v>2861</v>
      </c>
      <c r="H3" s="2563" t="s">
        <v>2865</v>
      </c>
    </row>
    <row r="4" spans="1:8" ht="24" customHeight="1">
      <c r="A4" s="1470" t="s">
        <v>2866</v>
      </c>
      <c r="B4" s="1470">
        <f ca="1">IF(C4&lt;B2,"已过期",1119970066)</f>
        <v>1119970066</v>
      </c>
      <c r="C4" s="2565">
        <v>44876</v>
      </c>
      <c r="D4" s="2566" t="str">
        <f ca="1">A4&amp;"（注册号："&amp;B4&amp;"）"</f>
        <v>梁津（注册号：1119970066）</v>
      </c>
      <c r="E4" s="2567" t="s">
        <v>2866</v>
      </c>
      <c r="F4" s="1470">
        <f ca="1">IF(G4&lt;B2,"已过期",96010014)</f>
        <v>96010014</v>
      </c>
      <c r="G4" s="2568">
        <v>47118</v>
      </c>
      <c r="H4" s="2569" t="str">
        <f ca="1">E4&amp;"（注册号："&amp;F4&amp;"）"</f>
        <v>梁津（注册号：96010014）</v>
      </c>
    </row>
    <row r="5" spans="1:8" ht="24" customHeight="1">
      <c r="A5" s="1470" t="s">
        <v>2867</v>
      </c>
      <c r="B5" s="1470">
        <f ca="1">IF(C5&lt;B2,"已过期",1119970111)</f>
        <v>1119970111</v>
      </c>
      <c r="C5" s="2565">
        <v>44876</v>
      </c>
      <c r="D5" s="2566" t="str">
        <f t="shared" ref="D5:D15" ca="1" si="0">A5&amp;"（注册号："&amp;B5&amp;"）"</f>
        <v>叶凌（注册号：1119970111）</v>
      </c>
      <c r="E5" s="2567" t="s">
        <v>2867</v>
      </c>
      <c r="F5" s="1470">
        <f ca="1">IF(G5&lt;B2,"已过期",94010078)</f>
        <v>94010078</v>
      </c>
      <c r="G5" s="2568">
        <v>46387</v>
      </c>
      <c r="H5" s="2569" t="str">
        <f t="shared" ref="H5:H16" ca="1" si="1">E5&amp;"（注册号："&amp;F5&amp;"）"</f>
        <v>叶凌（注册号：94010078）</v>
      </c>
    </row>
    <row r="6" spans="1:8" ht="24" customHeight="1">
      <c r="A6" s="1470" t="s">
        <v>2868</v>
      </c>
      <c r="B6" s="1470">
        <f ca="1">IF(C6&lt;B2,"已过期",1120050019)</f>
        <v>1120050019</v>
      </c>
      <c r="C6" s="2565">
        <v>44395</v>
      </c>
      <c r="D6" s="2566" t="str">
        <f t="shared" ca="1" si="0"/>
        <v>王鹏（注册号：1120050019）</v>
      </c>
      <c r="E6" s="2567" t="s">
        <v>2868</v>
      </c>
      <c r="F6" s="1470">
        <f ca="1">IF(G6&lt;B2,"已过期",2002110030)</f>
        <v>2002110030</v>
      </c>
      <c r="G6" s="2568">
        <v>46387</v>
      </c>
      <c r="H6" s="2569" t="str">
        <f t="shared" ca="1" si="1"/>
        <v>王鹏（注册号：2002110030）</v>
      </c>
    </row>
    <row r="7" spans="1:8" ht="24" customHeight="1">
      <c r="A7" s="1470" t="s">
        <v>2869</v>
      </c>
      <c r="B7" s="1470">
        <f ca="1">IF(C7&lt;B2,"已过期",1120000080)</f>
        <v>1120000080</v>
      </c>
      <c r="C7" s="2565">
        <v>44876</v>
      </c>
      <c r="D7" s="2566" t="str">
        <f t="shared" ca="1" si="0"/>
        <v>欧红伟（注册号：1120000080）</v>
      </c>
      <c r="E7" s="2567" t="s">
        <v>2869</v>
      </c>
      <c r="F7" s="1470">
        <f ca="1">IF(G7&lt;B2,"已过期",2000110082)</f>
        <v>2000110082</v>
      </c>
      <c r="G7" s="2568">
        <v>46387</v>
      </c>
      <c r="H7" s="2569" t="str">
        <f t="shared" ca="1" si="1"/>
        <v>欧红伟（注册号：2000110082）</v>
      </c>
    </row>
    <row r="8" spans="1:8" ht="24" customHeight="1">
      <c r="A8" s="1470" t="s">
        <v>2870</v>
      </c>
      <c r="B8" s="1470">
        <f ca="1">IF(C8&lt;B2,"已过期",1419970001)</f>
        <v>1419970001</v>
      </c>
      <c r="C8" s="2565">
        <v>44899</v>
      </c>
      <c r="D8" s="2566" t="str">
        <f t="shared" ca="1" si="0"/>
        <v>吴薇（注册号：1419970001）</v>
      </c>
      <c r="E8" s="2567" t="s">
        <v>2870</v>
      </c>
      <c r="F8" s="1470">
        <f ca="1">IF(G8&lt;B2,"已过期",2002110125)</f>
        <v>2002110125</v>
      </c>
      <c r="G8" s="2568">
        <v>47118</v>
      </c>
      <c r="H8" s="2569" t="str">
        <f t="shared" ca="1" si="1"/>
        <v>吴薇（注册号：2002110125）</v>
      </c>
    </row>
    <row r="9" spans="1:8" ht="24" customHeight="1">
      <c r="A9" s="1470" t="s">
        <v>2871</v>
      </c>
      <c r="B9" s="1470">
        <f ca="1">IF(C9&lt;B2,"已过期",1120060040)</f>
        <v>1120060040</v>
      </c>
      <c r="C9" s="2570">
        <v>44554</v>
      </c>
      <c r="D9" s="2566" t="str">
        <f t="shared" ca="1" si="0"/>
        <v>陈颖（注册号：1120060040）</v>
      </c>
      <c r="E9" s="2567" t="s">
        <v>2871</v>
      </c>
      <c r="F9" s="1470">
        <f ca="1">IF(G9&lt;B2,"已过期",2004110096)</f>
        <v>2004110096</v>
      </c>
      <c r="G9" s="2568">
        <v>47118</v>
      </c>
      <c r="H9" s="2569" t="str">
        <f t="shared" ca="1" si="1"/>
        <v>陈颖（注册号：2004110096）</v>
      </c>
    </row>
    <row r="10" spans="1:8" ht="24" customHeight="1">
      <c r="A10" s="1470" t="s">
        <v>2872</v>
      </c>
      <c r="B10" s="1470">
        <f ca="1">IF(C10&lt;B2,"已过期",1120100036)</f>
        <v>1120100036</v>
      </c>
      <c r="C10" s="2570">
        <v>44675</v>
      </c>
      <c r="D10" s="2566" t="str">
        <f t="shared" ca="1" si="0"/>
        <v>崔锴（注册号：1120100036）</v>
      </c>
      <c r="E10" s="2567" t="s">
        <v>2872</v>
      </c>
      <c r="F10" s="1470">
        <f ca="1">IF(G10&lt;B2,"已过期",2010110070)</f>
        <v>2010110070</v>
      </c>
      <c r="G10" s="2568">
        <v>47907</v>
      </c>
      <c r="H10" s="2569" t="str">
        <f t="shared" ca="1" si="1"/>
        <v>崔锴（注册号：2010110070）</v>
      </c>
    </row>
    <row r="11" spans="1:8" ht="24" customHeight="1">
      <c r="A11" s="1470" t="s">
        <v>2873</v>
      </c>
      <c r="B11" s="1470">
        <f ca="1">IF(C11&lt;B2,"已过期",1120070131)</f>
        <v>1120070131</v>
      </c>
      <c r="C11" s="2565">
        <v>44849</v>
      </c>
      <c r="D11" s="2566" t="str">
        <f t="shared" ca="1" si="0"/>
        <v>郑燚（注册号：1120070131）</v>
      </c>
      <c r="E11" s="2567" t="s">
        <v>2873</v>
      </c>
      <c r="F11" s="1470">
        <f ca="1">IF(G11&lt;B2,"已过期",2014110011)</f>
        <v>2014110011</v>
      </c>
      <c r="G11" s="2568">
        <v>49302</v>
      </c>
      <c r="H11" s="2569" t="str">
        <f t="shared" ca="1" si="1"/>
        <v>郑燚（注册号：2014110011）</v>
      </c>
    </row>
    <row r="12" spans="1:8" ht="24" customHeight="1">
      <c r="A12" s="1470" t="s">
        <v>2874</v>
      </c>
      <c r="B12" s="1470">
        <f ca="1">IF(C12&lt;B2,"已过期",1120040230)</f>
        <v>1120040230</v>
      </c>
      <c r="C12" s="2570">
        <v>44864</v>
      </c>
      <c r="D12" s="2566" t="str">
        <f t="shared" ca="1" si="0"/>
        <v>苏海（注册号：1120040230）</v>
      </c>
      <c r="E12" s="2567" t="s">
        <v>2874</v>
      </c>
      <c r="F12" s="1470">
        <f ca="1">IF(G12&lt;B2,"已过期",98030020)</f>
        <v>98030020</v>
      </c>
      <c r="G12" s="2568">
        <v>47118</v>
      </c>
      <c r="H12" s="2569" t="str">
        <f t="shared" ca="1" si="1"/>
        <v>苏海（注册号：98030020）</v>
      </c>
    </row>
    <row r="13" spans="1:8" ht="24" customHeight="1">
      <c r="A13" s="1470" t="s">
        <v>2875</v>
      </c>
      <c r="B13" s="1470">
        <f ca="1">IF(C13&lt;B2,"已过期",1120020033)</f>
        <v>1120020033</v>
      </c>
      <c r="C13" s="2565">
        <v>44339</v>
      </c>
      <c r="D13" s="2566" t="str">
        <f t="shared" ca="1" si="0"/>
        <v>刘敬东（注册号：1120020033）</v>
      </c>
      <c r="E13" s="2567" t="s">
        <v>2875</v>
      </c>
      <c r="F13" s="1470">
        <f ca="1">IF(G13&lt;B2,"已过期",2000110137)</f>
        <v>2000110137</v>
      </c>
      <c r="G13" s="2568">
        <v>46387</v>
      </c>
      <c r="H13" s="2569" t="str">
        <f t="shared" ca="1" si="1"/>
        <v>刘敬东（注册号：2000110137）</v>
      </c>
    </row>
    <row r="14" spans="1:8" ht="24" customHeight="1">
      <c r="A14" s="1470" t="s">
        <v>2876</v>
      </c>
      <c r="B14" s="1470">
        <f ca="1">IF(C14&lt;B2,"已过期",1119980106)</f>
        <v>1119980106</v>
      </c>
      <c r="C14" s="2570">
        <v>44969</v>
      </c>
      <c r="D14" s="2566" t="str">
        <f t="shared" ca="1" si="0"/>
        <v>刘俊财（注册号：1119980106）</v>
      </c>
      <c r="E14" s="2567" t="s">
        <v>2876</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2877</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32" t="s">
        <v>2878</v>
      </c>
      <c r="B17" s="3132"/>
      <c r="C17" s="3132"/>
      <c r="D17" s="3132"/>
      <c r="E17" s="3132"/>
      <c r="F17" s="3132"/>
      <c r="G17" s="3132"/>
      <c r="H17" s="3132"/>
    </row>
    <row r="18" spans="1:8" ht="24" customHeight="1">
      <c r="A18" s="3133" t="s">
        <v>2879</v>
      </c>
      <c r="B18" s="3133"/>
      <c r="C18" s="3133"/>
      <c r="D18" s="2563"/>
      <c r="E18" s="3134" t="s">
        <v>2880</v>
      </c>
      <c r="F18" s="3133"/>
      <c r="G18" s="3133"/>
    </row>
    <row r="19" spans="1:8" s="2574" customFormat="1" ht="24" customHeight="1">
      <c r="A19" s="2573" t="s">
        <v>2881</v>
      </c>
      <c r="B19" s="2562" t="s">
        <v>2882</v>
      </c>
      <c r="C19" s="2562" t="s">
        <v>2861</v>
      </c>
      <c r="D19" s="2563"/>
      <c r="E19" s="2567" t="s">
        <v>2881</v>
      </c>
      <c r="F19" s="2562" t="s">
        <v>2882</v>
      </c>
      <c r="G19" s="2562" t="s">
        <v>2861</v>
      </c>
    </row>
    <row r="20" spans="1:8" s="2574" customFormat="1" ht="24" customHeight="1">
      <c r="A20" s="2575" t="s">
        <v>2883</v>
      </c>
      <c r="B20" s="2575" t="s">
        <v>2884</v>
      </c>
      <c r="C20" s="2568">
        <v>44820</v>
      </c>
      <c r="D20" s="2576"/>
      <c r="E20" s="2577" t="s">
        <v>2885</v>
      </c>
      <c r="F20" s="2575" t="s">
        <v>2886</v>
      </c>
      <c r="G20" s="2578">
        <v>44377</v>
      </c>
    </row>
    <row r="21" spans="1:8" s="2574" customFormat="1" ht="24" customHeight="1">
      <c r="A21" s="2575"/>
      <c r="B21" s="2575"/>
      <c r="C21" s="2579"/>
      <c r="D21" s="2580"/>
      <c r="E21" s="2577" t="s">
        <v>2887</v>
      </c>
      <c r="F21" s="2581" t="s">
        <v>2888</v>
      </c>
      <c r="G21" s="2582">
        <v>44012</v>
      </c>
    </row>
    <row r="22" spans="1:8" ht="24" customHeight="1">
      <c r="C22" s="2583"/>
      <c r="D22" s="2583"/>
      <c r="E22" s="2584"/>
      <c r="F22" s="2585"/>
      <c r="G22" s="2586" t="s">
        <v>2889</v>
      </c>
    </row>
  </sheetData>
  <sheetProtection password="CEE9" sheet="1" objects="1" scenarios="1"/>
  <mergeCells count="3">
    <mergeCell ref="A17:H17"/>
    <mergeCell ref="A18:C18"/>
    <mergeCell ref="E18:G18"/>
  </mergeCells>
  <phoneticPr fontId="83"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06地块指标</vt:lpstr>
      <vt:lpstr>抵押物清单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Sheet3</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2021-02-10T01:59:15Z</dcterms:modified>
</cp:coreProperties>
</file>