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805" windowHeight="1087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案例" sheetId="64"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36">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J53" i="15"/>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E19" i="1" s="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s="1"/>
  <c r="F27" i="34" s="1"/>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AC8" i="34" s="1"/>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s="1"/>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J33" i="34"/>
  <c r="W33" i="34"/>
  <c r="J37" i="34"/>
  <c r="W37" i="34"/>
  <c r="S23" i="34"/>
  <c r="AB33" i="34"/>
  <c r="AC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3" i="57"/>
  <c r="A135" i="57"/>
  <c r="B103" i="57"/>
  <c r="B107" i="57" s="1"/>
  <c r="C112" i="57"/>
  <c r="H107" i="57" s="1"/>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AB28" i="34" s="1"/>
  <c r="E116" i="34"/>
  <c r="F116" i="34"/>
  <c r="G116" i="34"/>
  <c r="H116" i="34"/>
  <c r="I116" i="34"/>
  <c r="J116" i="34"/>
  <c r="K116" i="34"/>
  <c r="L116" i="34"/>
  <c r="M116" i="34"/>
  <c r="J39" i="34"/>
  <c r="W39" i="34"/>
  <c r="J27" i="36"/>
  <c r="F37" i="34"/>
  <c r="S37" i="34" s="1"/>
  <c r="AA37" i="34"/>
  <c r="H37" i="34"/>
  <c r="AB37" i="34" s="1"/>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s="1"/>
  <c r="AB34" i="21"/>
  <c r="H11" i="34"/>
  <c r="AB11" i="34" s="1"/>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D37" i="11"/>
  <c r="C37" i="11" s="1"/>
  <c r="D10" i="11"/>
  <c r="C2" i="31"/>
  <c r="I23" i="31" s="1"/>
  <c r="D3" i="34"/>
  <c r="A16" i="55"/>
  <c r="B46" i="60" s="1"/>
  <c r="D3" i="33"/>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D19" i="11"/>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W41" i="34"/>
  <c r="AA45" i="34"/>
  <c r="AB45" i="34"/>
  <c r="AB35" i="34"/>
  <c r="W29" i="34"/>
  <c r="W43" i="34"/>
  <c r="U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D20" i="1"/>
  <c r="F50" i="11"/>
  <c r="F18" i="1"/>
  <c r="C11" i="12" s="1"/>
  <c r="C15" i="12" s="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116" i="9"/>
  <c r="D114" i="9"/>
  <c r="D115" i="9"/>
  <c r="I113" i="9" s="1"/>
  <c r="D6" i="61"/>
  <c r="F7" i="61"/>
  <c r="E2" i="11"/>
  <c r="D4" i="61"/>
  <c r="E2" i="37"/>
  <c r="D20" i="57"/>
  <c r="E2" i="34"/>
  <c r="D19" i="57"/>
  <c r="C20" i="57"/>
  <c r="F4" i="61"/>
  <c r="E2" i="21"/>
  <c r="H23" i="31"/>
  <c r="E2" i="33"/>
  <c r="F5" i="61"/>
  <c r="F6" i="61"/>
  <c r="E2" i="35"/>
  <c r="D7" i="61"/>
  <c r="D5" i="61"/>
  <c r="E2" i="36"/>
  <c r="C19" i="57"/>
  <c r="F3" i="61"/>
  <c r="D3" i="61"/>
  <c r="J27" i="34" l="1"/>
  <c r="W27" i="34" s="1"/>
  <c r="W8" i="34"/>
  <c r="AA27" i="34"/>
  <c r="S27" i="34"/>
  <c r="H27" i="34"/>
  <c r="U27" i="34" s="1"/>
  <c r="F90" i="34"/>
  <c r="G90" i="34" s="1"/>
  <c r="H90" i="34" s="1"/>
  <c r="I90" i="34" s="1"/>
  <c r="J90" i="34" s="1"/>
  <c r="K90" i="34" s="1"/>
  <c r="L90" i="34" s="1"/>
  <c r="M90" i="34" s="1"/>
  <c r="U28" i="34"/>
  <c r="S28" i="34"/>
  <c r="AC28" i="34"/>
  <c r="W34" i="34"/>
  <c r="S34" i="34"/>
  <c r="J52" i="15"/>
  <c r="L60" i="15" s="1"/>
  <c r="Q72" i="15" s="1"/>
  <c r="C9" i="11"/>
  <c r="C19" i="12"/>
  <c r="B23" i="60"/>
  <c r="C21" i="11"/>
  <c r="C29" i="11" s="1"/>
  <c r="D27" i="11" s="1"/>
  <c r="D80" i="57"/>
  <c r="D93" i="9"/>
  <c r="D95" i="57"/>
  <c r="D78" i="9"/>
  <c r="D42" i="50"/>
  <c r="D43" i="50" s="1"/>
  <c r="D19" i="1"/>
  <c r="D18" i="1"/>
  <c r="F19" i="1"/>
  <c r="M60" i="15"/>
  <c r="P51" i="15"/>
  <c r="P60" i="15"/>
  <c r="D47" i="15"/>
  <c r="D39" i="50"/>
  <c r="D40" i="50" s="1"/>
  <c r="D32" i="9"/>
  <c r="C110" i="57"/>
  <c r="H104" i="57" s="1"/>
  <c r="A131" i="9"/>
  <c r="B101" i="9"/>
  <c r="C7" i="21"/>
  <c r="C58" i="21" s="1"/>
  <c r="D58" i="21" s="1"/>
  <c r="C7" i="36"/>
  <c r="C46" i="36" s="1"/>
  <c r="G19" i="43"/>
  <c r="O19" i="43" s="1"/>
  <c r="C7" i="37"/>
  <c r="C52" i="37" s="1"/>
  <c r="D52" i="37" s="1"/>
  <c r="E52" i="37" s="1"/>
  <c r="F52" i="37" s="1"/>
  <c r="G52" i="37" s="1"/>
  <c r="C7" i="39"/>
  <c r="C67" i="39" s="1"/>
  <c r="C69" i="39" s="1"/>
  <c r="C7" i="35"/>
  <c r="C48" i="35" s="1"/>
  <c r="D48" i="35" s="1"/>
  <c r="E48" i="35" s="1"/>
  <c r="F48" i="35" s="1"/>
  <c r="G48" i="35" s="1"/>
  <c r="H48" i="35" s="1"/>
  <c r="I48" i="35" s="1"/>
  <c r="C17" i="15"/>
  <c r="D3" i="36"/>
  <c r="D3" i="35"/>
  <c r="F43" i="15"/>
  <c r="F72" i="15" s="1"/>
  <c r="E18" i="1"/>
  <c r="C34" i="11" s="1"/>
  <c r="C38" i="11" s="1"/>
  <c r="D3" i="37"/>
  <c r="M29" i="15"/>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F31" i="15"/>
  <c r="H48" i="43"/>
  <c r="H49" i="43"/>
  <c r="H55" i="43"/>
  <c r="J7" i="33"/>
  <c r="W7" i="33" s="1"/>
  <c r="B13" i="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27" i="34" l="1"/>
  <c r="AB27" i="34"/>
  <c r="D19" i="50"/>
  <c r="B32" i="60" s="1"/>
  <c r="C112" i="9"/>
  <c r="H110" i="9" s="1"/>
  <c r="C106" i="9"/>
  <c r="H102" i="9" s="1"/>
  <c r="C116" i="9"/>
  <c r="H114" i="9" s="1"/>
  <c r="C114" i="9"/>
  <c r="H112" i="9" s="1"/>
  <c r="H52" i="37"/>
  <c r="I52" i="37" s="1"/>
  <c r="J52" i="37" s="1"/>
  <c r="K52" i="37" s="1"/>
  <c r="L52" i="37" s="1"/>
  <c r="M52" i="37" s="1"/>
  <c r="N52" i="37" s="1"/>
  <c r="O52" i="37" s="1"/>
  <c r="J7" i="37"/>
  <c r="W7" i="37" s="1"/>
  <c r="F7" i="37"/>
  <c r="S7" i="37" s="1"/>
  <c r="H7" i="37"/>
  <c r="AB7" i="37" s="1"/>
  <c r="T42" i="37" s="1"/>
  <c r="G42" i="37" s="1"/>
  <c r="G46" i="37" s="1"/>
  <c r="H46" i="37" s="1"/>
  <c r="J48" i="35"/>
  <c r="K48" i="35" s="1"/>
  <c r="L48" i="35" s="1"/>
  <c r="M48" i="35" s="1"/>
  <c r="N48" i="35" s="1"/>
  <c r="O48" i="35" s="1"/>
  <c r="H7" i="35"/>
  <c r="U7" i="35" s="1"/>
  <c r="F7" i="35"/>
  <c r="AA7" i="35" s="1"/>
  <c r="R38" i="35" s="1"/>
  <c r="F67" i="39"/>
  <c r="G67" i="39" s="1"/>
  <c r="C7" i="43"/>
  <c r="S9" i="59"/>
  <c r="B8" i="59"/>
  <c r="U9" i="59"/>
  <c r="E8" i="59"/>
  <c r="V9" i="59"/>
  <c r="F8" i="59"/>
  <c r="C18" i="15"/>
  <c r="C16" i="15"/>
  <c r="C19" i="15" s="1"/>
  <c r="C20" i="15" s="1"/>
  <c r="C26" i="15" s="1"/>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E42" i="37"/>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W7" i="35" l="1"/>
  <c r="G69" i="39"/>
  <c r="H67" i="39"/>
  <c r="J7" i="36"/>
  <c r="W7" i="36" s="1"/>
  <c r="U7" i="37"/>
  <c r="F69" i="39"/>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I67" i="39" l="1"/>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K69" i="39"/>
  <c r="L67" i="39"/>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7" i="39" l="1"/>
  <c r="L69" i="39"/>
  <c r="C98" i="57"/>
  <c r="E98" i="57" s="1"/>
  <c r="E99" i="57" s="1"/>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AB7" i="39" l="1"/>
  <c r="T47" i="39" s="1"/>
  <c r="G47" i="39" s="1"/>
  <c r="G51" i="39" s="1"/>
  <c r="H51" i="39" s="1"/>
  <c r="U7" i="39"/>
  <c r="S7" i="39"/>
  <c r="AA7" i="39"/>
  <c r="R47" i="39" s="1"/>
  <c r="AC7" i="39"/>
  <c r="V47" i="39" s="1"/>
  <c r="I47" i="39" s="1"/>
  <c r="I51" i="39" s="1"/>
  <c r="J51" i="39" s="1"/>
  <c r="W7" i="39"/>
  <c r="AA7" i="34"/>
  <c r="R49" i="34" s="1"/>
  <c r="E49" i="34" s="1"/>
  <c r="B2" i="15"/>
  <c r="B3" i="15"/>
  <c r="AC7" i="34"/>
  <c r="V49" i="34" s="1"/>
  <c r="I49" i="34" s="1"/>
  <c r="G54" i="34" s="1"/>
  <c r="H54" i="34" s="1"/>
  <c r="O62" i="40"/>
  <c r="O64" i="40" s="1"/>
  <c r="N64" i="40"/>
  <c r="G53" i="34"/>
  <c r="H53" i="34" s="1"/>
  <c r="D19" i="9"/>
  <c r="D20" i="9"/>
  <c r="R50" i="34" l="1"/>
  <c r="C50" i="34" s="1"/>
  <c r="B2" i="34" s="1"/>
  <c r="E53" i="34"/>
  <c r="F53" i="34" s="1"/>
  <c r="E54" i="34"/>
  <c r="F54" i="34" s="1"/>
  <c r="D102" i="9"/>
  <c r="D101" i="9"/>
  <c r="G52" i="39"/>
  <c r="H52" i="39" s="1"/>
  <c r="R48" i="39"/>
  <c r="E47" i="39"/>
  <c r="I53" i="34"/>
  <c r="J53" i="34" s="1"/>
  <c r="I54" i="34"/>
  <c r="J54" i="34" s="1"/>
  <c r="H7" i="40"/>
  <c r="J7" i="40"/>
  <c r="F7" i="40"/>
  <c r="C19" i="9"/>
  <c r="C49" i="34" l="1"/>
  <c r="C101" i="9"/>
  <c r="G19" i="9"/>
  <c r="D22" i="9"/>
  <c r="B3" i="34"/>
  <c r="I52" i="39"/>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B63" i="39"/>
  <c r="F63" i="39" s="1"/>
  <c r="B59" i="39"/>
  <c r="F59" i="39" s="1"/>
  <c r="B61" i="39"/>
  <c r="F61" i="39" s="1"/>
  <c r="B60" i="39"/>
  <c r="F60" i="39" s="1"/>
  <c r="B56" i="39"/>
  <c r="F56" i="39" s="1"/>
  <c r="F65" i="39" s="1"/>
  <c r="B2" i="39" s="1"/>
  <c r="B3" i="39" s="1"/>
  <c r="B62" i="39"/>
  <c r="F62" i="39" s="1"/>
  <c r="B64" i="39"/>
  <c r="F64" i="39" s="1"/>
  <c r="B57" i="39"/>
  <c r="F57" i="39" s="1"/>
  <c r="B58" i="39"/>
  <c r="F58" i="3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E121" i="9" l="1"/>
  <c r="G121" i="9"/>
  <c r="I121" i="9"/>
  <c r="I103" i="9" l="1"/>
  <c r="I4" i="52"/>
  <c r="F121" i="9"/>
  <c r="G4" i="52"/>
  <c r="B41" i="60" s="1"/>
  <c r="D121" i="9"/>
  <c r="E4" i="52"/>
  <c r="B38" i="60" s="1"/>
  <c r="H121" i="9"/>
  <c r="D107" i="9"/>
  <c r="C104" i="9"/>
  <c r="D122" i="9" l="1"/>
  <c r="D5" i="52" s="1"/>
  <c r="B39" i="60" s="1"/>
  <c r="D4" i="52"/>
  <c r="B37" i="60" s="1"/>
  <c r="D30" i="50"/>
  <c r="D9" i="50"/>
  <c r="B21" i="60" s="1"/>
  <c r="C103" i="9"/>
  <c r="H4" i="52"/>
  <c r="F122" i="9"/>
  <c r="F5" i="52" s="1"/>
  <c r="B42" i="60" s="1"/>
  <c r="F4" i="52"/>
  <c r="B40" i="60" s="1"/>
  <c r="D14" i="62"/>
  <c r="F14" i="62" s="1"/>
  <c r="D106" i="9"/>
  <c r="D112" i="9" s="1"/>
  <c r="D113" i="9" s="1"/>
  <c r="H122" i="9"/>
  <c r="H5" i="52" s="1"/>
  <c r="I102" i="9"/>
  <c r="N48" i="9" l="1"/>
  <c r="D7" i="50"/>
  <c r="D28" i="50"/>
  <c r="D29" i="50" s="1"/>
  <c r="I111" i="9"/>
  <c r="D38" i="50"/>
  <c r="B62" i="60" s="1"/>
  <c r="B5" i="62"/>
  <c r="D5" i="62" s="1"/>
  <c r="E14" i="62"/>
  <c r="D45" i="9"/>
  <c r="D52" i="9" s="1"/>
  <c r="I110" i="9"/>
  <c r="D117" i="9"/>
  <c r="D126" i="9" l="1"/>
  <c r="D9" i="52" s="1"/>
  <c r="D17" i="50"/>
  <c r="C5" i="62"/>
  <c r="I115" i="9"/>
  <c r="D23" i="50" s="1"/>
  <c r="B34" i="60" s="1"/>
  <c r="D44" i="50"/>
  <c r="B19" i="60"/>
  <c r="D8" i="50"/>
  <c r="B22" i="60" s="1"/>
  <c r="D125" i="9"/>
  <c r="D15" i="50"/>
  <c r="D36" i="50"/>
  <c r="D37" i="50" s="1"/>
  <c r="C72" i="9"/>
  <c r="C64" i="9"/>
  <c r="C63" i="9" s="1"/>
  <c r="C67" i="9" s="1"/>
  <c r="C68" i="9" s="1"/>
  <c r="D54" i="9" s="1"/>
  <c r="C93" i="9"/>
  <c r="C86" i="9" s="1"/>
  <c r="D53" i="9"/>
  <c r="D48" i="9" s="1"/>
  <c r="N52" i="9" s="1"/>
  <c r="O57" i="9" s="1"/>
  <c r="C85" i="9"/>
  <c r="C78" i="9"/>
  <c r="C73" i="9" s="1"/>
  <c r="G14" i="62" l="1"/>
  <c r="B6" i="62" s="1"/>
  <c r="D8" i="52"/>
  <c r="B29" i="60"/>
  <c r="D16" i="50"/>
  <c r="B30" i="60" s="1"/>
  <c r="C79" i="9"/>
  <c r="C80" i="9" s="1"/>
  <c r="E80" i="9" s="1"/>
  <c r="E81" i="9" s="1"/>
  <c r="C95" i="9"/>
  <c r="Q57" i="9"/>
  <c r="O58" i="9"/>
  <c r="O59" i="9"/>
  <c r="O61" i="9" s="1"/>
  <c r="C81" i="9" l="1"/>
  <c r="D6" i="62"/>
  <c r="C6" i="62"/>
  <c r="C96" i="9"/>
  <c r="E96" i="9" s="1"/>
  <c r="E97" i="9" s="1"/>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<sst xmlns="http://schemas.openxmlformats.org/spreadsheetml/2006/main" count="6915" uniqueCount="3053">
  <si>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</si>
  <si>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</si>
  <si>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</si>
  <si>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</si>
  <si>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</si>
  <si>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</si>
  <si>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</si>
  <si>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</si>
  <si>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</si>
  <si>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</si>
  <si>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</si>
  <si>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</si>
  <si>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</si>
  <si>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</si>
  <si>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</si>
  <si>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</si>
  <si>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</si>
  <si>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</si>
  <si>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</si>
  <si>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</si>
  <si>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</si>
  <si>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</si>
  <si>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</si>
  <si>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</si>
  <si>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</si>
  <si>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</si>
  <si>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</si>
  <si>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</si>
  <si>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</si>
  <si>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</si>
  <si>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</si>
  <si>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</si>
  <si>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</si>
  <si>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</si>
  <si>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</si>
  <si>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</si>
  <si>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</si>
  <si>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</si>
  <si>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</si>
  <si>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</si>
  <si>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</si>
  <si>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</si>
  <si>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</si>
  <si>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</si>
  <si>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</si>
  <si>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</si>
  <si>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</si>
  <si>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</si>
  <si>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</si>
  <si>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</si>
  <si>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</si>
  <si>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</si>
  <si>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</si>
  <si>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</si>
  <si>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</si>
  <si>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</si>
  <si>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</si>
  <si>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</si>
  <si>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</si>
  <si>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</si>
  <si>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</si>
  <si>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</si>
  <si>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</si>
  <si>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</si>
  <si>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</si>
  <si>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</si>
  <si>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</si>
  <si>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</si>
  <si>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</si>
  <si>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</si>
  <si>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</si>
  <si>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</si>
  <si>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</si>
  <si>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</si>
  <si>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</si>
  <si>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</si>
  <si>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</si>
  <si>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</si>
  <si>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</si>
  <si>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</si>
  <si>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</si>
  <si>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</si>
  <si>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</si>
  <si>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</si>
  <si>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</si>
  <si>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</si>
  <si>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</si>
  <si>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</si>
  <si>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</si>
  <si>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</si>
  <si>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</si>
  <si>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</si>
  <si>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</si>
  <si>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</si>
  <si>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</si>
  <si>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</si>
  <si>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</si>
  <si>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</si>
  <si>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</si>
  <si>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</si>
  <si>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</si>
  <si>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</si>
  <si>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</si>
  <si>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</si>
  <si>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</si>
  <si>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</si>
  <si>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</si>
  <si>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</si>
  <si>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</si>
  <si>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</si>
  <si>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</si>
  <si>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</si>
  <si>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</si>
  <si>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</si>
  <si>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</si>
  <si>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</si>
  <si>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</si>
  <si>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</si>
  <si>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</si>
  <si>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</si>
  <si>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</si>
  <si>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</si>
  <si>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</si>
  <si>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</si>
  <si>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</si>
  <si>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</si>
  <si>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</si>
  <si>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</si>
  <si>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</si>
  <si>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</si>
  <si>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</si>
  <si>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</si>
  <si>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</si>
  <si>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</si>
  <si>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</si>
  <si>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</si>
  <si>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</si>
  <si>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</si>
  <si>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</si>
  <si>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</si>
  <si>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</si>
  <si>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</si>
  <si>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</si>
  <si>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</si>
  <si>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</si>
  <si>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</si>
  <si>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</si>
  <si>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</si>
  <si>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</si>
  <si>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</si>
  <si>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</si>
  <si>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</si>
  <si>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</si>
  <si>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</si>
  <si>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</si>
  <si>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</si>
  <si>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</si>
  <si>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</si>
  <si>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</si>
  <si>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</si>
  <si>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</si>
  <si>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</si>
  <si>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</si>
  <si>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</si>
  <si>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</si>
  <si>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</si>
  <si>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</si>
  <si>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</si>
  <si>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</si>
  <si>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</si>
  <si>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</si>
  <si>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</si>
  <si>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</si>
  <si>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</si>
  <si>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</si>
  <si>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</si>
  <si>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</si>
  <si>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</si>
  <si>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</si>
  <si>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</si>
  <si>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</si>
  <si>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</si>
  <si>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</si>
  <si>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</si>
  <si>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</si>
  <si>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</si>
  <si>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</si>
  <si>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</si>
  <si>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</si>
  <si>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</si>
  <si>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</si>
  <si>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</si>
  <si>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</si>
  <si>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</si>
  <si>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</si>
  <si>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</si>
  <si>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</si>
  <si>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</si>
  <si>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</si>
  <si>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</si>
  <si>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</si>
  <si>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</si>
  <si>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</si>
  <si>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</si>
  <si>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</si>
  <si>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</si>
  <si>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</si>
  <si>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</si>
  <si>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</si>
  <si>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</si>
  <si>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</si>
  <si>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</si>
  <si>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</si>
  <si>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</si>
  <si>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</si>
  <si>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</si>
  <si>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</si>
  <si>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</si>
  <si>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</si>
  <si>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</si>
  <si>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</si>
  <si>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</si>
  <si>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</si>
  <si>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</si>
  <si>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</si>
  <si>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</si>
  <si>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</si>
  <si>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</si>
  <si>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</si>
  <si>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</si>
  <si>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</si>
  <si>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</si>
  <si>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</si>
  <si>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</si>
  <si>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</si>
  <si>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</si>
  <si>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</si>
  <si>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</si>
  <si>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</si>
  <si>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</si>
  <si>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</si>
  <si>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</si>
  <si>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</si>
  <si>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</si>
  <si>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</si>
  <si>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</si>
  <si>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</si>
  <si>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</si>
  <si>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</si>
  <si>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</si>
  <si>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</si>
  <si>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</si>
  <si>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</si>
  <si>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</si>
  <si>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</si>
  <si>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</si>
  <si>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</si>
  <si>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</si>
  <si>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</si>
  <si>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</si>
  <si>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</si>
  <si>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</si>
  <si>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</si>
  <si>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</si>
  <si>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</si>
  <si>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</si>
  <si>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</si>
  <si>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</si>
  <si>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</si>
  <si>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</si>
  <si>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</si>
  <si>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</si>
  <si>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</si>
  <si>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</si>
  <si>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</si>
  <si>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</si>
  <si>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</si>
  <si>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</si>
  <si>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</si>
  <si>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</si>
  <si>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</si>
  <si>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</si>
  <si>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</si>
  <si>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</si>
  <si>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</si>
  <si>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</si>
  <si>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</si>
  <si>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</si>
  <si>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</si>
  <si>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</si>
  <si>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</si>
  <si>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</si>
  <si>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</si>
  <si>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</si>
  <si>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</si>
  <si>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</si>
  <si>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</si>
  <si>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</si>
  <si>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</si>
  <si>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</si>
  <si>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</si>
  <si>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</si>
  <si>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</si>
  <si>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</si>
  <si>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</si>
  <si>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</si>
  <si>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</si>
  <si>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</si>
  <si>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</si>
  <si>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</si>
  <si>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</si>
  <si>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</si>
  <si>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</si>
  <si>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</si>
  <si>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</si>
  <si>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</si>
  <si>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</si>
  <si>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</si>
  <si>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</si>
  <si>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</si>
  <si>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</si>
  <si>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</si>
  <si>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</si>
  <si>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</si>
  <si>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</si>
  <si>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</si>
  <si>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</si>
  <si>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</si>
  <si>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</si>
  <si>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</si>
  <si>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</si>
  <si>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</si>
  <si>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</si>
  <si>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</si>
  <si>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</si>
  <si>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</si>
  <si>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</si>
  <si>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</si>
  <si>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</si>
  <si>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</si>
  <si>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</si>
  <si>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</si>
  <si>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</si>
  <si>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</si>
  <si>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</si>
  <si>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</si>
  <si>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</si>
  <si>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</si>
  <si>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</si>
  <si>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</si>
  <si>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</si>
  <si>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</si>
  <si>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</si>
  <si>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</si>
  <si>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</si>
  <si>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</si>
  <si>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</si>
  <si>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</si>
  <si>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</si>
  <si>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</si>
  <si>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</si>
  <si>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</si>
  <si>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</si>
  <si>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</si>
  <si>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</si>
  <si>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</si>
  <si>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</si>
  <si>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</si>
  <si>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</si>
  <si>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</si>
  <si>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</si>
  <si>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</si>
  <si>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</si>
  <si>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</si>
  <si>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</si>
  <si>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</si>
  <si>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</si>
  <si>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</si>
  <si>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</si>
  <si>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</si>
  <si>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</si>
  <si>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</si>
  <si>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</si>
  <si>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</si>
  <si>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</si>
  <si>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</si>
  <si>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</si>
  <si>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</si>
  <si>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</si>
  <si>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</si>
  <si>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</si>
  <si>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</si>
  <si>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</si>
  <si>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</si>
  <si>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</si>
  <si>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</si>
  <si>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</si>
  <si>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</si>
  <si>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</si>
  <si>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</si>
  <si>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</si>
  <si>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</si>
  <si>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</si>
  <si>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</si>
  <si>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</si>
  <si>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</si>
  <si>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</si>
  <si>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</si>
  <si>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</si>
  <si>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</si>
  <si>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</si>
  <si>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</si>
  <si>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</si>
  <si>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</si>
  <si>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</si>
  <si>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</si>
  <si>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</si>
  <si>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</si>
  <si>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</si>
  <si>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</si>
  <si>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</si>
  <si>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</si>
  <si>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</si>
  <si>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</si>
  <si>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</si>
  <si>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</si>
  <si>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</si>
  <si>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</si>
  <si>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</si>
  <si>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</si>
  <si>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</si>
  <si>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</si>
  <si>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</si>
  <si>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</si>
  <si>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</si>
  <si>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</si>
  <si>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</si>
  <si>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</si>
  <si>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</si>
  <si>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</si>
  <si>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</si>
  <si>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</si>
  <si>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</si>
  <si>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</si>
  <si>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</si>
  <si>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</si>
  <si>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</si>
  <si>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</si>
  <si>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</si>
  <si>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</si>
  <si>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</si>
  <si>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</si>
  <si>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</si>
  <si>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</si>
  <si>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</si>
  <si>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</si>
  <si>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</si>
  <si>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</si>
  <si>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</si>
  <si>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</si>
  <si>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</si>
  <si>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</si>
  <si>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</si>
  <si>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</si>
  <si>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</si>
  <si>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</si>
  <si>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</si>
  <si>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</si>
  <si>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</si>
  <si>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</si>
  <si>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</si>
  <si>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</si>
  <si>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</si>
  <si>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</si>
  <si>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</si>
  <si>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</si>
  <si>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</si>
  <si>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</si>
  <si>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</si>
  <si>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</si>
  <si>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</si>
  <si>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</si>
  <si>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</si>
  <si>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</si>
  <si>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</si>
  <si>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</si>
  <si>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</si>
  <si>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</si>
  <si>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</si>
  <si>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</si>
  <si>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</si>
  <si>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</si>
  <si>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</si>
  <si>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</si>
  <si>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</si>
  <si>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</si>
  <si>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</si>
  <si>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</si>
  <si>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</si>
  <si>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</si>
  <si>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</si>
  <si>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</si>
  <si>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</si>
  <si>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</si>
  <si>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</si>
  <si>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</si>
  <si>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</si>
  <si>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</si>
  <si>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</si>
  <si>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</si>
  <si>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</si>
  <si>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</si>
  <si>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</si>
  <si>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</si>
  <si>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</si>
  <si>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</si>
  <si>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</si>
  <si>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</si>
  <si>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</si>
  <si>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</si>
  <si>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</si>
  <si>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</si>
  <si>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</si>
  <si>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</si>
  <si>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</si>
  <si>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</si>
  <si>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</si>
  <si>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</si>
  <si>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</si>
  <si>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</si>
  <si>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</si>
  <si>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</si>
  <si>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</si>
  <si>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</si>
  <si>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</si>
  <si>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</si>
  <si>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</si>
  <si>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</si>
  <si>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</si>
  <si>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</si>
  <si>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</si>
  <si>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</si>
  <si>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</si>
  <si>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</si>
  <si>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</si>
  <si>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</si>
  <si>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</si>
  <si>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</si>
  <si>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</si>
  <si>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</si>
  <si>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</si>
  <si>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</si>
  <si>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</si>
  <si>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</si>
  <si>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</si>
  <si>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</si>
  <si>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</si>
  <si>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</si>
  <si>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</si>
  <si>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</si>
  <si>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</si>
  <si>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</si>
  <si>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</si>
  <si>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</si>
  <si>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</si>
  <si>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</si>
  <si>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</si>
  <si>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</si>
  <si>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</si>
  <si>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</si>
  <si>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</si>
  <si>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</si>
  <si>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</si>
  <si>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</si>
  <si>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</si>
  <si>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</si>
  <si>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</si>
  <si>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</si>
  <si>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</si>
  <si>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</si>
  <si>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</si>
  <si>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</si>
  <si>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</si>
  <si>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</si>
  <si>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</si>
  <si>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</si>
  <si>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</si>
  <si>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</si>
  <si>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</si>
  <si>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</si>
  <si>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</si>
  <si>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</si>
  <si>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</si>
  <si>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</si>
  <si>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</si>
  <si>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</si>
  <si>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</si>
  <si>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</si>
  <si>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</si>
  <si>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</si>
  <si>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</si>
  <si>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</si>
  <si>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</si>
  <si>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</si>
  <si>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</si>
  <si>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</si>
  <si>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</si>
  <si>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</si>
  <si>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</si>
  <si>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</si>
  <si>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</si>
  <si>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</si>
  <si>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</si>
  <si>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</si>
  <si>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</si>
  <si>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</si>
  <si>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</si>
  <si>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</si>
  <si>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</si>
  <si>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</si>
  <si>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</si>
  <si>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</si>
  <si>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</si>
  <si>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</si>
  <si>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</si>
  <si>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</si>
  <si>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</si>
  <si>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</si>
  <si>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</si>
  <si>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</si>
  <si>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</si>
  <si>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</si>
  <si>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</si>
  <si>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</si>
  <si>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</si>
  <si>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</si>
  <si>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</si>
  <si>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</si>
  <si>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</si>
  <si>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</si>
  <si>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</si>
  <si>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</si>
  <si>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</si>
  <si>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</si>
  <si>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</si>
  <si>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</si>
  <si>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</si>
  <si>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</si>
  <si>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</si>
  <si>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</si>
  <si>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</si>
  <si>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</si>
  <si>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</si>
  <si>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</si>
  <si>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</si>
  <si>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</si>
  <si>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</si>
  <si>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</si>
  <si>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</si>
  <si>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</si>
  <si>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</si>
  <si>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</si>
  <si>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</si>
  <si>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</si>
  <si>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</si>
  <si>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</si>
  <si>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</si>
  <si>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</si>
  <si>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</si>
  <si>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</si>
  <si>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</si>
  <si>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</si>
  <si>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</si>
  <si>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</si>
  <si>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</si>
  <si>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</si>
  <si>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</si>
  <si>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</si>
  <si>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</si>
  <si>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</si>
  <si>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</si>
  <si>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</si>
  <si>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</si>
  <si>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</si>
  <si>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</si>
  <si>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</si>
  <si>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</si>
  <si>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</si>
  <si>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</si>
  <si>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</si>
  <si>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</si>
  <si>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</si>
  <si>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</si>
  <si>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</si>
  <si>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</si>
  <si>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</si>
  <si>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</si>
  <si>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</si>
  <si>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</si>
  <si>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</si>
  <si>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</si>
  <si>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</si>
  <si>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</si>
  <si>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</si>
  <si>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</si>
  <si>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</si>
  <si>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</si>
  <si>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</si>
  <si>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</si>
  <si>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</si>
  <si>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</si>
  <si>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</si>
  <si>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</si>
  <si>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</si>
  <si>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</si>
  <si>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</si>
  <si>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</si>
  <si>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</si>
  <si>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</si>
  <si>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</si>
  <si>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</si>
  <si>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</si>
  <si>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</si>
  <si>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</si>
  <si>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</si>
  <si>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</si>
  <si>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</si>
  <si>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</si>
  <si>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</si>
  <si>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</si>
  <si>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</si>
  <si>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</si>
  <si>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</si>
  <si>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</si>
  <si>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</si>
  <si>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</si>
  <si>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</si>
  <si>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</si>
  <si>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</si>
  <si>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</si>
  <si>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</si>
  <si>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</si>
  <si>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</si>
  <si>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</si>
  <si>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</si>
  <si>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</si>
  <si>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</si>
  <si>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</si>
  <si>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</si>
  <si>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</si>
  <si>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</si>
  <si>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</si>
  <si>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</si>
  <si>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</si>
  <si>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</si>
  <si>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</si>
  <si>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</si>
  <si>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</si>
  <si>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</si>
  <si>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</si>
  <si>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</si>
  <si>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</si>
  <si>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</si>
  <si>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</si>
  <si>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</si>
  <si>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</si>
  <si>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</si>
  <si>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</si>
  <si>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</si>
  <si>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</si>
  <si>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</si>
  <si>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</si>
  <si>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</si>
  <si>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</si>
  <si>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</si>
  <si>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</si>
  <si>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</si>
  <si>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</si>
  <si>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</si>
  <si>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</si>
  <si>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</si>
  <si>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</si>
  <si>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</si>
  <si>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</si>
  <si>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</si>
  <si>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</si>
  <si>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</si>
  <si>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</si>
  <si>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</si>
  <si>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</si>
  <si>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</si>
  <si>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</si>
  <si>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</si>
  <si>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</si>
  <si>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</si>
  <si>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</si>
  <si>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</si>
  <si>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</si>
  <si>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</si>
  <si>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</si>
  <si>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</si>
  <si>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</si>
  <si>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</si>
  <si>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</si>
  <si>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</si>
  <si>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</si>
  <si>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</si>
  <si>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</si>
  <si>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</si>
  <si>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</si>
  <si>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</si>
  <si>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</si>
  <si>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</si>
  <si>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</si>
  <si>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</si>
  <si>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</si>
  <si>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</si>
  <si>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</si>
  <si>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</si>
  <si>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</si>
  <si>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</si>
  <si>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</si>
  <si>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</si>
  <si>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</si>
  <si>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</si>
  <si>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</si>
  <si>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</si>
  <si>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</si>
  <si>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</si>
  <si>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</si>
  <si>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</si>
  <si>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</si>
  <si>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</si>
  <si>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</si>
  <si>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</si>
  <si>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</si>
  <si>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</si>
  <si>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</si>
  <si>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</si>
  <si>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</si>
  <si>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</si>
  <si>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</si>
  <si>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</si>
  <si>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</si>
  <si>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</si>
  <si>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</si>
  <si>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</si>
  <si>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</si>
  <si>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</si>
  <si>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</si>
  <si>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</si>
  <si>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</si>
  <si>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</si>
  <si>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</si>
  <si>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</si>
  <si>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</si>
  <si>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</si>
  <si>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</si>
  <si>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</si>
  <si>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</si>
  <si>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</si>
  <si>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</si>
  <si>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</si>
  <si>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</si>
  <si>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</si>
  <si>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</si>
  <si>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</si>
  <si>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</si>
  <si>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</si>
  <si>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</si>
  <si>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</si>
  <si>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</si>
  <si>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</si>
  <si>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</si>
  <si>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</si>
  <si>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</si>
  <si>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</si>
  <si>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</si>
  <si>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</si>
  <si>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</si>
  <si>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</si>
  <si>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</si>
  <si>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</si>
  <si>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</si>
  <si>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</si>
  <si>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</si>
  <si>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</si>
  <si>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</si>
  <si>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</si>
  <si>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</si>
  <si>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</si>
  <si>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</si>
  <si>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</si>
  <si>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</si>
  <si>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</si>
  <si>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</si>
  <si>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</si>
  <si>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</si>
  <si>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</si>
  <si>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</si>
  <si>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</si>
  <si>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</si>
  <si>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</si>
  <si>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</si>
  <si>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</si>
  <si>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</si>
  <si>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</si>
  <si>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</si>
  <si>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</si>
  <si>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</si>
  <si>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</si>
  <si>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</si>
  <si>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</si>
  <si>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</si>
  <si>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</si>
  <si>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</si>
  <si>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</si>
  <si>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</si>
  <si>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</si>
  <si>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</si>
  <si>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</si>
  <si>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</si>
  <si>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</si>
  <si>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</si>
  <si>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</si>
  <si>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</si>
  <si>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</si>
  <si>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</si>
  <si>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</si>
  <si>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</si>
  <si>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</si>
  <si>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</si>
  <si>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</si>
  <si>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</si>
  <si>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</si>
  <si>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</si>
  <si>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</si>
  <si>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</si>
  <si>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</si>
  <si>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</si>
  <si>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</si>
  <si>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</si>
  <si>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</si>
  <si>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</si>
  <si>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</si>
  <si>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</si>
  <si>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</si>
  <si>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</si>
  <si>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</si>
  <si>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</si>
  <si>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</si>
  <si>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</si>
  <si>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</si>
  <si>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</si>
  <si>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</si>
  <si>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</si>
  <si>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</si>
  <si>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</si>
  <si>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</si>
  <si>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</si>
  <si>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</si>
  <si>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</si>
  <si>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</si>
  <si>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</si>
  <si>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</si>
  <si>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</si>
  <si>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</si>
  <si>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</si>
  <si>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</si>
  <si>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</si>
  <si>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</si>
  <si>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</si>
  <si>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</si>
  <si>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</si>
  <si>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</si>
  <si>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</si>
  <si>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</si>
  <si>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</si>
  <si>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</si>
  <si>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</si>
  <si>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</si>
  <si>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</si>
  <si>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</si>
  <si>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</si>
  <si>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</si>
  <si>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</si>
  <si>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</si>
  <si>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</si>
  <si>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</si>
  <si>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</si>
  <si>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</si>
  <si>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</si>
  <si>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</si>
  <si>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</si>
  <si>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</si>
  <si>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</si>
  <si>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</si>
  <si>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</si>
  <si>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</si>
  <si>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</si>
  <si>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</si>
  <si>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</si>
  <si>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</si>
  <si>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</si>
  <si>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</si>
  <si>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</si>
  <si>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</si>
  <si>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</si>
  <si>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</si>
  <si>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</si>
  <si>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</si>
  <si>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</si>
  <si>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</si>
  <si>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</si>
  <si>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</si>
  <si>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</si>
  <si>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</si>
  <si>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</si>
  <si>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</si>
  <si>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</si>
  <si>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</si>
  <si>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</si>
  <si>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</si>
  <si>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</si>
  <si>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</si>
  <si>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</si>
  <si>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</si>
  <si>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</si>
  <si>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</si>
  <si>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</si>
  <si>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</si>
  <si>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</si>
  <si>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</si>
  <si>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</si>
  <si>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</si>
  <si>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</si>
  <si>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</si>
  <si>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</si>
  <si>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</si>
  <si>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</si>
  <si>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</si>
  <si>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</si>
  <si>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</si>
  <si>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</si>
  <si>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</si>
  <si>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</si>
  <si>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</si>
  <si>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</si>
  <si>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</si>
  <si>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</si>
  <si>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</si>
  <si>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</si>
  <si>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</si>
  <si>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</si>
  <si>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</si>
  <si>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</si>
  <si>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</si>
  <si>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</si>
  <si>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</si>
  <si>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</si>
  <si>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</si>
  <si>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</si>
  <si>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</si>
  <si>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</si>
  <si>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</si>
  <si>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</si>
  <si>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</si>
  <si>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</si>
  <si>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</si>
  <si>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</si>
  <si>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</si>
  <si>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</si>
  <si>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</si>
  <si>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</si>
  <si>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</si>
  <si>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</si>
  <si>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</si>
  <si>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</si>
  <si>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</si>
  <si>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</si>
  <si>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</si>
  <si>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</si>
  <si>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</si>
  <si>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</si>
  <si>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</si>
  <si>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</si>
  <si>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</si>
  <si>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</si>
  <si>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</si>
  <si>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</si>
  <si>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</si>
  <si>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</si>
  <si>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</si>
  <si>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</si>
  <si>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</si>
  <si>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</si>
  <si>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</si>
  <si>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</si>
  <si>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</si>
  <si>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</si>
  <si>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</si>
  <si>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</si>
  <si>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</si>
  <si>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</si>
  <si>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</si>
  <si>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</si>
  <si>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</si>
  <si>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</si>
  <si>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</si>
  <si>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</si>
  <si>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</si>
  <si>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</si>
  <si>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</si>
  <si>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</si>
  <si>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</si>
  <si>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</si>
  <si>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</si>
  <si>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</si>
  <si>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</si>
  <si>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</si>
  <si>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</si>
  <si>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</si>
  <si>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</si>
  <si>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</si>
  <si>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</si>
  <si>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</si>
  <si>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</si>
  <si>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</si>
  <si>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</si>
  <si>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</si>
  <si>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</si>
  <si>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</si>
  <si>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</si>
  <si>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</si>
  <si>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</si>
  <si>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</si>
  <si>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</si>
  <si>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</si>
  <si>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</si>
  <si>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</si>
  <si>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</si>
  <si>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</si>
  <si>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</si>
  <si>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</si>
  <si>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</si>
  <si>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</si>
  <si>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</si>
  <si>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</si>
  <si>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</si>
  <si>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</si>
  <si>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</si>
  <si>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</si>
  <si>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</si>
  <si>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</si>
  <si>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</si>
  <si>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</si>
  <si>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</si>
  <si>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</si>
  <si>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</si>
  <si>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</si>
  <si>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</si>
  <si>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</si>
  <si>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</si>
  <si>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</si>
  <si>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</si>
  <si>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</si>
  <si>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</si>
  <si>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</si>
  <si>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</si>
  <si>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</si>
  <si>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</si>
  <si>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</si>
  <si>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</si>
  <si>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</si>
  <si>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</si>
  <si>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</si>
  <si>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</si>
  <si>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</si>
  <si>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</si>
  <si>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</si>
  <si>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</si>
  <si>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</si>
  <si>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</si>
  <si>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</si>
  <si>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</si>
  <si>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</si>
  <si>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</si>
  <si>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</si>
  <si>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</si>
  <si>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</si>
  <si>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</si>
  <si>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</si>
  <si>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</si>
  <si>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</si>
  <si>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</si>
  <si>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</si>
  <si>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</si>
  <si>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</si>
  <si>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</si>
  <si>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</si>
  <si>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</si>
  <si>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</si>
  <si>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</si>
  <si>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</si>
  <si>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</si>
  <si>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</si>
  <si>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</si>
  <si>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</si>
  <si>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</si>
  <si>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</si>
  <si>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</si>
  <si>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</si>
  <si>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</si>
  <si>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</si>
  <si>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</si>
  <si>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</si>
  <si>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</si>
  <si>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</si>
  <si>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</si>
  <si>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</si>
  <si>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</si>
  <si>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</si>
  <si>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</si>
  <si>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</si>
  <si>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</si>
  <si>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</si>
  <si>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</si>
  <si>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</si>
  <si>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</si>
  <si>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</si>
  <si>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</si>
  <si>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</si>
  <si>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</si>
  <si>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</si>
  <si>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</si>
  <si>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</si>
  <si>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</si>
  <si>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</si>
  <si>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</si>
  <si>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</si>
  <si>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</si>
  <si>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</si>
  <si>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</si>
  <si>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</si>
  <si>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</si>
  <si>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</si>
  <si>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</si>
  <si>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</si>
  <si>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</si>
  <si>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</si>
  <si>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</si>
  <si>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</si>
  <si>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</si>
  <si>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</si>
  <si>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</si>
  <si>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</si>
  <si>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</si>
  <si>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</si>
  <si>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</si>
  <si>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</si>
  <si>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</si>
  <si>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</si>
  <si>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</si>
  <si>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</si>
  <si>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</si>
  <si>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</si>
  <si>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</si>
  <si>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</si>
  <si>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</si>
  <si>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</si>
  <si>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</si>
  <si>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</si>
  <si>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</si>
  <si>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</si>
  <si>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</si>
  <si>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</si>
  <si>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</si>
  <si>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</si>
  <si>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</si>
  <si>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</si>
  <si>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</si>
  <si>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</si>
  <si>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</si>
  <si>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</si>
  <si>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</si>
  <si>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</si>
  <si>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</si>
  <si>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</si>
  <si>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</si>
  <si>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</si>
  <si>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</si>
  <si>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</si>
  <si>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</si>
  <si>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</si>
  <si>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</si>
  <si>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</si>
  <si>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</si>
  <si>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</si>
  <si>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</si>
  <si>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</si>
  <si>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</si>
  <si>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</si>
  <si>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</si>
  <si>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</si>
  <si>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</si>
  <si>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</si>
  <si>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</si>
  <si>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</si>
  <si>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</si>
  <si>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</si>
  <si>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</si>
  <si>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</si>
  <si>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</si>
  <si>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</si>
  <si>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</si>
  <si>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</si>
  <si>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</si>
  <si>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</si>
  <si>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</si>
  <si>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</si>
  <si>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</si>
  <si>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</si>
  <si>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</si>
  <si>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</si>
  <si>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</si>
  <si>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</si>
  <si>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</si>
  <si>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</si>
  <si>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</si>
  <si>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</si>
  <si>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</si>
  <si>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</si>
  <si>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</si>
  <si>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</si>
  <si>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</si>
  <si>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</si>
  <si>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</si>
  <si>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</si>
  <si>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</si>
  <si>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</si>
  <si>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</si>
  <si>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</si>
  <si>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</si>
  <si>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</si>
  <si>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</si>
  <si>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</si>
  <si>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</si>
  <si>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</si>
  <si>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</si>
  <si>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</si>
  <si>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</si>
  <si>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</si>
  <si>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</si>
  <si>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</si>
  <si>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</si>
  <si>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</si>
  <si>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</si>
  <si>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</si>
  <si>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</si>
  <si>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</si>
  <si>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</si>
  <si>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</si>
  <si>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</si>
  <si>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</si>
  <si>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</si>
  <si>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</si>
  <si>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</si>
  <si>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</si>
  <si>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</si>
  <si>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</si>
  <si>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</si>
  <si>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</si>
  <si>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</si>
  <si>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</si>
  <si>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</si>
  <si>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</si>
  <si>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</si>
  <si>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</si>
  <si>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</si>
  <si>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</si>
  <si>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</si>
  <si>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</si>
  <si>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</si>
  <si>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</si>
  <si>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</si>
  <si>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</si>
  <si>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</si>
  <si>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</si>
  <si>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</si>
  <si>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</si>
  <si>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</si>
  <si>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</si>
  <si>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</si>
  <si>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</si>
  <si>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</si>
  <si>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</si>
  <si>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</si>
  <si>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</si>
  <si>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</si>
  <si>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</si>
  <si>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</si>
  <si>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</si>
  <si>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</si>
  <si>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</si>
  <si>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</si>
  <si>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</si>
  <si>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</si>
  <si>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</si>
  <si>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</si>
  <si>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</si>
  <si>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</si>
  <si>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</si>
  <si>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</si>
  <si>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</si>
  <si>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</si>
  <si>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</si>
  <si>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</si>
  <si>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</si>
  <si>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</si>
  <si>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</si>
  <si>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</si>
  <si>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</si>
  <si>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</si>
  <si>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</si>
  <si>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</si>
  <si>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</si>
  <si>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</si>
  <si>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</si>
  <si>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</si>
  <si>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</si>
  <si>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</si>
  <si>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</si>
  <si>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</si>
  <si>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</si>
  <si>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</si>
  <si>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</si>
  <si>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</si>
  <si>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</si>
  <si>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</si>
  <si>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</si>
  <si>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</si>
  <si>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</si>
  <si>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</si>
  <si>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</si>
  <si>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</si>
  <si>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</si>
  <si>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</si>
  <si>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</si>
  <si>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</si>
  <si>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</si>
  <si>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</si>
  <si>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</si>
  <si>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</si>
  <si>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</si>
  <si>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</si>
  <si>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</si>
  <si>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</si>
  <si>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</si>
  <si>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</si>
  <si>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</si>
  <si>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</si>
  <si>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</si>
  <si>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</si>
  <si>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</si>
  <si>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</si>
  <si>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</si>
  <si>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</si>
  <si>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</si>
  <si>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</si>
  <si>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</si>
  <si>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</si>
  <si>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</si>
  <si>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</si>
  <si>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</si>
  <si>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</si>
  <si>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</si>
  <si>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</si>
  <si>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</si>
  <si>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</si>
  <si>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</si>
  <si>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</si>
  <si>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</si>
  <si>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</si>
  <si>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</si>
  <si>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</si>
  <si>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</si>
  <si>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</si>
  <si>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</si>
  <si>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</si>
  <si>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</si>
  <si>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</si>
  <si>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</si>
  <si>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</si>
  <si>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</si>
  <si>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</si>
  <si>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</si>
  <si>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</si>
  <si>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</si>
  <si>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</si>
  <si>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</si>
  <si>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</si>
  <si>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</si>
  <si>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</si>
  <si>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</si>
  <si>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</si>
  <si>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</si>
  <si>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</si>
  <si>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</si>
  <si>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</si>
  <si>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</si>
  <si>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</si>
  <si>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</si>
  <si>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</si>
  <si>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</si>
  <si>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</si>
  <si>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</si>
  <si>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</si>
  <si>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</si>
  <si>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</si>
  <si>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</si>
  <si>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</si>
  <si>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</si>
  <si>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</si>
  <si>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</si>
  <si>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</si>
  <si>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</si>
  <si>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</si>
  <si>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</si>
  <si>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</si>
  <si>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</si>
  <si>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</si>
  <si>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</si>
  <si>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</si>
  <si>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</si>
  <si>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</si>
  <si>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</si>
  <si>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</si>
  <si>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</si>
  <si>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</si>
  <si>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</si>
  <si>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</si>
  <si>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</si>
  <si>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</si>
  <si>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</si>
  <si>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</si>
  <si>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</si>
  <si>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</si>
  <si>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</si>
  <si>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</si>
  <si>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</si>
  <si>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</si>
  <si>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</si>
  <si>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</si>
  <si>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</si>
  <si>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</si>
  <si>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</si>
  <si>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</si>
  <si>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</si>
  <si>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</si>
  <si>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</si>
  <si>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</si>
  <si>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</si>
  <si>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</si>
  <si>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</si>
  <si>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</si>
  <si>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</si>
  <si>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</si>
  <si>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</si>
  <si>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</si>
  <si>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</si>
  <si>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</si>
  <si>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</si>
  <si>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</si>
  <si>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</si>
  <si>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</si>
  <si>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</si>
  <si>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</si>
  <si>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</si>
  <si>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</si>
  <si>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</si>
  <si>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</si>
  <si>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</si>
  <si>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</si>
  <si>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</si>
  <si>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</si>
  <si>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</si>
  <si>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</si>
  <si>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</si>
  <si>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</si>
  <si>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</si>
  <si>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</si>
  <si>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</si>
  <si>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</si>
  <si>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</si>
  <si>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</si>
  <si>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</si>
  <si>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</si>
  <si>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</si>
  <si>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</si>
  <si>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</si>
  <si>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</si>
  <si>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</si>
  <si>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</si>
  <si>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</si>
  <si>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</si>
  <si>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</si>
  <si>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</si>
  <si>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</si>
  <si>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</si>
  <si>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</si>
  <si>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</si>
  <si>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</si>
  <si>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</si>
  <si>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</si>
  <si>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</si>
  <si>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</si>
  <si>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</si>
  <si>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</si>
  <si>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</si>
  <si>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</si>
  <si>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</si>
  <si>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</si>
  <si>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</si>
  <si>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</si>
  <si>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</si>
  <si>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</si>
  <si>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</si>
  <si>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</si>
  <si>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</si>
  <si>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</si>
  <si>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</si>
  <si>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</si>
  <si>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</si>
  <si>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</si>
  <si>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</si>
  <si>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</si>
  <si>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</si>
  <si>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</si>
  <si>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</si>
  <si>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</si>
  <si>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</si>
  <si>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</si>
  <si>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</si>
  <si>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</si>
  <si>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</si>
  <si>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</si>
  <si>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</si>
  <si>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</si>
  <si>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</si>
  <si>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</si>
  <si>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</si>
  <si>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</si>
  <si>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</si>
  <si>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</si>
  <si>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</si>
  <si>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</si>
  <si>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</si>
  <si>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</si>
  <si>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</si>
  <si>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</si>
  <si>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</si>
  <si>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</si>
  <si>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</si>
  <si>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</si>
  <si>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</si>
  <si>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</si>
  <si>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</si>
  <si>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</si>
  <si>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</si>
  <si>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</si>
  <si>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</si>
  <si>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</si>
  <si>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</si>
  <si>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</si>
  <si>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</si>
  <si>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</si>
  <si>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</si>
  <si>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</si>
  <si>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</si>
  <si>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</si>
  <si>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</si>
  <si>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</si>
  <si>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</si>
  <si>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</si>
  <si>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</si>
  <si>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</si>
  <si>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</si>
  <si>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</si>
  <si>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</si>
  <si>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</si>
  <si>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</si>
  <si>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</si>
  <si>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</si>
  <si>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</si>
  <si>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</si>
  <si>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</si>
  <si>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</si>
  <si>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</si>
  <si>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</si>
  <si>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</si>
  <si>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</si>
  <si>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</si>
  <si>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</si>
  <si>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</si>
  <si>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</si>
  <si>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</si>
  <si>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</si>
  <si>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</si>
  <si>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</si>
  <si>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</si>
  <si>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</si>
  <si>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</si>
  <si>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</si>
  <si>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</si>
  <si>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</si>
  <si>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</si>
  <si>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</si>
  <si>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</si>
  <si>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</si>
  <si>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</si>
  <si>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</si>
  <si>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</si>
  <si>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</si>
  <si>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</si>
  <si>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</si>
  <si>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</si>
  <si>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</si>
  <si>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</si>
  <si>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</si>
  <si>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</si>
  <si>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</si>
  <si>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</si>
  <si>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</si>
  <si>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</si>
  <si>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</si>
  <si>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</si>
  <si>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</si>
  <si>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</si>
  <si>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</si>
  <si>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</si>
  <si>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</si>
  <si>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</si>
  <si>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</si>
  <si>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</si>
  <si>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</si>
  <si>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</si>
  <si>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</si>
  <si>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</si>
  <si>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</si>
  <si>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</si>
  <si>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</si>
  <si>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</si>
  <si>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</si>
  <si>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</si>
  <si>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</si>
  <si>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</si>
  <si>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</si>
  <si>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</si>
  <si>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</si>
  <si>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</si>
  <si>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</si>
  <si>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</si>
  <si>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</si>
  <si>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</si>
  <si>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</si>
  <si>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</si>
  <si>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</si>
  <si>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</si>
  <si>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</si>
  <si>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</si>
  <si>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</si>
  <si>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</si>
  <si>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</si>
  <si>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</si>
  <si>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</si>
  <si>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</si>
  <si>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</si>
  <si>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</si>
  <si>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</si>
  <si>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</si>
  <si>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</si>
  <si>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</si>
  <si>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</si>
  <si>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</si>
  <si>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</si>
  <si>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</si>
  <si>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</si>
  <si>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</si>
  <si>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</si>
  <si>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</si>
  <si>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</si>
  <si>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</si>
  <si>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</si>
  <si>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</si>
  <si>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</si>
  <si>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</si>
  <si>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</si>
  <si>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</si>
  <si>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</si>
  <si>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</si>
  <si>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</si>
  <si>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</si>
  <si>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</si>
  <si>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</si>
  <si>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</si>
  <si>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</si>
  <si>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</si>
  <si>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</si>
  <si>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</si>
  <si>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</si>
  <si>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</si>
  <si>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</si>
  <si>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</si>
  <si>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</si>
  <si>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</si>
  <si>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</si>
  <si>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</si>
  <si>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</si>
  <si>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</si>
  <si>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</si>
  <si>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</si>
  <si>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</si>
  <si>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</si>
  <si>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</si>
  <si>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</si>
  <si>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</si>
  <si>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</si>
  <si>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</si>
  <si>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</si>
  <si>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</si>
  <si>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</si>
  <si>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</si>
  <si>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</si>
  <si>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</si>
  <si>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</si>
  <si>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</si>
  <si>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</si>
  <si>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</si>
  <si>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</si>
  <si>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</si>
  <si>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</si>
  <si>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</si>
  <si>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</si>
  <si>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</si>
  <si>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</si>
  <si>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</si>
  <si>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</si>
  <si>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</si>
  <si>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</si>
  <si>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</si>
  <si>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</si>
  <si>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</si>
  <si>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</si>
  <si>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</si>
  <si>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</si>
  <si>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</si>
  <si>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</si>
  <si>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</si>
  <si>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</si>
  <si>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</si>
  <si>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</si>
  <si>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</si>
  <si>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</si>
  <si>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</si>
  <si>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</si>
  <si>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</si>
  <si>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</si>
  <si>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</si>
  <si>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</si>
  <si>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</si>
  <si>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</si>
  <si>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</si>
  <si>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</si>
  <si>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</si>
  <si>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</si>
  <si>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</si>
  <si>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</si>
  <si>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</si>
  <si>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</si>
  <si>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</si>
  <si>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</si>
  <si>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</si>
  <si>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</si>
  <si>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</si>
  <si>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</si>
  <si>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</si>
  <si>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</si>
  <si>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</si>
  <si>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</si>
  <si>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</si>
  <si>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</si>
  <si>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</si>
  <si>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</si>
  <si>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</si>
  <si>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</si>
  <si>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</si>
  <si>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</si>
  <si>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</si>
  <si>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</si>
  <si>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</si>
  <si>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</si>
  <si>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</si>
  <si>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</si>
  <si>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</si>
  <si>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</si>
  <si>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</si>
  <si>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</si>
  <si>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</si>
  <si>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</si>
  <si>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</si>
  <si>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</si>
  <si>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</si>
  <si>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</si>
  <si>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</si>
  <si>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</si>
  <si>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</si>
  <si>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</si>
  <si>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</si>
  <si>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</si>
  <si>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</si>
  <si>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</si>
  <si>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</si>
  <si>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</si>
  <si>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</si>
  <si>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</si>
  <si>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</si>
  <si>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</si>
  <si>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</si>
  <si>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</si>
  <si>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</si>
  <si>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</si>
  <si>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</si>
  <si>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</si>
  <si>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</si>
  <si>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</si>
  <si>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</si>
  <si>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</si>
  <si>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</si>
  <si>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</si>
  <si>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</si>
  <si>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</si>
  <si>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</si>
  <si>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</si>
  <si>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</si>
  <si>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</si>
  <si>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</si>
  <si>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</si>
  <si>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</si>
  <si>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</si>
  <si>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</si>
  <si>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</si>
  <si>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</si>
  <si>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</si>
  <si>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</si>
  <si>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</si>
  <si>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</si>
  <si>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</si>
  <si>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</si>
  <si>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</si>
  <si>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</si>
  <si>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</si>
  <si>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</si>
  <si>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</si>
  <si>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</si>
  <si>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</si>
  <si>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</si>
  <si>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</si>
  <si>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</si>
  <si>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</si>
  <si>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</si>
  <si>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</si>
  <si>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</si>
  <si>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</si>
  <si>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</si>
  <si>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</si>
  <si>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</si>
  <si>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</si>
  <si>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</si>
  <si>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</si>
  <si>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</si>
  <si>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</si>
  <si>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</si>
  <si>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</si>
  <si>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</si>
  <si>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</si>
  <si>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</si>
  <si>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</si>
  <si>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</si>
  <si>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</si>
  <si>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</si>
  <si>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</si>
  <si>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</si>
  <si>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</si>
  <si>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</si>
  <si>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</si>
  <si>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</si>
  <si>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</si>
  <si>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</si>
  <si>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</si>
  <si>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</si>
  <si>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</si>
  <si>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</si>
  <si>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</si>
  <si>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</si>
  <si>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</si>
  <si>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</si>
  <si>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</si>
  <si>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</si>
  <si>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</si>
  <si>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</si>
  <si>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</si>
  <si>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</si>
  <si>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</si>
  <si>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</si>
  <si>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</si>
  <si>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</si>
  <si>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</si>
  <si>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</si>
  <si>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</si>
  <si>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</si>
  <si>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</si>
  <si>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</si>
  <si>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</si>
  <si>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</si>
  <si>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</si>
  <si>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</si>
  <si>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</si>
  <si>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</si>
  <si>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</si>
  <si>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</si>
  <si>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</si>
  <si>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</si>
  <si>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</si>
  <si>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</si>
  <si>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</si>
  <si>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</si>
  <si>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</si>
  <si>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</si>
  <si>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</si>
  <si>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</si>
  <si>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</si>
  <si>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</si>
  <si>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</si>
  <si>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</si>
  <si>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</si>
  <si>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</si>
  <si>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</si>
  <si>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</si>
  <si>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</si>
  <si>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</si>
  <si>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</si>
  <si>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</si>
  <si>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</si>
  <si>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</si>
  <si>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</si>
  <si>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</si>
  <si>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</si>
  <si>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</si>
  <si>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</si>
  <si>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</si>
  <si>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</si>
  <si>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</si>
  <si>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</si>
  <si>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</si>
  <si>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</si>
  <si>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</si>
  <si>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</si>
  <si>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</si>
  <si>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</si>
  <si>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</si>
  <si>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</si>
  <si>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</si>
  <si>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</si>
  <si>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</si>
  <si>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</si>
  <si>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</si>
  <si>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</si>
  <si>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</si>
  <si>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</si>
  <si>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</si>
  <si>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</si>
  <si>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</si>
  <si>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</si>
  <si>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</si>
  <si>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</si>
  <si>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</si>
  <si>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</si>
  <si>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</si>
  <si>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</si>
  <si>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</si>
  <si>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</si>
  <si>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</si>
  <si>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</si>
  <si>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</si>
  <si>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</si>
  <si>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</si>
  <si>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</si>
  <si>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</si>
  <si>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</si>
  <si>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</si>
  <si>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</si>
  <si>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</si>
  <si>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</si>
  <si>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</si>
  <si>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</si>
  <si>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</si>
  <si>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</si>
  <si>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</si>
  <si>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</si>
  <si>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</si>
  <si>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</si>
  <si>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</si>
  <si>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</si>
  <si>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</si>
  <si>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</si>
  <si>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</si>
  <si>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</si>
  <si>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</si>
  <si>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</si>
  <si>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</si>
  <si>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</si>
  <si>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</si>
  <si>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</si>
  <si>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</si>
  <si>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</si>
  <si>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</si>
  <si>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</si>
  <si>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</si>
  <si>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</si>
  <si>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</si>
  <si>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</si>
  <si>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</si>
  <si>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</si>
  <si>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</si>
  <si>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</si>
  <si>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</si>
  <si>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</si>
  <si>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</si>
  <si>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</si>
  <si>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</si>
  <si>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</si>
  <si>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</si>
  <si>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</si>
  <si>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</si>
  <si>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</si>
  <si>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</si>
  <si>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</si>
  <si>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</si>
  <si>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</si>
  <si>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</si>
  <si>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</si>
  <si>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</si>
  <si>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</si>
  <si>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</si>
  <si>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</si>
  <si>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</si>
  <si>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</si>
  <si>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</si>
  <si>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</si>
  <si>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</si>
  <si>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</si>
  <si>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</si>
  <si>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</si>
  <si>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</si>
  <si>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</si>
  <si>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</si>
  <si>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</si>
  <si>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</si>
  <si>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</si>
  <si>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</si>
  <si>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</si>
  <si>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</si>
  <si>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</si>
  <si>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</si>
  <si>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</si>
  <si>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</si>
  <si>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</si>
  <si>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</si>
  <si>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</si>
  <si>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</si>
  <si>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</si>
  <si>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</si>
  <si>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</si>
  <si>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</si>
  <si>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</si>
  <si>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</si>
  <si>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</si>
  <si>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</si>
  <si>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</si>
  <si>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</si>
  <si>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</si>
  <si>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</si>
  <si>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</si>
  <si>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</si>
  <si>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</si>
  <si>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</si>
  <si>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</si>
  <si>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</si>
  <si>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</si>
  <si>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</si>
  <si>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</si>
  <si>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</si>
  <si>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</si>
  <si>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</si>
  <si>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</si>
  <si>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</si>
  <si>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</si>
  <si>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</si>
  <si>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</si>
  <si>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</si>
  <si>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</si>
  <si>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</si>
  <si>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</si>
  <si>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</si>
  <si>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</si>
  <si>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</si>
  <si>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</si>
  <si>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</si>
  <si>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</si>
  <si>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</si>
  <si>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</si>
  <si>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</si>
  <si>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</si>
  <si>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</si>
  <si>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</si>
  <si>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</si>
  <si>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</si>
  <si>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</si>
  <si>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</si>
  <si>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</si>
  <si>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</si>
  <si>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</si>
  <si>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</si>
  <si>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</si>
  <si>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</si>
  <si>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</si>
  <si>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</si>
  <si>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</si>
  <si>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</si>
  <si>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</si>
  <si>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</si>
  <si>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</si>
  <si>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</si>
  <si>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</si>
  <si>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</si>
  <si>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</si>
  <si>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</si>
  <si>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</si>
  <si>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</si>
  <si>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</si>
  <si>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</si>
  <si>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</si>
  <si>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</si>
  <si>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</si>
  <si>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</si>
  <si>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</si>
  <si>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</si>
  <si>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</si>
  <si>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</si>
  <si>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</si>
  <si>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</si>
  <si>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</si>
  <si>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</si>
  <si>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</si>
  <si>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</si>
  <si>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</si>
  <si>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</si>
  <si>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</si>
  <si>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</si>
  <si>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</si>
  <si>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</si>
  <si>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</si>
  <si>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</si>
  <si>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</si>
  <si>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</si>
  <si>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</si>
  <si>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</si>
  <si>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</si>
  <si>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</si>
  <si>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</si>
  <si>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</si>
  <si>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</si>
  <si>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</si>
  <si>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</si>
  <si>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</si>
  <si>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</si>
  <si>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</si>
  <si>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</si>
  <si>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</si>
  <si>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</si>
  <si>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</si>
  <si>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</si>
  <si>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</si>
  <si>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</si>
  <si>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</si>
  <si>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</si>
  <si>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</si>
  <si>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</si>
  <si>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</si>
  <si>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</si>
  <si>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</si>
  <si>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</si>
  <si>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</si>
  <si>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</si>
  <si>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</si>
  <si>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</si>
  <si>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</si>
  <si>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</si>
  <si>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</si>
  <si>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</si>
  <si>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</si>
  <si>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</si>
  <si>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</si>
  <si>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</si>
  <si>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</si>
  <si>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</si>
  <si>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</si>
  <si>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</si>
  <si>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</si>
  <si>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</si>
  <si>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</si>
  <si>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</si>
  <si>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</si>
  <si>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</si>
  <si>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</si>
  <si>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</si>
  <si>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</si>
  <si>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</si>
  <si>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</si>
  <si>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</si>
  <si>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</si>
  <si>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</si>
  <si>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</si>
  <si>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</si>
  <si>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</si>
  <si>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</si>
  <si>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</si>
  <si>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</si>
  <si>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</si>
  <si>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</si>
  <si>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</si>
  <si>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</si>
  <si>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</si>
  <si>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</si>
  <si>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</si>
  <si>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</si>
  <si>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</si>
  <si>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</si>
  <si>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</si>
  <si>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</si>
  <si>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</si>
  <si>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</si>
  <si>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</si>
  <si>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</si>
  <si>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</si>
  <si>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</si>
  <si>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</si>
  <si>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</si>
  <si>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</si>
  <si>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</si>
  <si>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</si>
  <si>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</si>
  <si>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</si>
  <si>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</si>
  <si>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</si>
  <si>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</si>
  <si>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</si>
  <si>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</si>
  <si>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</si>
  <si>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</si>
  <si>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</si>
  <si>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</si>
  <si>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</si>
  <si>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</si>
  <si>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</si>
  <si>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</si>
  <si>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</si>
  <si>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</si>
  <si>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</si>
  <si>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</si>
  <si>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</si>
  <si>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</si>
  <si>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</si>
  <si>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</si>
  <si>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</si>
  <si>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</si>
  <si>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</si>
  <si>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</si>
  <si>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</si>
  <si>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</si>
  <si>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</si>
  <si>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</si>
  <si>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</si>
  <si>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</si>
  <si>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</si>
  <si>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</si>
  <si>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</si>
  <si>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</si>
  <si>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</si>
  <si>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</si>
  <si>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</si>
  <si>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</si>
  <si>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</si>
  <si>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</si>
  <si>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</si>
  <si>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</si>
  <si>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</si>
  <si>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</si>
  <si>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</si>
  <si>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</si>
  <si>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</si>
  <si>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</si>
  <si>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</si>
  <si>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</si>
  <si>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</si>
  <si>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</si>
  <si>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</si>
  <si>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</si>
  <si>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</si>
  <si>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</si>
  <si>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</si>
  <si>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</si>
  <si>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</si>
  <si>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</si>
  <si>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</si>
  <si>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</si>
  <si>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</si>
  <si>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</si>
  <si>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</si>
  <si>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</si>
  <si>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</si>
  <si>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</si>
  <si>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</si>
  <si>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</si>
  <si>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</si>
  <si>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</si>
  <si>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</si>
  <si>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</si>
  <si>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</si>
  <si>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</si>
  <si>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</si>
  <si>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</si>
  <si>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</si>
  <si>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</si>
  <si>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</si>
  <si>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</si>
  <si>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</si>
  <si>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</si>
  <si>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</si>
  <si>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</si>
  <si>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</si>
  <si>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</si>
  <si>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</si>
  <si>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</si>
  <si>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</si>
  <si>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</si>
  <si>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</si>
  <si>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</si>
  <si>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</si>
  <si>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</si>
  <si>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</si>
  <si>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</si>
  <si>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</si>
  <si>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</si>
  <si>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</si>
  <si>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</si>
  <si>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</si>
  <si>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</si>
  <si>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</si>
  <si>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</si>
  <si>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</si>
  <si>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</si>
  <si>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</si>
  <si>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</si>
  <si>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</si>
  <si>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</si>
  <si>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</si>
  <si>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</si>
  <si>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</si>
  <si>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</si>
  <si>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</si>
  <si>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</si>
  <si>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</si>
  <si>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</si>
  <si>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</si>
  <si>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</si>
  <si>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</si>
  <si>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</si>
  <si>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</si>
  <si>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</si>
  <si>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</si>
  <si>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</si>
  <si>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</si>
  <si>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</si>
  <si>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</si>
  <si>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</si>
  <si>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</si>
  <si>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</si>
  <si>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</si>
  <si>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</si>
  <si>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</si>
  <si>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</si>
  <si>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</si>
  <si>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</si>
  <si>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</si>
  <si>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</si>
  <si>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</si>
  <si>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</si>
  <si>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</si>
  <si>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</si>
  <si>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</si>
  <si>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</si>
  <si>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</si>
  <si>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</si>
  <si>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</si>
  <si>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</si>
  <si>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</si>
  <si>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</si>
  <si>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</si>
  <si>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</si>
  <si>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</si>
  <si>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</si>
  <si>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</si>
  <si>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</si>
  <si>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</si>
  <si>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</si>
  <si>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</si>
  <si>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</si>
  <si>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</si>
  <si>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</si>
  <si>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</si>
  <si>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</si>
  <si>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</si>
  <si>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</si>
  <si>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</si>
  <si>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</si>
  <si>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</si>
  <si>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</si>
  <si>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</si>
  <si>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</si>
  <si>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</si>
  <si>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</si>
  <si>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</si>
  <si>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</si>
  <si>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</si>
  <si>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</si>
  <si>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</si>
  <si>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</si>
  <si>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</si>
  <si>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</si>
  <si>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</si>
  <si>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</si>
  <si>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</si>
  <si>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</si>
  <si>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</si>
  <si>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</si>
  <si>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</si>
  <si>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</si>
  <si>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</si>
  <si>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</si>
  <si>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</si>
  <si>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</si>
  <si>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</si>
  <si>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</si>
  <si>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</si>
  <si>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</si>
  <si>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</si>
  <si>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</si>
  <si>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</si>
  <si>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</si>
  <si>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</si>
  <si>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</si>
  <si>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</si>
  <si>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</si>
  <si>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</si>
  <si>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</si>
  <si>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</si>
  <si>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</si>
  <si>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</si>
  <si>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</si>
  <si>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</si>
  <si>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</si>
  <si>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</si>
  <si>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</si>
  <si>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</si>
  <si>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</si>
  <si>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</si>
  <si>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</si>
  <si>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</si>
  <si>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</si>
  <si>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</si>
  <si>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</si>
  <si>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</si>
  <si>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</si>
  <si>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</si>
  <si>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</si>
  <si>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</si>
  <si>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</si>
  <si>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</si>
  <si>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</si>
  <si>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</si>
  <si>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</si>
  <si>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</si>
  <si>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</si>
  <si>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</si>
  <si>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</si>
  <si>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</si>
  <si>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</si>
  <si>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</si>
  <si>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</si>
  <si>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</si>
  <si>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</si>
  <si>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</si>
  <si>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</si>
  <si>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</si>
  <si>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</si>
  <si>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</si>
  <si>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</si>
  <si>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</si>
  <si>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</si>
  <si>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</si>
  <si>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</si>
  <si>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</si>
  <si>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</si>
  <si>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</si>
  <si>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</si>
  <si>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</si>
  <si>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</si>
  <si>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</si>
  <si>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</si>
  <si>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</si>
  <si>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</si>
  <si>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</si>
  <si>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</si>
  <si>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</si>
  <si>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</si>
  <si>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</si>
  <si>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</si>
  <si>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</si>
  <si>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</si>
  <si>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</si>
  <si>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</si>
  <si>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</si>
  <si>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</si>
  <si>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</si>
  <si>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</si>
  <si>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</si>
  <si>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</si>
  <si>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</si>
  <si>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</si>
  <si>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</si>
  <si>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</si>
  <si>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</si>
  <si>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</si>
  <si>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</si>
  <si>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</si>
  <si>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</si>
  <si>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</si>
  <si>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</si>
  <si>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</si>
  <si>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</si>
  <si>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</si>
  <si>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</si>
  <si>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</si>
  <si>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</si>
  <si>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</si>
  <si>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</si>
  <si>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</si>
  <si>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</si>
  <si>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</si>
  <si>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</si>
  <si>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</si>
  <si>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</si>
  <si>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</si>
  <si>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</si>
  <si>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</si>
  <si>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</si>
  <si>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</si>
  <si>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</si>
  <si>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</si>
  <si>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</si>
  <si>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</si>
  <si>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</si>
  <si>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</si>
  <si>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</si>
  <si>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</si>
  <si>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</si>
  <si>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</si>
  <si>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</si>
  <si>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</si>
  <si>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</si>
  <si>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</si>
  <si>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</si>
  <si>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</si>
  <si>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</si>
  <si>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</si>
  <si>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</si>
  <si>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</si>
  <si>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</si>
  <si>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</si>
  <si>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</si>
  <si>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</si>
  <si>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</si>
  <si>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</si>
  <si>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</si>
  <si>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</si>
  <si>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</si>
  <si>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</si>
  <si>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</si>
  <si>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</si>
  <si>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</si>
  <si>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</si>
  <si>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</si>
  <si>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</si>
  <si>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</si>
  <si>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</si>
  <si>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</si>
  <si>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</si>
  <si>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</si>
  <si>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</si>
  <si>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</si>
  <si>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</si>
  <si>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</si>
  <si>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</si>
  <si>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</si>
  <si>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</si>
  <si>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</si>
  <si>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</si>
  <si>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</si>
  <si>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</si>
  <si>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</si>
  <si>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</si>
  <si>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</si>
  <si>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</si>
  <si>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</si>
  <si>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</si>
  <si>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</si>
  <si>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</si>
  <si>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</si>
  <si>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</si>
  <si>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</si>
  <si>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</si>
  <si>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</si>
  <si>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</si>
  <si>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</si>
  <si>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</si>
  <si>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</si>
  <si>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</si>
  <si>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</si>
  <si>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</si>
  <si>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</si>
  <si>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</si>
  <si>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</si>
  <si>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</si>
  <si>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</si>
  <si>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</si>
  <si>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</si>
  <si>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</si>
  <si>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</si>
  <si>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</si>
  <si>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</si>
  <si>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</si>
  <si>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</si>
  <si>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</si>
  <si>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</si>
  <si>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</si>
  <si>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</si>
  <si>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</si>
  <si>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</si>
  <si>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</si>
  <si>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</si>
  <si>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</si>
  <si>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</si>
  <si>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</si>
  <si>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</si>
  <si>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</si>
  <si>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</si>
  <si>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</si>
  <si>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</si>
  <si>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</si>
  <si>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</si>
  <si>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</si>
  <si>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</si>
  <si>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</si>
  <si>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</si>
  <si>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</si>
  <si>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</si>
  <si>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</si>
  <si>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</si>
  <si>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</si>
  <si>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</si>
  <si>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</si>
  <si>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</si>
  <si>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</si>
  <si>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</si>
  <si>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</si>
  <si>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</si>
  <si>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</si>
  <si>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</si>
  <si>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</si>
  <si>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</si>
  <si>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</si>
  <si>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</si>
  <si>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</si>
  <si>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</si>
  <si>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</si>
  <si>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</si>
  <si>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</si>
  <si>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</si>
  <si>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</si>
  <si>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</si>
  <si>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</si>
  <si>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</si>
  <si>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</si>
  <si>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</si>
  <si>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</si>
  <si>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</si>
  <si>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</si>
  <si>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</si>
  <si>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</si>
  <si>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</si>
  <si>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</si>
  <si>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</si>
  <si>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</si>
  <si>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</si>
  <si>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</si>
  <si>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</si>
  <si>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</si>
  <si>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</si>
  <si>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</si>
  <si>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</si>
  <si>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</si>
  <si>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</si>
  <si>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</si>
  <si>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</si>
  <si>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</si>
  <si>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</si>
  <si>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</si>
  <si>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</si>
  <si>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</si>
  <si>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</si>
  <si>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</si>
  <si>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</si>
  <si>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</si>
  <si>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</si>
  <si>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</si>
  <si>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</si>
  <si>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</si>
  <si>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</si>
  <si>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</si>
  <si>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</si>
  <si>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</si>
  <si>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</si>
  <si>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</si>
  <si>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</si>
  <si>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</si>
  <si>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</si>
  <si>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</si>
  <si>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</si>
  <si>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</si>
  <si>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</si>
  <si>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</si>
  <si>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</si>
  <si>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</si>
  <si>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</si>
  <si>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</si>
  <si>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</si>
  <si>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</si>
  <si>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</si>
  <si>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</si>
  <si>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</si>
  <si>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</si>
  <si>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</si>
  <si>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</si>
  <si>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</si>
  <si>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</si>
  <si>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</si>
  <si>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</si>
  <si>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</si>
  <si>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</si>
  <si>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</si>
  <si>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</si>
  <si>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</si>
  <si>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</si>
  <si>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</si>
  <si>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</si>
  <si>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</si>
  <si>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</si>
  <si>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</si>
  <si>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</si>
  <si>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</si>
  <si>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</si>
  <si>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</si>
  <si>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</si>
  <si>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</si>
  <si>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</si>
  <si>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</si>
  <si>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</si>
  <si>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</si>
  <si>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</si>
  <si>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</si>
  <si>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</si>
  <si>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</si>
  <si>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</si>
  <si>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</si>
  <si>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</si>
  <si>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</si>
  <si>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</si>
  <si>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</si>
  <si>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</si>
  <si>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</si>
  <si>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</si>
  <si>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</si>
  <si>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</si>
  <si>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</si>
  <si>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</si>
  <si>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</si>
  <si>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</si>
  <si>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</si>
  <si>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</si>
  <si>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</si>
  <si>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</si>
  <si>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</si>
  <si>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</si>
  <si>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</si>
  <si>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</si>
  <si>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</si>
  <si>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</si>
  <si>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</si>
  <si>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</si>
  <si>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</si>
  <si>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</si>
  <si>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</si>
  <si>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</si>
  <si>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</si>
  <si>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</si>
  <si>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</si>
  <si>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</si>
  <si>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</si>
  <si>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</si>
  <si>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</si>
  <si>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</si>
  <si>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</si>
  <si>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</si>
  <si>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</si>
  <si>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</si>
  <si>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</si>
  <si>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</si>
  <si>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</si>
  <si>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</si>
  <si>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</si>
  <si>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</si>
  <si>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</si>
  <si>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</si>
  <si>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</si>
  <si>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</si>
  <si>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</si>
  <si>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</si>
  <si>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</si>
  <si>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</si>
  <si>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</si>
  <si>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</si>
  <si>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</si>
  <si>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</si>
  <si>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</si>
  <si>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</si>
  <si>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</si>
  <si>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</si>
  <si>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</si>
  <si>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</si>
  <si>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</si>
  <si>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</si>
  <si>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</si>
  <si>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</si>
  <si>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</si>
  <si>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</si>
  <si>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</si>
  <si>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</si>
  <si>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</si>
  <si>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</si>
  <si>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</si>
  <si>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</si>
  <si>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</si>
  <si>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</si>
  <si>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</si>
  <si>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</si>
  <si>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</si>
  <si>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</si>
  <si>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</si>
  <si>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</si>
  <si>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</si>
  <si>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</si>
  <si>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</si>
  <si>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</si>
  <si>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</si>
  <si>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</si>
  <si>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</si>
  <si>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</si>
  <si>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</si>
  <si>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</si>
  <si>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</si>
  <si>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</si>
  <si>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</si>
  <si>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</si>
  <si>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</si>
  <si>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</si>
  <si>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</si>
  <si>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</si>
  <si>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</si>
  <si>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</si>
  <si>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</si>
  <si>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</si>
  <si>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</si>
  <si>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</si>
  <si>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</si>
  <si>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</si>
  <si>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</si>
  <si>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</si>
  <si>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</si>
  <si>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</si>
  <si>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</si>
  <si>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</si>
  <si>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</si>
  <si>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</si>
  <si>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</si>
  <si>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</si>
  <si>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</si>
  <si>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</si>
  <si>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</si>
  <si>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</si>
  <si>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</si>
  <si>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企业</t>
  </si>
  <si>
    <t>北京市</t>
  </si>
  <si>
    <t>万元</t>
  </si>
  <si>
    <t>楼面单价</t>
  </si>
  <si>
    <t>办公</t>
  </si>
  <si>
    <t>无租约</t>
  </si>
  <si>
    <t>利息：取LPR加浮动点数</t>
  </si>
  <si>
    <t>否</t>
  </si>
  <si>
    <t>钢混</t>
  </si>
  <si>
    <t>非生产用房</t>
  </si>
  <si>
    <t>是</t>
  </si>
  <si>
    <t>比较法-办公</t>
  </si>
  <si>
    <t>收益法</t>
  </si>
  <si>
    <t>新盛大厦</t>
    <phoneticPr fontId="4" type="noConversion"/>
  </si>
  <si>
    <t>高区</t>
  </si>
  <si>
    <t>高区</t>
    <phoneticPr fontId="26" type="noConversion"/>
  </si>
  <si>
    <t>中区</t>
    <phoneticPr fontId="26" type="noConversion"/>
  </si>
  <si>
    <t>低区</t>
  </si>
  <si>
    <t>低区</t>
    <phoneticPr fontId="26" type="noConversion"/>
  </si>
  <si>
    <t>富凯大厦</t>
    <phoneticPr fontId="4" type="noConversion"/>
  </si>
  <si>
    <t>金融街中心</t>
    <phoneticPr fontId="4" type="noConversion"/>
  </si>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</sst>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118013</xdr:rowOff>
    </xdr:from>
    <xdr:to>
      <xdr:col>4</xdr:col>
      <xdr:colOff>276419</xdr:colOff>
      <xdr:row>19</xdr:row>
      <xdr:rowOff>66675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661063"/>
          <a:ext cx="3019619" cy="1663162"/>
        </a:xfrm>
        <a:prstGeom prst="rect">
          <a:avLst/>
        </a:prstGeom>
      </xdr:spPr>
    </xdr:pic>
    <xdr:clientData/>
  </xdr:twoCellAnchor>
  <xdr:twoCellAnchor editAs="oneCell">
    <xdr:from>
      <xdr:col>0</xdr:col>
      <xdr:colOff>171452</xdr:colOff>
      <xdr:row>19</xdr:row>
      <xdr:rowOff>76200</xdr:rowOff>
    </xdr:from>
    <xdr:to>
      <xdr:col>4</xdr:col>
      <xdr:colOff>362566</xdr:colOff>
      <xdr:row>28</xdr:row>
      <xdr:rowOff>152400</xdr:rowOff>
    </xdr:to>
    <xdr:pic>
      <xdr:nvPicPr>
        <xdr:cNvPr id="4" name="图片 3"/>
        <xdr:cNvPicPr>
          <a:picLocks noChangeAspect="1"/>
        </xdr:cNvPicPr>
      </xdr:nvPicPr>
      <xdr:blipFill>
        <a:blip xmlns:r="http://schemas.openxmlformats.org/officeDocument/2006/relationships" r:embed="rId2"/>
        <a:stretch>
          <a:fillRect/>
        </a:stretch>
      </xdr:blipFill>
      <xdr:spPr>
        <a:xfrm>
          <a:off x="171452" y="3333750"/>
          <a:ext cx="2934314" cy="1619250"/>
        </a:xfrm>
        <a:prstGeom prst="rect">
          <a:avLst/>
        </a:prstGeom>
      </xdr:spPr>
    </xdr:pic>
    <xdr:clientData/>
  </xdr:twoCellAnchor>
  <xdr:twoCellAnchor editAs="oneCell">
    <xdr:from>
      <xdr:col>4</xdr:col>
      <xdr:colOff>419101</xdr:colOff>
      <xdr:row>0</xdr:row>
      <xdr:rowOff>19050</xdr:rowOff>
    </xdr:from>
    <xdr:to>
      <xdr:col>7</xdr:col>
      <xdr:colOff>285750</xdr:colOff>
      <xdr:row>5</xdr:row>
      <xdr:rowOff>19509</xdr:rowOff>
    </xdr:to>
    <xdr:pic>
      <xdr:nvPicPr>
        <xdr:cNvPr id="5" name="图片 4"/>
        <xdr:cNvPicPr>
          <a:picLocks noChangeAspect="1"/>
        </xdr:cNvPicPr>
      </xdr:nvPicPr>
      <xdr:blipFill>
        <a:blip xmlns:r="http://schemas.openxmlformats.org/officeDocument/2006/relationships" r:embed="rId3"/>
        <a:stretch>
          <a:fillRect/>
        </a:stretch>
      </xdr:blipFill>
      <xdr:spPr>
        <a:xfrm>
          <a:off x="3162301" y="19050"/>
          <a:ext cx="1924049" cy="857709"/>
        </a:xfrm>
        <a:prstGeom prst="rect">
          <a:avLst/>
        </a:prstGeom>
      </xdr:spPr>
    </xdr:pic>
    <xdr:clientData/>
  </xdr:twoCellAnchor>
  <xdr:twoCellAnchor editAs="oneCell">
    <xdr:from>
      <xdr:col>7</xdr:col>
      <xdr:colOff>342900</xdr:colOff>
      <xdr:row>0</xdr:row>
      <xdr:rowOff>104776</xdr:rowOff>
    </xdr:from>
    <xdr:to>
      <xdr:col>10</xdr:col>
      <xdr:colOff>203033</xdr:colOff>
      <xdr:row>5</xdr:row>
      <xdr:rowOff>104776</xdr:rowOff>
    </xdr:to>
    <xdr:pic>
      <xdr:nvPicPr>
        <xdr:cNvPr id="6" name="图片 5"/>
        <xdr:cNvPicPr>
          <a:picLocks noChangeAspect="1"/>
        </xdr:cNvPicPr>
      </xdr:nvPicPr>
      <xdr:blipFill>
        <a:blip xmlns:r="http://schemas.openxmlformats.org/officeDocument/2006/relationships" r:embed="rId4"/>
        <a:stretch>
          <a:fillRect/>
        </a:stretch>
      </xdr:blipFill>
      <xdr:spPr>
        <a:xfrm>
          <a:off x="5143500" y="104776"/>
          <a:ext cx="1917533" cy="857250"/>
        </a:xfrm>
        <a:prstGeom prst="rect">
          <a:avLst/>
        </a:prstGeom>
      </xdr:spPr>
    </xdr:pic>
    <xdr:clientData/>
  </xdr:twoCellAnchor>
  <xdr:twoCellAnchor editAs="oneCell">
    <xdr:from>
      <xdr:col>4</xdr:col>
      <xdr:colOff>409576</xdr:colOff>
      <xdr:row>5</xdr:row>
      <xdr:rowOff>85726</xdr:rowOff>
    </xdr:from>
    <xdr:to>
      <xdr:col>7</xdr:col>
      <xdr:colOff>161926</xdr:colOff>
      <xdr:row>9</xdr:row>
      <xdr:rowOff>150310</xdr:rowOff>
    </xdr:to>
    <xdr:pic>
      <xdr:nvPicPr>
        <xdr:cNvPr id="7" name="图片 6"/>
        <xdr:cNvPicPr>
          <a:picLocks noChangeAspect="1"/>
        </xdr:cNvPicPr>
      </xdr:nvPicPr>
      <xdr:blipFill>
        <a:blip xmlns:r="http://schemas.openxmlformats.org/officeDocument/2006/relationships" r:embed="rId5"/>
        <a:stretch>
          <a:fillRect/>
        </a:stretch>
      </xdr:blipFill>
      <xdr:spPr>
        <a:xfrm>
          <a:off x="3152776" y="942976"/>
          <a:ext cx="1809750" cy="750384"/>
        </a:xfrm>
        <a:prstGeom prst="rect">
          <a:avLst/>
        </a:prstGeom>
      </xdr:spPr>
    </xdr:pic>
    <xdr:clientData/>
  </xdr:twoCellAnchor>
  <xdr:twoCellAnchor editAs="oneCell">
    <xdr:from>
      <xdr:col>7</xdr:col>
      <xdr:colOff>219076</xdr:colOff>
      <xdr:row>5</xdr:row>
      <xdr:rowOff>146829</xdr:rowOff>
    </xdr:from>
    <xdr:to>
      <xdr:col>9</xdr:col>
      <xdr:colOff>446832</xdr:colOff>
      <xdr:row>9</xdr:row>
      <xdr:rowOff>123825</xdr:rowOff>
    </xdr:to>
    <xdr:pic>
      <xdr:nvPicPr>
        <xdr:cNvPr id="8" name="图片 7"/>
        <xdr:cNvPicPr>
          <a:picLocks noChangeAspect="1"/>
        </xdr:cNvPicPr>
      </xdr:nvPicPr>
      <xdr:blipFill>
        <a:blip xmlns:r="http://schemas.openxmlformats.org/officeDocument/2006/relationships" r:embed="rId6"/>
        <a:stretch>
          <a:fillRect/>
        </a:stretch>
      </xdr:blipFill>
      <xdr:spPr>
        <a:xfrm>
          <a:off x="5019676" y="1004079"/>
          <a:ext cx="1599356" cy="662796"/>
        </a:xfrm>
        <a:prstGeom prst="rect">
          <a:avLst/>
        </a:prstGeom>
      </xdr:spPr>
    </xdr:pic>
    <xdr:clientData/>
  </xdr:twoCellAnchor>
  <xdr:twoCellAnchor editAs="oneCell">
    <xdr:from>
      <xdr:col>4</xdr:col>
      <xdr:colOff>342900</xdr:colOff>
      <xdr:row>9</xdr:row>
      <xdr:rowOff>157245</xdr:rowOff>
    </xdr:from>
    <xdr:to>
      <xdr:col>6</xdr:col>
      <xdr:colOff>662861</xdr:colOff>
      <xdr:row>14</xdr:row>
      <xdr:rowOff>9525</xdr:rowOff>
    </xdr:to>
    <xdr:pic>
      <xdr:nvPicPr>
        <xdr:cNvPr id="9" name="图片 8"/>
        <xdr:cNvPicPr>
          <a:picLocks noChangeAspect="1"/>
        </xdr:cNvPicPr>
      </xdr:nvPicPr>
      <xdr:blipFill>
        <a:blip xmlns:r="http://schemas.openxmlformats.org/officeDocument/2006/relationships" r:embed="rId7"/>
        <a:stretch>
          <a:fillRect/>
        </a:stretch>
      </xdr:blipFill>
      <xdr:spPr>
        <a:xfrm>
          <a:off x="3086100" y="1700295"/>
          <a:ext cx="1691561" cy="709530"/>
        </a:xfrm>
        <a:prstGeom prst="rect">
          <a:avLst/>
        </a:prstGeom>
      </xdr:spPr>
    </xdr:pic>
    <xdr:clientData/>
  </xdr:twoCellAnchor>
  <xdr:twoCellAnchor editAs="oneCell">
    <xdr:from>
      <xdr:col>7</xdr:col>
      <xdr:colOff>28576</xdr:colOff>
      <xdr:row>10</xdr:row>
      <xdr:rowOff>0</xdr:rowOff>
    </xdr:from>
    <xdr:to>
      <xdr:col>9</xdr:col>
      <xdr:colOff>409576</xdr:colOff>
      <xdr:row>14</xdr:row>
      <xdr:rowOff>48470</xdr:rowOff>
    </xdr:to>
    <xdr:pic>
      <xdr:nvPicPr>
        <xdr:cNvPr id="10" name="图片 9"/>
        <xdr:cNvPicPr>
          <a:picLocks noChangeAspect="1"/>
        </xdr:cNvPicPr>
      </xdr:nvPicPr>
      <xdr:blipFill>
        <a:blip xmlns:r="http://schemas.openxmlformats.org/officeDocument/2006/relationships" r:embed="rId8"/>
        <a:stretch>
          <a:fillRect/>
        </a:stretch>
      </xdr:blipFill>
      <xdr:spPr>
        <a:xfrm>
          <a:off x="4829176" y="1714500"/>
          <a:ext cx="1752600" cy="734270"/>
        </a:xfrm>
        <a:prstGeom prst="rect">
          <a:avLst/>
        </a:prstGeom>
      </xdr:spPr>
    </xdr:pic>
    <xdr:clientData/>
  </xdr:twoCellAnchor>
  <xdr:twoCellAnchor editAs="oneCell">
    <xdr:from>
      <xdr:col>4</xdr:col>
      <xdr:colOff>352427</xdr:colOff>
      <xdr:row>14</xdr:row>
      <xdr:rowOff>13433</xdr:rowOff>
    </xdr:from>
    <xdr:to>
      <xdr:col>7</xdr:col>
      <xdr:colOff>128471</xdr:colOff>
      <xdr:row>18</xdr:row>
      <xdr:rowOff>95250</xdr:rowOff>
    </xdr:to>
    <xdr:pic>
      <xdr:nvPicPr>
        <xdr:cNvPr id="11" name="图片 10"/>
        <xdr:cNvPicPr>
          <a:picLocks noChangeAspect="1"/>
        </xdr:cNvPicPr>
      </xdr:nvPicPr>
      <xdr:blipFill>
        <a:blip xmlns:r="http://schemas.openxmlformats.org/officeDocument/2006/relationships" r:embed="rId9"/>
        <a:stretch>
          <a:fillRect/>
        </a:stretch>
      </xdr:blipFill>
      <xdr:spPr>
        <a:xfrm>
          <a:off x="3095627" y="2413733"/>
          <a:ext cx="1833444" cy="767617"/>
        </a:xfrm>
        <a:prstGeom prst="rect">
          <a:avLst/>
        </a:prstGeom>
      </xdr:spPr>
    </xdr:pic>
    <xdr:clientData/>
  </xdr:twoCellAnchor>
  <xdr:twoCellAnchor editAs="oneCell">
    <xdr:from>
      <xdr:col>7</xdr:col>
      <xdr:colOff>95251</xdr:colOff>
      <xdr:row>14</xdr:row>
      <xdr:rowOff>38100</xdr:rowOff>
    </xdr:from>
    <xdr:to>
      <xdr:col>9</xdr:col>
      <xdr:colOff>314326</xdr:colOff>
      <xdr:row>18</xdr:row>
      <xdr:rowOff>28575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4895851" y="2438400"/>
          <a:ext cx="1590675" cy="676275"/>
        </a:xfrm>
        <a:prstGeom prst="rect">
          <a:avLst/>
        </a:prstGeom>
      </xdr:spPr>
    </xdr:pic>
    <xdr:clientData/>
  </xdr:twoCellAnchor>
  <xdr:twoCellAnchor editAs="oneCell">
    <xdr:from>
      <xdr:col>0</xdr:col>
      <xdr:colOff>28575</xdr:colOff>
      <xdr:row>28</xdr:row>
      <xdr:rowOff>139564</xdr:rowOff>
    </xdr:from>
    <xdr:to>
      <xdr:col>3</xdr:col>
      <xdr:colOff>304800</xdr:colOff>
      <xdr:row>41</xdr:row>
      <xdr:rowOff>9016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28575" y="4940164"/>
          <a:ext cx="2333625" cy="2098302"/>
        </a:xfrm>
        <a:prstGeom prst="rect">
          <a:avLst/>
        </a:prstGeom>
      </xdr:spPr>
    </xdr:pic>
    <xdr:clientData/>
  </xdr:twoCellAnchor>
  <xdr:twoCellAnchor editAs="oneCell">
    <xdr:from>
      <xdr:col>3</xdr:col>
      <xdr:colOff>361949</xdr:colOff>
      <xdr:row>28</xdr:row>
      <xdr:rowOff>156609</xdr:rowOff>
    </xdr:from>
    <xdr:to>
      <xdr:col>6</xdr:col>
      <xdr:colOff>637590</xdr:colOff>
      <xdr:row>40</xdr:row>
      <xdr:rowOff>161408</xdr:rowOff>
    </xdr:to>
    <xdr:pic>
      <xdr:nvPicPr>
        <xdr:cNvPr id="14" name="图片 13"/>
        <xdr:cNvPicPr>
          <a:picLocks noChangeAspect="1"/>
        </xdr:cNvPicPr>
      </xdr:nvPicPr>
      <xdr:blipFill>
        <a:blip xmlns:r="http://schemas.openxmlformats.org/officeDocument/2006/relationships" r:embed="rId12"/>
        <a:stretch>
          <a:fillRect/>
        </a:stretch>
      </xdr:blipFill>
      <xdr:spPr>
        <a:xfrm>
          <a:off x="2419349" y="4957209"/>
          <a:ext cx="2333041" cy="2062199"/>
        </a:xfrm>
        <a:prstGeom prst="rect">
          <a:avLst/>
        </a:prstGeom>
      </xdr:spPr>
    </xdr:pic>
    <xdr:clientData/>
  </xdr:twoCellAnchor>
  <xdr:twoCellAnchor editAs="oneCell">
    <xdr:from>
      <xdr:col>0</xdr:col>
      <xdr:colOff>66675</xdr:colOff>
      <xdr:row>41</xdr:row>
      <xdr:rowOff>63264</xdr:rowOff>
    </xdr:from>
    <xdr:to>
      <xdr:col>3</xdr:col>
      <xdr:colOff>209550</xdr:colOff>
      <xdr:row>53</xdr:row>
      <xdr:rowOff>75653</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6675" y="7092714"/>
          <a:ext cx="2200275" cy="2069789"/>
        </a:xfrm>
        <a:prstGeom prst="rect">
          <a:avLst/>
        </a:prstGeom>
      </xdr:spPr>
    </xdr:pic>
    <xdr:clientData/>
  </xdr:twoCellAnchor>
  <xdr:twoCellAnchor editAs="oneCell">
    <xdr:from>
      <xdr:col>0</xdr:col>
      <xdr:colOff>0</xdr:colOff>
      <xdr:row>0</xdr:row>
      <xdr:rowOff>0</xdr:rowOff>
    </xdr:from>
    <xdr:to>
      <xdr:col>4</xdr:col>
      <xdr:colOff>218705</xdr:colOff>
      <xdr:row>9</xdr:row>
      <xdr:rowOff>56950</xdr:rowOff>
    </xdr:to>
    <xdr:pic>
      <xdr:nvPicPr>
        <xdr:cNvPr id="17" name="图片 16"/>
        <xdr:cNvPicPr>
          <a:picLocks noChangeAspect="1"/>
        </xdr:cNvPicPr>
      </xdr:nvPicPr>
      <xdr:blipFill>
        <a:blip xmlns:r="http://schemas.openxmlformats.org/officeDocument/2006/relationships" r:embed="rId14"/>
        <a:stretch>
          <a:fillRect/>
        </a:stretch>
      </xdr:blipFill>
      <xdr:spPr>
        <a:xfrm>
          <a:off x="0" y="0"/>
          <a:ext cx="2961905" cy="1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估价对象为北京市房地产，为XX所有。根据《》[]，估价对象建筑面积为2128.59平方米。根据《》[]，估价对象（分摊）出让国有建设用地使用权面积为平方米。估价对象用途为。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2023年2月28日</v>
      </c>
    </row>
    <row r="10" spans="1:2">
      <c r="A10" s="1139" t="s">
        <v>865</v>
      </c>
      <c r="B10" s="1126" t="str">
        <f>'预评函-1'!A13</f>
        <v>本次估价的“房地产价值”是指在正常市场情况下，在价值时点2023年2月28日，估价对象规划用途为，假定未设立法定优先受偿款下的房地产市场价值。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2128.59</v>
      </c>
    </row>
    <row r="19" spans="1:2">
      <c r="A19" s="1139" t="s">
        <v>874</v>
      </c>
      <c r="B19" s="1126">
        <f ca="1">'预评函-2（1）'!D7</f>
        <v>15100</v>
      </c>
    </row>
    <row r="20" spans="1:2">
      <c r="A20" s="1139" t="s">
        <v>912</v>
      </c>
      <c r="B20" s="1126" t="str">
        <f>'预评函-2（1）'!C7</f>
        <v>总价（万元）</v>
      </c>
    </row>
    <row r="21" spans="1:2">
      <c r="A21" s="1139" t="s">
        <v>875</v>
      </c>
      <c r="B21" s="1126">
        <f ca="1">'预评函-2（1）'!D9</f>
        <v>70941</v>
      </c>
    </row>
    <row r="22" spans="1:2">
      <c r="A22" s="1139" t="s">
        <v>876</v>
      </c>
      <c r="B22" s="1126" t="str">
        <f ca="1">'预评函-2（1）'!D8</f>
        <v>壹亿伍仟壹佰万元整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15100</v>
      </c>
    </row>
    <row r="30" spans="1:2">
      <c r="A30" s="1139" t="s">
        <v>882</v>
      </c>
      <c r="B30" s="1126" t="str">
        <f ca="1">'预评函-2（1）'!D16</f>
        <v>壹亿伍仟壹佰万元整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13621</v>
      </c>
    </row>
    <row r="38" spans="1:2">
      <c r="A38" s="1139" t="s">
        <v>890</v>
      </c>
      <c r="B38" s="1126">
        <f ca="1">'预评函-2（2）'!E4</f>
        <v>63989</v>
      </c>
    </row>
    <row r="39" spans="1:2">
      <c r="A39" s="1139" t="s">
        <v>891</v>
      </c>
      <c r="B39" s="1126" t="str">
        <f ca="1">'预评函-2（2）'!D5</f>
        <v>壹亿叁仟陆佰贰拾壹万元整</v>
      </c>
    </row>
    <row r="40" spans="1:2">
      <c r="A40" s="1139" t="s">
        <v>892</v>
      </c>
      <c r="B40" s="1126">
        <f ca="1">'预评函-2（2）'!F4</f>
        <v>1480</v>
      </c>
    </row>
    <row r="41" spans="1:2">
      <c r="A41" s="1139" t="s">
        <v>893</v>
      </c>
      <c r="B41" s="1126">
        <f ca="1">'预评函-2（2）'!G4</f>
        <v>6952</v>
      </c>
    </row>
    <row r="42" spans="1:2" s="1136" customFormat="1" ht="15.75" thickBot="1">
      <c r="A42" s="1140" t="s">
        <v>894</v>
      </c>
      <c r="B42" s="1128" t="str">
        <f ca="1">'预评函-2（2）'!F5</f>
        <v>壹仟肆佰捌拾万元整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70941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44985</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3032</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名称</v>
      </c>
      <c r="D7" s="1366" t="s">
        <v>2480</v>
      </c>
      <c r="E7" s="783"/>
      <c r="F7" s="783"/>
      <c r="G7" s="1122"/>
    </row>
    <row r="8" spans="1:17" ht="13.5" thickTop="1">
      <c r="A8" s="3377" t="s">
        <v>1301</v>
      </c>
      <c r="B8" s="1367" t="s">
        <v>1302</v>
      </c>
      <c r="C8" s="3390"/>
      <c r="D8" s="3391"/>
      <c r="E8" s="2519" t="s">
        <v>1303</v>
      </c>
      <c r="F8" s="2520" t="s">
        <v>1304</v>
      </c>
      <c r="G8" s="2521" t="str">
        <f>C6</f>
        <v>XX</v>
      </c>
    </row>
    <row r="9" spans="1:17">
      <c r="A9" s="3377"/>
      <c r="B9" s="259" t="s">
        <v>1305</v>
      </c>
      <c r="C9" s="1359"/>
      <c r="D9" s="1368"/>
      <c r="E9" s="2815" t="s">
        <v>1306</v>
      </c>
      <c r="F9" s="2522"/>
      <c r="G9" s="2523"/>
    </row>
    <row r="10" spans="1:17" ht="13.5" thickBot="1">
      <c r="A10" s="3377"/>
      <c r="B10" s="259" t="s">
        <v>1307</v>
      </c>
      <c r="C10" s="3392"/>
      <c r="D10" s="3393"/>
      <c r="E10" s="2816" t="s">
        <v>1308</v>
      </c>
      <c r="F10" s="2524"/>
      <c r="G10" s="2525"/>
    </row>
    <row r="11" spans="1:17" ht="13.5" thickBot="1">
      <c r="A11" s="3377"/>
      <c r="B11" s="1370" t="s">
        <v>1309</v>
      </c>
      <c r="C11" s="3394"/>
      <c r="D11" s="3395"/>
      <c r="E11" s="769"/>
      <c r="F11" s="769"/>
      <c r="G11" s="788"/>
    </row>
    <row r="12" spans="1:17" ht="13.5" thickBot="1">
      <c r="A12" s="3381" t="s">
        <v>2587</v>
      </c>
      <c r="B12" s="2817" t="s">
        <v>1310</v>
      </c>
      <c r="C12" s="766">
        <v>2128.59</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2586</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13.5" thickBot="1">
      <c r="A37" s="762" t="s">
        <v>1356</v>
      </c>
      <c r="B37" s="756"/>
      <c r="C37" s="3388" t="s">
        <v>1357</v>
      </c>
      <c r="D37" s="3389"/>
      <c r="E37" s="760"/>
      <c r="F37" s="1391" t="s">
        <v>1358</v>
      </c>
      <c r="G37" s="756"/>
    </row>
    <row r="38" spans="1:7" ht="13.5"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D57" sqref="D5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44985</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3"/>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2128.59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55862</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29.8</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5500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11707245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2008</v>
      </c>
      <c r="C27" s="1613"/>
      <c r="D27" s="3074" t="s">
        <v>3037</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3036</v>
      </c>
      <c r="D29" s="2853" t="s">
        <v>1423</v>
      </c>
      <c r="E29" s="2872">
        <f>E30+E31</f>
        <v>5.6000000000000001E-2</v>
      </c>
      <c r="F29" s="1238"/>
      <c r="G29" s="2887"/>
      <c r="H29" s="2887"/>
      <c r="K29" s="1613"/>
      <c r="N29" s="1613"/>
    </row>
    <row r="30" spans="1:41" ht="14.25">
      <c r="A30" s="2848" t="str">
        <f>IF(B29="租赁期内按合同租金","合同租金","市场租金")</f>
        <v>市场租金</v>
      </c>
      <c r="B30" s="2588">
        <v>12</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29.8</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24</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220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v>24</v>
      </c>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2128.59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44985</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15100</v>
      </c>
      <c r="C5" s="2499">
        <f ca="1">ROUND(B5*10000/$B$1,0)</f>
        <v>70939</v>
      </c>
      <c r="D5" s="2499" t="e">
        <f ca="1">ROUND(B5*10000/$B$2,0)</f>
        <v>#DIV/0!</v>
      </c>
      <c r="E5" s="1562"/>
      <c r="F5" s="2500"/>
      <c r="G5" s="2500"/>
    </row>
    <row r="6" spans="1:9" ht="16.5">
      <c r="A6" s="2499" t="s">
        <v>981</v>
      </c>
      <c r="B6" s="2499">
        <f ca="1">SUM(G14:G23)</f>
        <v>15100</v>
      </c>
      <c r="C6" s="2499">
        <f t="shared" ref="C6:C8" ca="1" si="0">ROUND(B6*10000/$B$1,0)</f>
        <v>70939</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2128.59</v>
      </c>
      <c r="C14" s="2835">
        <f>项目基本情况!C13</f>
        <v>0</v>
      </c>
      <c r="D14" s="2835">
        <f ca="1">IF('数据-取费表'!B3="万元",IF(A14="估价对象1（结果表）",结果表!H121,'结果表 (1修多)'!H125),IF(A14="估价对象1（结果表）",结果表!H121,'结果表 (1修多)'!H125)/10000)</f>
        <v>15100</v>
      </c>
      <c r="E14" s="2835">
        <f ca="1">ROUND(D14*10000/B14,0)</f>
        <v>70939</v>
      </c>
      <c r="F14" s="2835" t="e">
        <f ca="1">ROUND(D14*10000/C14,0)</f>
        <v>#DIV/0!</v>
      </c>
      <c r="G14" s="2835">
        <f ca="1">IF('数据-取费表'!B3="万元",IF(A14="估价对象1（结果表）",结果表!D125,'结果表 (1修多)'!D129),IF(A14="估价对象1（结果表）",结果表!D125,'结果表 (1修多)'!D129)/10000)</f>
        <v>15100</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北京市预评估</v>
      </c>
      <c r="B2" s="3487"/>
      <c r="C2" s="3487"/>
      <c r="D2" s="3487"/>
      <c r="E2" s="3487"/>
      <c r="F2" s="3487"/>
      <c r="G2" s="3487"/>
      <c r="H2" s="3487"/>
      <c r="I2" s="3487"/>
      <c r="J2" s="2762"/>
    </row>
    <row r="3" spans="1:15" ht="12.75">
      <c r="A3" s="3492" t="s">
        <v>1471</v>
      </c>
      <c r="B3" s="3493"/>
      <c r="C3" s="3493"/>
      <c r="D3" s="3493"/>
      <c r="E3" s="3493"/>
      <c r="F3" s="3493"/>
      <c r="G3" s="3493"/>
      <c r="H3" s="3493"/>
      <c r="I3" s="3493"/>
      <c r="J3" s="2763"/>
    </row>
    <row r="4" spans="1:15" ht="14.25">
      <c r="A4" s="2631" t="s">
        <v>1472</v>
      </c>
      <c r="B4" s="2631" t="s">
        <v>1473</v>
      </c>
      <c r="C4" s="2632" t="s">
        <v>3042</v>
      </c>
      <c r="D4" s="2632" t="s">
        <v>3043</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v>5</v>
      </c>
      <c r="D14" s="3491">
        <v>5</v>
      </c>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8" t="s">
        <v>2576</v>
      </c>
      <c r="F18" s="3509"/>
      <c r="G18" s="3509"/>
      <c r="H18" s="3509"/>
      <c r="I18" s="3509"/>
      <c r="J18" s="2765"/>
    </row>
    <row r="19" spans="1:36" ht="15">
      <c r="A19" s="2638" t="s">
        <v>1494</v>
      </c>
      <c r="B19" s="2639" t="s">
        <v>1495</v>
      </c>
      <c r="C19" s="2640">
        <f ca="1">SUMIF(INDIRECT("'"&amp;C4&amp;"'"&amp;"!A:A"),结果表!B19,INDIRECT("'"&amp;C4&amp;"'"&amp;"!B:B"))</f>
        <v>16481</v>
      </c>
      <c r="D19" s="2641">
        <f ca="1">SUMIF(INDIRECT("'"&amp;D4&amp;"'"&amp;"!A:A"),结果表!B19,INDIRECT("'"&amp;D4&amp;"'"&amp;"!B:B"))</f>
        <v>13720</v>
      </c>
      <c r="E19" s="2638" t="s">
        <v>1496</v>
      </c>
      <c r="F19" s="2639" t="s">
        <v>1495</v>
      </c>
      <c r="G19" s="2642">
        <f ca="1">ROUND(C19*$C$18+D19*$D$18,0)</f>
        <v>15101</v>
      </c>
      <c r="H19" s="2643" t="str">
        <f>'数据-取费表'!B3</f>
        <v>万元</v>
      </c>
      <c r="I19" s="2691"/>
      <c r="J19" s="2766"/>
    </row>
    <row r="20" spans="1:36" ht="15">
      <c r="A20" s="2644"/>
      <c r="B20" s="1622" t="s">
        <v>1497</v>
      </c>
      <c r="C20" s="1847">
        <f ca="1">SUMIF(INDIRECT("'"&amp;C4&amp;"'"&amp;"!A:A"),结果表!B20,INDIRECT("'"&amp;C4&amp;"'"&amp;"!B:B"))</f>
        <v>77426</v>
      </c>
      <c r="D20" s="1850">
        <f ca="1">SUMIF(INDIRECT("'"&amp;D4&amp;"'"&amp;"!A:A"),结果表!B20,INDIRECT("'"&amp;D4&amp;"'"&amp;"!B:B"))</f>
        <v>64455</v>
      </c>
      <c r="E20" s="2644"/>
      <c r="F20" s="1622" t="s">
        <v>1497</v>
      </c>
      <c r="G20" s="2021">
        <f ca="1">ROUND(C20*$C$18+D20*$D$18,0)</f>
        <v>70941</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0.20123906705539363</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70941</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63989</v>
      </c>
      <c r="D34" s="2668">
        <f ca="1">IF(D33="自定义",ROUND(C34/C32,3),1-D35)</f>
        <v>0.90200000000000002</v>
      </c>
      <c r="E34" s="1363" t="s">
        <v>1510</v>
      </c>
      <c r="F34" s="2669">
        <v>2000</v>
      </c>
      <c r="G34" s="905"/>
      <c r="H34" s="905"/>
      <c r="I34" s="905"/>
      <c r="J34" s="2765"/>
    </row>
    <row r="35" spans="1:17" ht="15.75" thickBot="1">
      <c r="A35" s="1395"/>
      <c r="B35" s="2670" t="s">
        <v>1511</v>
      </c>
      <c r="C35" s="2671">
        <f ca="1">IF(D33="自定义",F35,ROUND(C32*D35,0))</f>
        <v>6952</v>
      </c>
      <c r="D35" s="2672">
        <f ca="1">IF(D33="自定义",ROUND(C35/C32,3),IF(D33="成本法成本比率",成本法!C56,IF(D33="收益法收益比率",收益法!J38,收益法!J41)))</f>
        <v>9.8000000000000004E-2</v>
      </c>
      <c r="E35" s="2673" t="s">
        <v>1512</v>
      </c>
      <c r="F35" s="2674">
        <v>4460</v>
      </c>
      <c r="G35" s="905"/>
      <c r="H35" s="905"/>
      <c r="I35" s="905"/>
      <c r="J35" s="2765"/>
    </row>
    <row r="36" spans="1:17" ht="15.75" thickBot="1">
      <c r="A36" s="3497" t="s">
        <v>1513</v>
      </c>
      <c r="B36" s="1396" t="s">
        <v>1514</v>
      </c>
      <c r="C36" s="2675">
        <v>0</v>
      </c>
      <c r="D36" s="2676"/>
      <c r="E36" s="1608"/>
      <c r="F36" s="1608"/>
      <c r="G36" s="905"/>
      <c r="H36" s="905"/>
      <c r="I36" s="905"/>
      <c r="J36" s="2765"/>
    </row>
    <row r="37" spans="1:17" ht="15.75" thickBot="1">
      <c r="A37" s="3502"/>
      <c r="B37" s="2022" t="s">
        <v>1515</v>
      </c>
      <c r="C37" s="2677">
        <v>0</v>
      </c>
      <c r="D37" s="1239"/>
      <c r="E37" s="1239"/>
      <c r="F37" s="1608"/>
      <c r="G37" s="1239"/>
      <c r="H37" s="1239"/>
      <c r="I37" s="1239"/>
      <c r="J37" s="2769"/>
    </row>
    <row r="38" spans="1:17" ht="15.75" thickBot="1">
      <c r="A38" s="350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2" t="s">
        <v>1524</v>
      </c>
      <c r="B45" s="3423"/>
      <c r="C45" s="3433"/>
      <c r="D45" s="246">
        <f ca="1">ROUND(I102*F45,0)</f>
        <v>15100</v>
      </c>
      <c r="E45" s="1470" t="s">
        <v>1525</v>
      </c>
      <c r="F45" s="2479">
        <v>1</v>
      </c>
      <c r="G45" s="2480" t="s">
        <v>1526</v>
      </c>
      <c r="H45" s="905"/>
      <c r="I45" s="905"/>
      <c r="J45" s="2765"/>
      <c r="K45" s="3428" t="s">
        <v>2505</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2506</v>
      </c>
      <c r="M46" s="3429"/>
      <c r="N46" s="3430" t="str">
        <f>项目基本情况!B1</f>
        <v>北京市预评估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2507</v>
      </c>
      <c r="M47" s="3429"/>
      <c r="N47" s="3431">
        <f>'数据-取费表'!B2</f>
        <v>44985</v>
      </c>
      <c r="O47" s="3431"/>
      <c r="P47" s="3431"/>
      <c r="Q47" s="1236"/>
    </row>
    <row r="48" spans="1:17" ht="25.5">
      <c r="A48" s="3504" t="s">
        <v>1536</v>
      </c>
      <c r="B48" s="3438"/>
      <c r="C48" s="3438"/>
      <c r="D48" s="12">
        <f ca="1">IF(H48="情况1",0,IF(H48="情况2",D52,IF(H48="情况3",D53,IF(H48="情况4",D54))))</f>
        <v>805</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9" t="s">
        <v>2508</v>
      </c>
      <c r="M48" s="3429"/>
      <c r="N48" s="3430">
        <f ca="1">I102</f>
        <v>15100</v>
      </c>
      <c r="O48" s="3430"/>
      <c r="P48" s="3430"/>
      <c r="Q48" s="1236"/>
    </row>
    <row r="49" spans="1:17" ht="25.5" customHeight="1">
      <c r="A49" s="2019" t="s">
        <v>1540</v>
      </c>
      <c r="B49" s="3477" t="s">
        <v>1541</v>
      </c>
      <c r="C49" s="3477"/>
      <c r="D49" s="2486">
        <v>0</v>
      </c>
      <c r="E49" s="261" t="s">
        <v>1542</v>
      </c>
      <c r="F49" s="2487" t="s">
        <v>48</v>
      </c>
      <c r="G49" s="3419"/>
      <c r="H49" s="2488" t="s">
        <v>2582</v>
      </c>
      <c r="I49" s="2489"/>
      <c r="J49" s="2773"/>
      <c r="K49" s="2454">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6"/>
    </row>
    <row r="50" spans="1:17" ht="25.5" customHeight="1">
      <c r="A50" s="2009"/>
      <c r="B50" s="3477" t="s">
        <v>1543</v>
      </c>
      <c r="C50" s="3477"/>
      <c r="D50" s="2490"/>
      <c r="E50" s="269"/>
      <c r="F50" s="2487"/>
      <c r="G50" s="3420"/>
      <c r="H50" s="2491" t="s">
        <v>2501</v>
      </c>
      <c r="I50" s="2489"/>
      <c r="J50" s="2773"/>
      <c r="K50" s="3429" t="s">
        <v>2509</v>
      </c>
      <c r="L50" s="3429"/>
      <c r="M50" s="3429"/>
      <c r="N50" s="3429"/>
      <c r="O50" s="3429"/>
      <c r="P50" s="3429"/>
      <c r="Q50" s="1236"/>
    </row>
    <row r="51" spans="1:17" ht="20.45" customHeight="1">
      <c r="A51" s="2492"/>
      <c r="B51" s="3477" t="s">
        <v>1545</v>
      </c>
      <c r="C51" s="3477"/>
      <c r="D51" s="1028"/>
      <c r="E51" s="264"/>
      <c r="F51" s="2487"/>
      <c r="G51" s="3421"/>
      <c r="H51" s="2491" t="s">
        <v>2502</v>
      </c>
      <c r="I51" s="2489"/>
      <c r="J51" s="2773"/>
      <c r="K51" s="2455" t="s">
        <v>2510</v>
      </c>
      <c r="L51" s="3429" t="s">
        <v>2511</v>
      </c>
      <c r="M51" s="3429"/>
      <c r="N51" s="2455" t="s">
        <v>2512</v>
      </c>
      <c r="O51" s="2455" t="s">
        <v>2513</v>
      </c>
      <c r="P51" s="2455" t="s">
        <v>2514</v>
      </c>
      <c r="Q51" s="1236"/>
    </row>
    <row r="52" spans="1:17" ht="24" customHeight="1">
      <c r="A52" s="2010" t="s">
        <v>1551</v>
      </c>
      <c r="B52" s="3477" t="s">
        <v>1552</v>
      </c>
      <c r="C52" s="3477"/>
      <c r="D52" s="1028">
        <f ca="1">ROUND(D45*'数据-取费表'!E29/(1+'数据-取费表'!F30),0)</f>
        <v>805</v>
      </c>
      <c r="E52" s="2020" t="s">
        <v>1553</v>
      </c>
      <c r="F52" s="2493">
        <f>'数据-取费表'!E29</f>
        <v>5.6000000000000001E-2</v>
      </c>
      <c r="G52" s="2494"/>
      <c r="H52" s="905"/>
      <c r="I52" s="2898"/>
      <c r="J52" s="2773"/>
      <c r="K52" s="2454">
        <v>1</v>
      </c>
      <c r="L52" s="3418" t="s">
        <v>2515</v>
      </c>
      <c r="M52" s="3418"/>
      <c r="N52" s="2456">
        <f ca="1">D48</f>
        <v>805</v>
      </c>
      <c r="O52" s="2454" t="str">
        <f>E48</f>
        <v>销售额×税（费）率</v>
      </c>
      <c r="P52" s="2457">
        <f>F48</f>
        <v>5.6000000000000001E-2</v>
      </c>
      <c r="Q52" s="1236"/>
    </row>
    <row r="53" spans="1:17" ht="12" customHeight="1">
      <c r="A53" s="2010" t="s">
        <v>1555</v>
      </c>
      <c r="B53" s="3489" t="s">
        <v>2593</v>
      </c>
      <c r="C53" s="3478"/>
      <c r="D53" s="1028">
        <f ca="1">ROUND(D45*'数据-取费表'!E29/(1+'数据-取费表'!F30),0)</f>
        <v>805</v>
      </c>
      <c r="E53" s="2020" t="s">
        <v>1553</v>
      </c>
      <c r="F53" s="2493">
        <f>'数据-取费表'!E29</f>
        <v>5.6000000000000001E-2</v>
      </c>
      <c r="G53" s="2494"/>
      <c r="H53" s="905"/>
      <c r="I53" s="2898"/>
      <c r="J53" s="2773"/>
      <c r="K53" s="2454">
        <v>2</v>
      </c>
      <c r="L53" s="3418" t="s">
        <v>2516</v>
      </c>
      <c r="M53" s="3418"/>
      <c r="N53" s="2456">
        <f t="shared" ref="N53:P54" si="1">D55</f>
        <v>0</v>
      </c>
      <c r="O53" s="2454" t="str">
        <f t="shared" si="1"/>
        <v>销售额×税（费）率</v>
      </c>
      <c r="P53" s="2457" t="str">
        <f t="shared" si="1"/>
        <v>免征</v>
      </c>
      <c r="Q53" s="1236"/>
    </row>
    <row r="54" spans="1:17" ht="12" customHeight="1">
      <c r="A54" s="2010" t="s">
        <v>1557</v>
      </c>
      <c r="B54" s="3489" t="s">
        <v>2594</v>
      </c>
      <c r="C54" s="3478"/>
      <c r="D54" s="1028">
        <f ca="1">C68</f>
        <v>805</v>
      </c>
      <c r="E54" s="264" t="s">
        <v>1558</v>
      </c>
      <c r="F54" s="2493">
        <f>'数据-取费表'!E29</f>
        <v>5.6000000000000001E-2</v>
      </c>
      <c r="G54" s="2494"/>
      <c r="H54" s="2899"/>
      <c r="I54" s="2898"/>
      <c r="J54" s="2773"/>
      <c r="K54" s="2454">
        <v>3</v>
      </c>
      <c r="L54" s="3418" t="s">
        <v>2517</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4.75">
      <c r="A56" s="3442" t="s">
        <v>1563</v>
      </c>
      <c r="B56" s="3438"/>
      <c r="C56" s="3438"/>
      <c r="D56" s="12">
        <f>IF(H56="个人住宅",D57,D58)</f>
        <v>0</v>
      </c>
      <c r="E56" s="2020" t="s">
        <v>1564</v>
      </c>
      <c r="F56" s="2493" t="str">
        <f>IF(H56="正常",F58,"免征")</f>
        <v>免征</v>
      </c>
      <c r="G56" s="2495" t="s">
        <v>1565</v>
      </c>
      <c r="H56" s="2496" t="s">
        <v>2498</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2.75">
      <c r="A57" s="2010" t="s">
        <v>1540</v>
      </c>
      <c r="B57" s="3489" t="s">
        <v>1566</v>
      </c>
      <c r="C57" s="3478"/>
      <c r="D57" s="2486">
        <v>0</v>
      </c>
      <c r="E57" s="261" t="s">
        <v>1542</v>
      </c>
      <c r="F57" s="235"/>
      <c r="G57" s="2494"/>
      <c r="H57" s="2900"/>
      <c r="I57" s="2900"/>
      <c r="J57" s="2773"/>
      <c r="K57" s="3418">
        <f>IF(AND(K55="",K56=""),4,IF(项目基本情况!I6="上海银行",K56+1,K55+1))</f>
        <v>4</v>
      </c>
      <c r="L57" s="3418" t="s">
        <v>2518</v>
      </c>
      <c r="M57" s="2462" t="s">
        <v>2519</v>
      </c>
      <c r="N57" s="2463"/>
      <c r="O57" s="2464">
        <f ca="1">SUMIF(N52:N56,"&lt;9e307")</f>
        <v>805</v>
      </c>
      <c r="P57" s="2465"/>
      <c r="Q57" s="1234" t="e">
        <f ca="1">O57/N49</f>
        <v>#VALUE!</v>
      </c>
    </row>
    <row r="58" spans="1:17" ht="24.75">
      <c r="A58" s="2010" t="s">
        <v>1551</v>
      </c>
      <c r="B58" s="3489" t="s">
        <v>1569</v>
      </c>
      <c r="C58" s="3477"/>
      <c r="D58" s="12">
        <f ca="1">IF(H58="转让取得",C81,C97)</f>
        <v>8547</v>
      </c>
      <c r="E58" s="2020" t="s">
        <v>1564</v>
      </c>
      <c r="F58" s="235" t="s">
        <v>48</v>
      </c>
      <c r="G58" s="2494"/>
      <c r="H58" s="2496" t="s">
        <v>1570</v>
      </c>
      <c r="I58" s="2900"/>
      <c r="J58" s="2773"/>
      <c r="K58" s="3418"/>
      <c r="L58" s="3418"/>
      <c r="M58" s="2462" t="s">
        <v>2520</v>
      </c>
      <c r="N58" s="2466"/>
      <c r="O58" s="2467" t="str">
        <f ca="1">IF(H19="元",NUMBERSTRING(INT(O57),2)&amp;"元整",NUMBERSTRING(INT(O57*10000),2)&amp;"元整")</f>
        <v>捌佰零伍万元整</v>
      </c>
      <c r="P58" s="2468"/>
      <c r="Q58" s="1236"/>
    </row>
    <row r="59" spans="1:17" ht="24.75"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1">
        <f>K57+1</f>
        <v>5</v>
      </c>
      <c r="L59" s="341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2"/>
      <c r="L60" s="3418"/>
      <c r="M60" s="2462" t="s">
        <v>2520</v>
      </c>
      <c r="N60" s="2466"/>
      <c r="O60" s="2467" t="e">
        <f ca="1">IF(H19="元",NUMBERSTRING(INT(O59),2)&amp;"元整",NUMBERSTRING(INT(O59*10000),2)&amp;"元整")</f>
        <v>#VALUE!</v>
      </c>
      <c r="P60" s="2468"/>
      <c r="Q60" s="1236"/>
    </row>
    <row r="61" spans="1:17" ht="13.5" thickBot="1">
      <c r="A61" s="3507" t="s">
        <v>1574</v>
      </c>
      <c r="B61" s="3507"/>
      <c r="C61" s="3507"/>
      <c r="D61" s="3507"/>
      <c r="E61" s="3507"/>
      <c r="F61" s="2901"/>
      <c r="G61" s="2901"/>
      <c r="H61" s="2903"/>
      <c r="I61" s="31"/>
      <c r="K61" s="2454">
        <f>K59+1</f>
        <v>6</v>
      </c>
      <c r="L61" s="3418" t="s">
        <v>2522</v>
      </c>
      <c r="M61" s="3418"/>
      <c r="N61" s="2472"/>
      <c r="O61" s="2473" t="e">
        <f ca="1">IF(H19="元",ROUND(O59/项目基本情况!C12,0),ROUND(O59*10000/项目基本情况!C12,0))</f>
        <v>#VALUE!</v>
      </c>
      <c r="P61" s="2474"/>
      <c r="Q61" s="1236"/>
    </row>
    <row r="62" spans="1:17" ht="12.75">
      <c r="A62" s="3456" t="s">
        <v>1576</v>
      </c>
      <c r="B62" s="345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14381</v>
      </c>
      <c r="D63" s="47"/>
      <c r="E63" s="48"/>
      <c r="F63" s="2901"/>
      <c r="G63" s="2901"/>
      <c r="H63" s="2903"/>
      <c r="I63" s="31"/>
      <c r="K63" s="343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15100</v>
      </c>
      <c r="D64" s="50" t="s">
        <v>41</v>
      </c>
      <c r="E64" s="52"/>
      <c r="F64" s="2901"/>
      <c r="G64" s="2901"/>
      <c r="H64" s="2903"/>
      <c r="I64" s="31"/>
      <c r="K64" s="343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7"/>
      <c r="L66" s="2476" t="s">
        <v>2528</v>
      </c>
      <c r="M66" s="2476" t="e">
        <f>N49*0.5%</f>
        <v>#VALUE!</v>
      </c>
      <c r="N66" s="2477" t="e">
        <f>IF(M66&gt;0.5,0.5,ROUND(M66,0))</f>
        <v>#VALUE!</v>
      </c>
      <c r="O66" s="2475" t="s">
        <v>2529</v>
      </c>
      <c r="P66" s="2475"/>
      <c r="Q66" s="1236"/>
    </row>
    <row r="67" spans="1:36" ht="12.75">
      <c r="A67" s="53" t="s">
        <v>42</v>
      </c>
      <c r="B67" s="54" t="s">
        <v>1591</v>
      </c>
      <c r="C67" s="2708">
        <f ca="1">C63-C66</f>
        <v>14381</v>
      </c>
      <c r="D67" s="50" t="s">
        <v>41</v>
      </c>
      <c r="E67" s="52"/>
      <c r="F67" s="2901"/>
      <c r="G67" s="2901"/>
      <c r="H67" s="2903"/>
      <c r="I67" s="31"/>
      <c r="K67" s="343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805</v>
      </c>
      <c r="D68" s="2170">
        <f>'数据-取费表'!E29</f>
        <v>5.6000000000000001E-2</v>
      </c>
      <c r="E68" s="57"/>
      <c r="F68" s="2901"/>
      <c r="G68" s="2901"/>
      <c r="H68" s="2903"/>
      <c r="I68" s="31"/>
      <c r="K68" s="343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14381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86</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86</v>
      </c>
      <c r="D78" s="2717">
        <f>'数据-取费表'!E31</f>
        <v>6.000000000000001E-3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14295</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166.22093023255815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8547</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14381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86</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2493</v>
      </c>
      <c r="H90" s="346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86</v>
      </c>
      <c r="D93" s="2717">
        <f>'数据-取费表'!E31</f>
        <v>6.000000000000001E-3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14295</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166.22093023255815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8547</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3" t="s">
        <v>1630</v>
      </c>
      <c r="B99" s="3444"/>
      <c r="C99" s="3444"/>
      <c r="D99" s="3445"/>
      <c r="E99" s="1389"/>
      <c r="F99" s="3453" t="s">
        <v>1631</v>
      </c>
      <c r="G99" s="3454"/>
      <c r="H99" s="3454"/>
      <c r="I99" s="3455"/>
      <c r="J99" s="2779"/>
    </row>
    <row r="100" spans="1:36" ht="15">
      <c r="A100" s="3460" t="s">
        <v>1632</v>
      </c>
      <c r="B100" s="3461"/>
      <c r="C100" s="1235" t="str">
        <f>C4</f>
        <v>比较法-办公</v>
      </c>
      <c r="D100" s="2727" t="str">
        <f>D4</f>
        <v>收益法</v>
      </c>
      <c r="E100" s="1389"/>
      <c r="F100" s="3462" t="s">
        <v>2537</v>
      </c>
      <c r="G100" s="3464"/>
      <c r="H100" s="3462" t="s">
        <v>2538</v>
      </c>
      <c r="I100" s="3463"/>
      <c r="J100" s="2780"/>
    </row>
    <row r="101" spans="1:36" ht="12.75">
      <c r="A101" s="3479" t="s">
        <v>2570</v>
      </c>
      <c r="B101" s="2235" t="str">
        <f>IF(H19="元","总价（元）","总价（万元）")</f>
        <v>总价（万元）</v>
      </c>
      <c r="C101" s="1235">
        <f ca="1">C19</f>
        <v>16481</v>
      </c>
      <c r="D101" s="2727">
        <f ca="1">D19</f>
        <v>13720</v>
      </c>
      <c r="E101" s="1389"/>
      <c r="F101" s="3462" t="str">
        <f>项目基本情况!I1</f>
        <v>北京市房地产</v>
      </c>
      <c r="G101" s="3464"/>
      <c r="H101" s="3466">
        <f>项目基本情况!C12</f>
        <v>2128.59</v>
      </c>
      <c r="I101" s="3463"/>
      <c r="J101" s="2780"/>
    </row>
    <row r="102" spans="1:36" ht="12.75">
      <c r="A102" s="3479"/>
      <c r="B102" s="2235" t="s">
        <v>2571</v>
      </c>
      <c r="C102" s="2728">
        <f ca="1">C20</f>
        <v>77426</v>
      </c>
      <c r="D102" s="2729">
        <f ca="1">D20</f>
        <v>64455</v>
      </c>
      <c r="E102" s="1389"/>
      <c r="F102" s="3449" t="s">
        <v>2567</v>
      </c>
      <c r="G102" s="3450"/>
      <c r="H102" s="2737" t="str">
        <f>C106</f>
        <v>总价（万元）</v>
      </c>
      <c r="I102" s="2738">
        <f ca="1">H121</f>
        <v>15100</v>
      </c>
      <c r="J102" s="2780"/>
    </row>
    <row r="103" spans="1:36" ht="12.75">
      <c r="A103" s="3479" t="s">
        <v>2572</v>
      </c>
      <c r="B103" s="2173" t="str">
        <f>B101</f>
        <v>总价（万元）</v>
      </c>
      <c r="C103" s="2732">
        <f ca="1">H121</f>
        <v>15100</v>
      </c>
      <c r="D103" s="2730"/>
      <c r="E103" s="1389"/>
      <c r="F103" s="3449"/>
      <c r="G103" s="3450"/>
      <c r="H103" s="2737" t="s">
        <v>2540</v>
      </c>
      <c r="I103" s="52">
        <f ca="1">I121</f>
        <v>70941</v>
      </c>
      <c r="J103" s="2764"/>
    </row>
    <row r="104" spans="1:36" ht="13.5" thickBot="1">
      <c r="A104" s="3480"/>
      <c r="B104" s="2734" t="s">
        <v>2571</v>
      </c>
      <c r="C104" s="2735">
        <f ca="1">I121</f>
        <v>70941</v>
      </c>
      <c r="D104" s="2736"/>
      <c r="E104" s="1389"/>
      <c r="F104" s="3449"/>
      <c r="G104" s="3450"/>
      <c r="H104" s="3481"/>
      <c r="I104" s="3482"/>
      <c r="J104" s="2781"/>
    </row>
    <row r="105" spans="1:36" ht="15">
      <c r="A105" s="3443" t="s">
        <v>1633</v>
      </c>
      <c r="B105" s="3444"/>
      <c r="C105" s="3444"/>
      <c r="D105" s="3445"/>
      <c r="E105" s="1389"/>
      <c r="F105" s="3485" t="s">
        <v>2541</v>
      </c>
      <c r="G105" s="3486"/>
      <c r="H105" s="2739" t="str">
        <f>C108</f>
        <v>总额（万元）</v>
      </c>
      <c r="I105" s="2738">
        <f>SUMIF(I106:I108,"&lt;9E307")</f>
        <v>0</v>
      </c>
      <c r="J105" s="2780"/>
    </row>
    <row r="106" spans="1:36" ht="14.25">
      <c r="A106" s="3449" t="s">
        <v>2564</v>
      </c>
      <c r="B106" s="3450"/>
      <c r="C106" s="2737" t="str">
        <f>B101</f>
        <v>总价（万元）</v>
      </c>
      <c r="D106" s="2738">
        <f ca="1">H121</f>
        <v>15100</v>
      </c>
      <c r="E106" s="1389"/>
      <c r="F106" s="3451" t="s">
        <v>2542</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2565</v>
      </c>
      <c r="D107" s="52">
        <f ca="1">I121</f>
        <v>70941</v>
      </c>
      <c r="E107" s="1389"/>
      <c r="F107" s="3451" t="s">
        <v>2543</v>
      </c>
      <c r="G107" s="3452"/>
      <c r="H107" s="2739" t="str">
        <f>C110</f>
        <v>总额（万元）</v>
      </c>
      <c r="I107" s="52">
        <f>C37</f>
        <v>0</v>
      </c>
      <c r="J107" s="2764"/>
    </row>
    <row r="108" spans="1:36" ht="12.75">
      <c r="A108" s="3520" t="s">
        <v>2541</v>
      </c>
      <c r="B108" s="3521"/>
      <c r="C108" s="2739" t="str">
        <f>IF(H19="元","总额（元）","总额（万元）")</f>
        <v>总额（万元）</v>
      </c>
      <c r="D108" s="2738">
        <f>IF(D36="正常操作",I106+I107+I108,I107+I108)</f>
        <v>0</v>
      </c>
      <c r="E108" s="1389"/>
      <c r="F108" s="3451" t="s">
        <v>2568</v>
      </c>
      <c r="G108" s="3452"/>
      <c r="H108" s="2739" t="str">
        <f>C111</f>
        <v>总额（万元）</v>
      </c>
      <c r="I108" s="52">
        <f>C38</f>
        <v>0</v>
      </c>
      <c r="J108" s="2764"/>
    </row>
    <row r="109" spans="1:36" ht="12.75">
      <c r="A109" s="3451" t="s">
        <v>2542</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2566</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15100</v>
      </c>
      <c r="J110" s="2780"/>
    </row>
    <row r="111" spans="1:36" ht="12.75">
      <c r="A111" s="3451" t="s">
        <v>2545</v>
      </c>
      <c r="B111" s="3452"/>
      <c r="C111" s="2739" t="str">
        <f>C108</f>
        <v>总额（万元）</v>
      </c>
      <c r="D111" s="52">
        <f>C38</f>
        <v>0</v>
      </c>
      <c r="E111" s="1389"/>
      <c r="F111" s="3434"/>
      <c r="G111" s="3435"/>
      <c r="H111" s="2737" t="s">
        <v>2540</v>
      </c>
      <c r="I111" s="2741">
        <f ca="1">D113</f>
        <v>70941</v>
      </c>
      <c r="J111" s="2783"/>
    </row>
    <row r="112" spans="1:36" ht="26.25" customHeight="1">
      <c r="A112" s="3449" t="str">
        <f>IF(项目基本情况!F5="已注销","——","3.房地产抵押价值")</f>
        <v>3.房地产抵押价值</v>
      </c>
      <c r="B112" s="3450"/>
      <c r="C112" s="2737" t="str">
        <f>B101</f>
        <v>总价（万元）</v>
      </c>
      <c r="D112" s="2738">
        <f ca="1">IF(A112="——","——",D106-D108)</f>
        <v>15100</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9"/>
      <c r="B113" s="3450"/>
      <c r="C113" s="2737" t="s">
        <v>2533</v>
      </c>
      <c r="D113" s="52">
        <f ca="1">ROUND(IF(D112=D106,D107,IF(H19="元",D112/项目基本情况!C12,D112*10000/项目基本情况!C12)),0)</f>
        <v>70941</v>
      </c>
      <c r="E113" s="1389"/>
      <c r="F113" s="3434"/>
      <c r="G113" s="3435"/>
      <c r="H113" s="2737" t="s">
        <v>2569</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9"/>
      <c r="B115" s="3450"/>
      <c r="C115" s="2737" t="s">
        <v>2533</v>
      </c>
      <c r="D115" s="52" t="str">
        <f>IF(A114="——","——",ROUND(IF(D114=D106,D107,IF(H19="元",D114/项目基本情况!C12,D114*10000/项目基本情况!C12)),0))</f>
        <v>——</v>
      </c>
      <c r="E115" s="1389"/>
      <c r="F115" s="3512"/>
      <c r="G115" s="3513"/>
      <c r="H115" s="2742" t="s">
        <v>2533</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5" thickBot="1">
      <c r="A117" s="3518"/>
      <c r="B117" s="3519"/>
      <c r="C117" s="2742" t="s">
        <v>2533</v>
      </c>
      <c r="D117" s="2726" t="str">
        <f ca="1">IF(D116=D112,D113,IF(A116="——","——",O61))</f>
        <v>——</v>
      </c>
      <c r="E117" s="1389"/>
      <c r="F117" s="3511" t="str">
        <f>IF(B32="总价","（以上估价结果中单价为总价除以建筑面积得出）","（以上估价结果中总价为楼面单价乘以建筑面积得出）")</f>
        <v>（以上估价结果中总价为楼面单价乘以建筑面积得出）</v>
      </c>
      <c r="G117" s="3511"/>
      <c r="H117" s="3511"/>
      <c r="I117" s="3511"/>
      <c r="J117" s="2785"/>
      <c r="O117" s="32"/>
      <c r="P117" s="32"/>
    </row>
    <row r="118" spans="1:16" ht="15">
      <c r="A118" s="3469" t="s">
        <v>1634</v>
      </c>
      <c r="B118" s="3470"/>
      <c r="C118" s="3470"/>
      <c r="D118" s="3470"/>
      <c r="E118" s="3470"/>
      <c r="F118" s="3470"/>
      <c r="G118" s="3470"/>
      <c r="H118" s="3470"/>
      <c r="I118" s="3470"/>
      <c r="J118" s="2786"/>
    </row>
    <row r="119" spans="1:16" ht="12.75">
      <c r="A119" s="3442" t="s">
        <v>2551</v>
      </c>
      <c r="B119" s="3440" t="s">
        <v>2561</v>
      </c>
      <c r="C119" s="3440" t="s">
        <v>2562</v>
      </c>
      <c r="D119" s="3447" t="s">
        <v>2553</v>
      </c>
      <c r="E119" s="3448"/>
      <c r="F119" s="3438" t="s">
        <v>2563</v>
      </c>
      <c r="G119" s="3438"/>
      <c r="H119" s="3438" t="s">
        <v>2554</v>
      </c>
      <c r="I119" s="3439"/>
      <c r="J119" s="2764"/>
    </row>
    <row r="120" spans="1:16" ht="12.75">
      <c r="A120" s="3442"/>
      <c r="B120" s="3441"/>
      <c r="C120" s="344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2128.59</v>
      </c>
      <c r="C121" s="2020">
        <f>项目基本情况!C13</f>
        <v>0</v>
      </c>
      <c r="D121" s="2020">
        <f ca="1">ROUND(IF(B32="总价",C34,IF('数据-取费表'!B3="万元",E121*B121/10000,E121*B121)),0)</f>
        <v>13621</v>
      </c>
      <c r="E121" s="2020">
        <f ca="1">ROUND(IF(B32="楼面单价",C34,IF(H19="元",D121/B121,D121*10000/B121)),0)</f>
        <v>63989</v>
      </c>
      <c r="F121" s="2020">
        <f ca="1">ROUND(IF(B32="总价",C35,IF('数据-取费表'!B3="万元",G121*B121/10000,G121*B121)),0)</f>
        <v>1480</v>
      </c>
      <c r="G121" s="2020">
        <f ca="1">ROUND(IF(B32="楼面单价",C35,IF(H19="元",F121/B121,F121*10000/B121)),0)</f>
        <v>6952</v>
      </c>
      <c r="H121" s="2020">
        <f ca="1">ROUND(IF(B32="总价",C32,IF('数据-取费表'!B3="万元",I121*B121/10000,I121*B121)),0)</f>
        <v>15100</v>
      </c>
      <c r="I121" s="52">
        <f ca="1">ROUND(IF(B32="楼面单价",C32,IF(H19="元",H121/B121,H121*10000/B121)),0)</f>
        <v>70941</v>
      </c>
      <c r="J121" s="2764"/>
    </row>
    <row r="122" spans="1:16" ht="12.75">
      <c r="A122" s="3442" t="s">
        <v>2557</v>
      </c>
      <c r="B122" s="3438"/>
      <c r="C122" s="3438"/>
      <c r="D122" s="3473" t="str">
        <f ca="1">IF(H19="元",NUMBERSTRING(INT(D121),2)&amp;"元整",NUMBERSTRING(INT(D121*10000),2)&amp;"元整")</f>
        <v>壹亿叁仟陆佰贰拾壹万元整</v>
      </c>
      <c r="E122" s="3474"/>
      <c r="F122" s="3473" t="str">
        <f ca="1">IF(H19="元",NUMBERSTRING(INT(F121),2)&amp;"元整",NUMBERSTRING(INT(F121*10000),2)&amp;"元整")</f>
        <v>壹仟肆佰捌拾万元整</v>
      </c>
      <c r="G122" s="3474"/>
      <c r="H122" s="3473" t="str">
        <f ca="1">IF(H19="元",NUMBERSTRING(INT(H121),2)&amp;"元整",NUMBERSTRING(INT(H121*10000),2)&amp;"元整")</f>
        <v>壹亿伍仟壹佰万元整</v>
      </c>
      <c r="I122" s="3522"/>
      <c r="J122" s="2787"/>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2.75">
      <c r="A124" s="3476" t="s">
        <v>2557</v>
      </c>
      <c r="B124" s="3477"/>
      <c r="C124" s="3478"/>
      <c r="D124" s="3514">
        <f>H109</f>
        <v>0</v>
      </c>
      <c r="E124" s="3515"/>
      <c r="F124" s="3515"/>
      <c r="G124" s="3515"/>
      <c r="H124" s="3515"/>
      <c r="I124" s="3516"/>
      <c r="J124" s="2788"/>
    </row>
    <row r="125" spans="1:16" ht="12.75">
      <c r="A125" s="3449" t="str">
        <f>IF(项目基本情况!D5="房地产市场价值","——",MID(A112,3,LEN(A112)-2))</f>
        <v>房地产抵押价值</v>
      </c>
      <c r="B125" s="3450"/>
      <c r="C125" s="3450"/>
      <c r="D125" s="3466">
        <f ca="1">I110</f>
        <v>15100</v>
      </c>
      <c r="E125" s="3475"/>
      <c r="F125" s="3475"/>
      <c r="G125" s="3475"/>
      <c r="H125" s="3475"/>
      <c r="I125" s="3463"/>
      <c r="J125" s="2780"/>
    </row>
    <row r="126" spans="1:16" ht="12.75">
      <c r="A126" s="3442" t="s">
        <v>2557</v>
      </c>
      <c r="B126" s="3438"/>
      <c r="C126" s="3438"/>
      <c r="D126" s="3514">
        <f ca="1">I111</f>
        <v>70941</v>
      </c>
      <c r="E126" s="3515"/>
      <c r="F126" s="3515"/>
      <c r="G126" s="3515"/>
      <c r="H126" s="3515"/>
      <c r="I126" s="3516"/>
      <c r="J126" s="2788"/>
    </row>
    <row r="127" spans="1:16" ht="13.5" thickBot="1">
      <c r="A127" s="3449" t="str">
        <f>IF(项目基本情况!D5="房地产市场价值","——",MID(A114,3,LEN(A114)-2))</f>
        <v/>
      </c>
      <c r="B127" s="3450"/>
      <c r="C127" s="3450"/>
      <c r="D127" s="3422" t="str">
        <f>I112</f>
        <v>——</v>
      </c>
      <c r="E127" s="3423"/>
      <c r="F127" s="3423"/>
      <c r="G127" s="3423"/>
      <c r="H127" s="3423"/>
      <c r="I127" s="3424"/>
      <c r="J127" s="2780"/>
    </row>
    <row r="128" spans="1:16" ht="14.25" thickTop="1" thickBot="1">
      <c r="A128" s="3442" t="s">
        <v>2557</v>
      </c>
      <c r="B128" s="3438"/>
      <c r="C128" s="3489"/>
      <c r="D128" s="3467" t="str">
        <f>I113</f>
        <v>——</v>
      </c>
      <c r="E128" s="3467"/>
      <c r="F128" s="3467"/>
      <c r="G128" s="3467"/>
      <c r="H128" s="3467"/>
      <c r="I128" s="3467"/>
      <c r="J128" s="2788"/>
    </row>
    <row r="129" spans="1:10" ht="14.25" thickTop="1" thickBot="1">
      <c r="A129" s="3449" t="str">
        <f>IF(项目基本情况!D5="房地产市场价值","——",MID(F114,3,LEN(F114)-2))</f>
        <v/>
      </c>
      <c r="B129" s="3450"/>
      <c r="C129" s="3466"/>
      <c r="D129" s="3517" t="str">
        <f>I114</f>
        <v>——</v>
      </c>
      <c r="E129" s="3517"/>
      <c r="F129" s="3517"/>
      <c r="G129" s="3517"/>
      <c r="H129" s="3517"/>
      <c r="I129" s="3517"/>
      <c r="J129" s="2780"/>
    </row>
    <row r="130" spans="1:10" ht="14.25" thickTop="1" thickBot="1">
      <c r="A130" s="3505" t="s">
        <v>2557</v>
      </c>
      <c r="B130" s="3506"/>
      <c r="C130" s="3506"/>
      <c r="D130" s="3523">
        <f>H116</f>
        <v>0</v>
      </c>
      <c r="E130" s="3524"/>
      <c r="F130" s="3524"/>
      <c r="G130" s="3524"/>
      <c r="H130" s="3524"/>
      <c r="I130" s="352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0" t="str">
        <f>IF(B32="总价","（以上估价结果中楼面单价为总价除以建筑面积得出）","（以上估价结果中总价为楼面单价乘以建筑面积得出）")</f>
        <v>（以上估价结果中总价为楼面单价乘以建筑面积得出）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2.75">
      <c r="A3" s="3492" t="s">
        <v>1471</v>
      </c>
      <c r="B3" s="3493"/>
      <c r="C3" s="3493"/>
      <c r="D3" s="3493"/>
      <c r="E3" s="3493"/>
      <c r="F3" s="3493"/>
      <c r="G3" s="3493"/>
      <c r="H3" s="3493"/>
      <c r="I3" s="3493"/>
      <c r="J3" s="2763"/>
    </row>
    <row r="4" spans="1:15" ht="14.25">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c r="D14" s="3491"/>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8" t="s">
        <v>2576</v>
      </c>
      <c r="F18" s="3509"/>
      <c r="G18" s="3509"/>
      <c r="H18" s="3509"/>
      <c r="I18" s="350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7" t="s">
        <v>1656</v>
      </c>
      <c r="B38" s="1396" t="s">
        <v>1657</v>
      </c>
      <c r="C38" s="2675"/>
      <c r="D38" s="2676"/>
      <c r="E38" s="1608"/>
      <c r="F38" s="1608"/>
      <c r="G38" s="905"/>
      <c r="H38" s="905"/>
      <c r="I38" s="905"/>
      <c r="J38" s="2765"/>
    </row>
    <row r="39" spans="1:16" ht="15.75" thickBot="1">
      <c r="A39" s="3502"/>
      <c r="B39" s="2022" t="s">
        <v>1658</v>
      </c>
      <c r="C39" s="2677"/>
      <c r="D39" s="1239"/>
      <c r="E39" s="1239"/>
      <c r="F39" s="1608"/>
      <c r="G39" s="1239"/>
      <c r="H39" s="1239"/>
      <c r="I39" s="1239"/>
      <c r="J39" s="2769"/>
    </row>
    <row r="40" spans="1:16" ht="15.75" thickBot="1">
      <c r="A40" s="350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44985</v>
      </c>
      <c r="O49" s="3531"/>
      <c r="P49" s="3531"/>
    </row>
    <row r="50" spans="1:17" ht="25.5">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2500</v>
      </c>
      <c r="I51" s="2489"/>
      <c r="J51" s="2773"/>
      <c r="K51" s="2431">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9"/>
      <c r="B52" s="3477" t="s">
        <v>1543</v>
      </c>
      <c r="C52" s="3477"/>
      <c r="D52" s="2490"/>
      <c r="E52" s="269"/>
      <c r="F52" s="2487"/>
      <c r="G52" s="3420"/>
      <c r="H52" s="2491" t="s">
        <v>2501</v>
      </c>
      <c r="I52" s="2489"/>
      <c r="J52" s="2773"/>
      <c r="K52" s="3528" t="s">
        <v>1544</v>
      </c>
      <c r="L52" s="3528"/>
      <c r="M52" s="3528"/>
      <c r="N52" s="3528"/>
      <c r="O52" s="3528"/>
      <c r="P52" s="3528"/>
    </row>
    <row r="53" spans="1:17" ht="20.45" customHeight="1">
      <c r="A53" s="2492"/>
      <c r="B53" s="3477" t="s">
        <v>1545</v>
      </c>
      <c r="C53" s="3477"/>
      <c r="D53" s="1028"/>
      <c r="E53" s="264"/>
      <c r="F53" s="2487"/>
      <c r="G53" s="3421"/>
      <c r="H53" s="2491" t="s">
        <v>2502</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5.6000000000000001E-2</v>
      </c>
      <c r="G54" s="2494"/>
      <c r="H54" s="905"/>
      <c r="I54" s="2898"/>
      <c r="J54" s="2773"/>
      <c r="K54" s="2431">
        <v>1</v>
      </c>
      <c r="L54" s="3530" t="s">
        <v>1554</v>
      </c>
      <c r="M54" s="3530"/>
      <c r="N54" s="2433">
        <f>D50</f>
        <v>0</v>
      </c>
      <c r="O54" s="2431" t="str">
        <f>E50</f>
        <v>销售额×税（费）率</v>
      </c>
      <c r="P54" s="2434">
        <f>F50</f>
        <v>5.6000000000000001E-2</v>
      </c>
    </row>
    <row r="55" spans="1:17" ht="12" customHeight="1">
      <c r="A55" s="2010" t="s">
        <v>1555</v>
      </c>
      <c r="B55" s="3489" t="s">
        <v>2593</v>
      </c>
      <c r="C55" s="3478"/>
      <c r="D55" s="1028">
        <f>ROUND(D47*'数据-取费表'!E29/(1+'数据-取费表'!F30),0)</f>
        <v>0</v>
      </c>
      <c r="E55" s="2020" t="s">
        <v>1553</v>
      </c>
      <c r="F55" s="2493">
        <f>'数据-取费表'!E29</f>
        <v>5.6000000000000001E-2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2594</v>
      </c>
      <c r="C56" s="3478"/>
      <c r="D56" s="1028">
        <f>C70</f>
        <v>0</v>
      </c>
      <c r="E56" s="264" t="s">
        <v>1558</v>
      </c>
      <c r="F56" s="2493">
        <f>'数据-取费表'!E29</f>
        <v>5.6000000000000001E-2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4.75">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2.75">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#VALUE!</v>
      </c>
    </row>
    <row r="60" spans="1:17" ht="24.75">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6.25"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6">
        <f>K59+1</f>
        <v>6</v>
      </c>
      <c r="L61" s="3530" t="s">
        <v>1573</v>
      </c>
      <c r="M61" s="2431" t="s">
        <v>1568</v>
      </c>
      <c r="N61" s="2446"/>
      <c r="O61" s="2447" t="e">
        <f>N51-O59</f>
        <v>#VALUE!</v>
      </c>
      <c r="P61" s="2448"/>
    </row>
    <row r="62" spans="1:17" ht="12" customHeight="1">
      <c r="A62" s="1385"/>
      <c r="B62" s="2481"/>
      <c r="C62" s="2481"/>
      <c r="D62" s="2481"/>
      <c r="E62" s="1385"/>
      <c r="F62" s="2900"/>
      <c r="G62" s="2900"/>
      <c r="H62" s="2895"/>
      <c r="I62" s="905"/>
      <c r="J62" s="2773"/>
      <c r="K62" s="3537"/>
      <c r="L62" s="3530"/>
      <c r="M62" s="2439" t="s">
        <v>1571</v>
      </c>
      <c r="N62" s="2443"/>
      <c r="O62" s="2444" t="e">
        <f>IF(H19="元",NUMBERSTRING(INT(O61),2)&amp;"元整",NUMBERSTRING(INT(O61*10000),2)&amp;"元整")</f>
        <v>#VALUE!</v>
      </c>
      <c r="P62" s="2445"/>
    </row>
    <row r="63" spans="1:17" ht="13.5" thickBot="1">
      <c r="A63" s="3538" t="s">
        <v>1574</v>
      </c>
      <c r="B63" s="3538"/>
      <c r="C63" s="3538"/>
      <c r="D63" s="3538"/>
      <c r="E63" s="3538"/>
      <c r="F63" s="2900"/>
      <c r="G63" s="2900"/>
      <c r="H63" s="2895"/>
      <c r="I63" s="905"/>
      <c r="J63" s="2765"/>
      <c r="K63" s="2431">
        <f>K61+1</f>
        <v>7</v>
      </c>
      <c r="L63" s="3530" t="s">
        <v>1575</v>
      </c>
      <c r="M63" s="3530"/>
      <c r="N63" s="2449"/>
      <c r="O63" s="2450" t="e">
        <f>IF(H19="元",ROUND(O61/项目基本情况!C12,0),ROUND(O61*10000/项目基本情况!C12,0))</f>
        <v>#VALUE!</v>
      </c>
      <c r="P63" s="2451"/>
    </row>
    <row r="64" spans="1:17" ht="12.75">
      <c r="A64" s="3456" t="s">
        <v>1576</v>
      </c>
      <c r="B64" s="345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5" t="s">
        <v>2494</v>
      </c>
      <c r="H92" s="354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3" t="s">
        <v>1630</v>
      </c>
      <c r="B101" s="3444"/>
      <c r="C101" s="3444"/>
      <c r="D101" s="3445"/>
      <c r="E101" s="1389"/>
      <c r="F101" s="3540" t="s">
        <v>2536</v>
      </c>
      <c r="G101" s="3541"/>
      <c r="H101" s="3541"/>
      <c r="I101" s="3542"/>
      <c r="J101" s="2800"/>
    </row>
    <row r="102" spans="1:36" ht="15">
      <c r="A102" s="3460" t="s">
        <v>1632</v>
      </c>
      <c r="B102" s="3461"/>
      <c r="C102" s="2723">
        <f>C4</f>
        <v>0</v>
      </c>
      <c r="D102" s="2724">
        <f>D4</f>
        <v>0</v>
      </c>
      <c r="E102" s="1389"/>
      <c r="F102" s="3462" t="s">
        <v>2537</v>
      </c>
      <c r="G102" s="3464"/>
      <c r="H102" s="3475" t="s">
        <v>2538</v>
      </c>
      <c r="I102" s="3463"/>
      <c r="J102" s="2780"/>
    </row>
    <row r="103" spans="1:36" ht="12.75">
      <c r="A103" s="3546" t="s">
        <v>2532</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2.75">
      <c r="A104" s="3546"/>
      <c r="B104" s="2235" t="s">
        <v>2533</v>
      </c>
      <c r="C104" s="2728" t="e">
        <f ca="1">C20</f>
        <v>#REF!</v>
      </c>
      <c r="D104" s="2729" t="e">
        <f ca="1">D20</f>
        <v>#REF!</v>
      </c>
      <c r="E104" s="1389"/>
      <c r="F104" s="3449" t="s">
        <v>2539</v>
      </c>
      <c r="G104" s="3450"/>
      <c r="H104" s="2737" t="str">
        <f>C110</f>
        <v>总价（万元）</v>
      </c>
      <c r="I104" s="2738">
        <f>H125</f>
        <v>0</v>
      </c>
      <c r="J104" s="2780"/>
    </row>
    <row r="105" spans="1:36" ht="12.75">
      <c r="A105" s="3546" t="s">
        <v>2534</v>
      </c>
      <c r="B105" s="2173" t="str">
        <f>B103</f>
        <v>总价（万元）</v>
      </c>
      <c r="C105" s="12" t="e">
        <f ca="1">ROUND(IF('数据-取费表'!B4="总价",G19,IF(H19="元",G20*'数据-取费表'!E5,G20*'数据-取费表'!E5/10000)),0)</f>
        <v>#REF!</v>
      </c>
      <c r="D105" s="2730"/>
      <c r="E105" s="1389"/>
      <c r="F105" s="3449"/>
      <c r="G105" s="3450"/>
      <c r="H105" s="2737" t="s">
        <v>2540</v>
      </c>
      <c r="I105" s="52" t="e">
        <f>I125</f>
        <v>#DIV/0!</v>
      </c>
      <c r="J105" s="2764"/>
    </row>
    <row r="106" spans="1:36" ht="12.75">
      <c r="A106" s="3546"/>
      <c r="B106" s="2235" t="s">
        <v>2533</v>
      </c>
      <c r="C106" s="1409" t="e">
        <f ca="1">ROUND(IF('数据-取费表'!B4="楼面单价",G20,IF(H19="元",G19/'数据-取费表'!E5,G19*10000/'数据-取费表'!E5)),0)</f>
        <v>#REF!</v>
      </c>
      <c r="D106" s="2730"/>
      <c r="E106" s="1389"/>
      <c r="F106" s="3449"/>
      <c r="G106" s="3450"/>
      <c r="H106" s="3481"/>
      <c r="I106" s="3482"/>
      <c r="J106" s="2781"/>
    </row>
    <row r="107" spans="1:36" ht="12.75">
      <c r="A107" s="3553" t="s">
        <v>2535</v>
      </c>
      <c r="B107" s="2731" t="str">
        <f>B103</f>
        <v>总价（万元）</v>
      </c>
      <c r="C107" s="2732">
        <f>H125</f>
        <v>0</v>
      </c>
      <c r="D107" s="2733"/>
      <c r="E107" s="1389"/>
      <c r="F107" s="3485" t="s">
        <v>2541</v>
      </c>
      <c r="G107" s="3486"/>
      <c r="H107" s="2739" t="str">
        <f>C112</f>
        <v>总额（万元）</v>
      </c>
      <c r="I107" s="2738">
        <f>SUMIF(I108:I110,"&lt;9E307")</f>
        <v>0</v>
      </c>
      <c r="J107" s="2780"/>
    </row>
    <row r="108" spans="1:36" ht="15" thickBot="1">
      <c r="A108" s="3480"/>
      <c r="B108" s="2734" t="s">
        <v>2533</v>
      </c>
      <c r="C108" s="2735" t="e">
        <f>I125</f>
        <v>#DIV/0!</v>
      </c>
      <c r="D108" s="2736"/>
      <c r="E108" s="1389"/>
      <c r="F108" s="3451" t="s">
        <v>2542</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9" t="s">
        <v>1633</v>
      </c>
      <c r="B109" s="3550"/>
      <c r="C109" s="3550"/>
      <c r="D109" s="3551"/>
      <c r="E109" s="1389"/>
      <c r="F109" s="3451" t="s">
        <v>2543</v>
      </c>
      <c r="G109" s="3452"/>
      <c r="H109" s="2739" t="str">
        <f>C114</f>
        <v>总额（万元）</v>
      </c>
      <c r="I109" s="52">
        <f>C39</f>
        <v>0</v>
      </c>
      <c r="J109" s="2764"/>
    </row>
    <row r="110" spans="1:36" ht="12.75">
      <c r="A110" s="3449" t="s">
        <v>2546</v>
      </c>
      <c r="B110" s="3450"/>
      <c r="C110" s="2737" t="str">
        <f>B103</f>
        <v>总价（万元）</v>
      </c>
      <c r="D110" s="2738">
        <f>H125</f>
        <v>0</v>
      </c>
      <c r="E110" s="1389"/>
      <c r="F110" s="3451" t="s">
        <v>2544</v>
      </c>
      <c r="G110" s="3452"/>
      <c r="H110" s="2739" t="str">
        <f>C115</f>
        <v>总额（万元）</v>
      </c>
      <c r="I110" s="52">
        <f>C40</f>
        <v>0</v>
      </c>
      <c r="J110" s="2764"/>
    </row>
    <row r="111" spans="1:36" ht="12.75">
      <c r="A111" s="3449"/>
      <c r="B111" s="3450"/>
      <c r="C111" s="2737" t="s">
        <v>2547</v>
      </c>
      <c r="D111" s="52" t="e">
        <f>I125</f>
        <v>#DIV/0!</v>
      </c>
      <c r="E111" s="1389"/>
      <c r="F111" s="3449"/>
      <c r="G111" s="3450"/>
      <c r="H111" s="3483"/>
      <c r="I111" s="3484"/>
      <c r="J111" s="2782"/>
    </row>
    <row r="112" spans="1:36" ht="28.5" customHeight="1">
      <c r="A112" s="3520" t="s">
        <v>2541</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2.75">
      <c r="A113" s="3451" t="s">
        <v>2548</v>
      </c>
      <c r="B113" s="3452"/>
      <c r="C113" s="2739" t="str">
        <f>C112</f>
        <v>总额（万元）</v>
      </c>
      <c r="D113" s="52">
        <f>IF(D38="同一抵押权人同一抵押物续贷",C38&amp;"（未扣减，详见特别提示）",C38)</f>
        <v>0</v>
      </c>
      <c r="E113" s="1389"/>
      <c r="F113" s="3434"/>
      <c r="G113" s="3435"/>
      <c r="H113" s="2737" t="s">
        <v>2540</v>
      </c>
      <c r="I113" s="2741" t="e">
        <f>D117</f>
        <v>#DIV/0!</v>
      </c>
      <c r="J113" s="2783"/>
    </row>
    <row r="114" spans="1:27" ht="12.75">
      <c r="A114" s="3451" t="s">
        <v>2549</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51" t="s">
        <v>2550</v>
      </c>
      <c r="B115" s="3452"/>
      <c r="C115" s="2739" t="str">
        <f>C112</f>
        <v>总额（万元）</v>
      </c>
      <c r="D115" s="52">
        <f>C40</f>
        <v>0</v>
      </c>
      <c r="E115" s="1389"/>
      <c r="F115" s="3434"/>
      <c r="G115" s="3435"/>
      <c r="H115" s="2737" t="s">
        <v>2540</v>
      </c>
      <c r="I115" s="52" t="str">
        <f>D119</f>
        <v>——</v>
      </c>
      <c r="J115" s="2764"/>
    </row>
    <row r="116" spans="1:27" ht="12.75">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9"/>
      <c r="B117" s="3450"/>
      <c r="C117" s="2737" t="s">
        <v>2547</v>
      </c>
      <c r="D117" s="52" t="e">
        <f>ROUND(IF(D116=D110,D111,IF(H19="元",D116/B125,D116*10000/B125)),0)</f>
        <v>#DIV/0!</v>
      </c>
      <c r="E117" s="1389"/>
      <c r="F117" s="3512"/>
      <c r="G117" s="3513"/>
      <c r="H117" s="2742" t="s">
        <v>2540</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2.75">
      <c r="A119" s="3449"/>
      <c r="B119" s="3450"/>
      <c r="C119" s="2737" t="s">
        <v>2547</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8"/>
      <c r="B121" s="351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2" t="s">
        <v>2551</v>
      </c>
      <c r="B123" s="3440" t="s">
        <v>2552</v>
      </c>
      <c r="C123" s="3440" t="s">
        <v>2558</v>
      </c>
      <c r="D123" s="3447" t="s">
        <v>2553</v>
      </c>
      <c r="E123" s="3448"/>
      <c r="F123" s="3438" t="s">
        <v>2559</v>
      </c>
      <c r="G123" s="3438"/>
      <c r="H123" s="3438" t="s">
        <v>2554</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2"/>
      <c r="B124" s="3441"/>
      <c r="C124" s="344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2" t="s">
        <v>2557</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6" t="s">
        <v>2557</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2" t="s">
        <v>2557</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2" t="s">
        <v>2557</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5" t="s">
        <v>2557</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1546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7262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425718</v>
      </c>
      <c r="D10" s="1101">
        <f>IF('数据-取费表'!B10&lt;&gt;"住宅",IF(B1="仅计算典型户型",'数据-取费表'!E5,'数据-取费表'!B5),0)</f>
        <v>2128.59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425718</v>
      </c>
      <c r="D19" s="1104">
        <f>IF(B1="仅计算典型户型",'数据-取费表'!E5,'数据-取费表'!B5)</f>
        <v>2128.59</v>
      </c>
      <c r="E19" s="111">
        <f>'数据-取费表'!E15</f>
        <v>200</v>
      </c>
      <c r="F19" s="112"/>
      <c r="G19" s="1446"/>
    </row>
    <row r="20" spans="1:123" s="91" customFormat="1" ht="13.5" customHeight="1">
      <c r="A20" s="120" t="s">
        <v>1702</v>
      </c>
      <c r="B20" s="89" t="s">
        <v>1703</v>
      </c>
      <c r="C20" s="99">
        <f>ROUND((C5+C19)*F20,0)</f>
        <v>29124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124583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36068</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1209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297068</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297068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2068546</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12659789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11707245</v>
      </c>
      <c r="D34" s="1096"/>
      <c r="E34" s="115"/>
      <c r="F34" s="1107" t="str">
        <f>IF('数据-取费表'!B26=0,"",'数据-取费表'!E20)</f>
        <v/>
      </c>
      <c r="G34" s="95"/>
    </row>
    <row r="35" spans="1:123" ht="13.5" customHeight="1">
      <c r="A35" s="92" t="s">
        <v>1685</v>
      </c>
      <c r="B35" s="93" t="s">
        <v>1734</v>
      </c>
      <c r="C35" s="115">
        <f>ROUND(C34*F35,0)</f>
        <v>351217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425718</v>
      </c>
      <c r="D37" s="1096">
        <f>IF(B1="仅计算典型户型",'数据-取费表'!E5,'数据-取费表'!B5)</f>
        <v>2128.59</v>
      </c>
      <c r="E37" s="115">
        <f>'数据-取费表'!E23</f>
        <v>200</v>
      </c>
      <c r="F37" s="1108"/>
      <c r="G37" s="124" t="s">
        <v>1739</v>
      </c>
    </row>
    <row r="38" spans="1:123" ht="13.5" customHeight="1">
      <c r="A38" s="92" t="s">
        <v>1740</v>
      </c>
      <c r="B38" s="93" t="s">
        <v>1741</v>
      </c>
      <c r="C38" s="115">
        <f>ROUND(C34*F38,0)</f>
        <v>175609</v>
      </c>
      <c r="D38" s="115"/>
      <c r="E38" s="115"/>
      <c r="F38" s="1108">
        <f>'数据-取费表'!E24</f>
        <v>1.4999999999999999E-2</v>
      </c>
      <c r="G38" s="95" t="s">
        <v>1735</v>
      </c>
    </row>
    <row r="39" spans="1:123" s="91" customFormat="1" ht="13.5" customHeight="1">
      <c r="A39" s="120" t="s">
        <v>1700</v>
      </c>
      <c r="B39" s="89" t="s">
        <v>1703</v>
      </c>
      <c r="C39" s="99">
        <f>ROUND(C33*F20,0)</f>
        <v>253196</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535889</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525381</v>
      </c>
      <c r="D42" s="104"/>
      <c r="E42" s="104"/>
      <c r="F42" s="105"/>
      <c r="G42" s="3555" t="s">
        <v>1745</v>
      </c>
    </row>
    <row r="43" spans="1:123" ht="13.5" customHeight="1">
      <c r="A43" s="92" t="s">
        <v>1685</v>
      </c>
      <c r="B43" s="93" t="s">
        <v>1714</v>
      </c>
      <c r="C43" s="104">
        <f ca="1">ROUND(IF('数据-取费表'!B24&lt;=1,C39*F22*'数据-取费表'!B23/2,C39*(POWER((1+F22),'数据-取费表'!B23/2)-1)),0)</f>
        <v>10508</v>
      </c>
      <c r="D43" s="104"/>
      <c r="E43" s="104"/>
      <c r="F43" s="105"/>
      <c r="G43" s="3556"/>
    </row>
    <row r="44" spans="1:123" ht="13.5" customHeight="1">
      <c r="A44" s="92" t="s">
        <v>1687</v>
      </c>
      <c r="B44" s="93" t="s">
        <v>1716</v>
      </c>
      <c r="C44" s="104">
        <f ca="1">ROUND(IF('数据-取费表'!B24&lt;=1,C40*F22*'数据-取费表'!B23/2,C40*(POWER((1+F22),'数据-取费表'!B23/2)-1)),4)</f>
        <v>8.0000000000000004E-4</v>
      </c>
      <c r="D44" s="104"/>
      <c r="E44" s="104"/>
      <c r="F44" s="105"/>
      <c r="G44" s="3557"/>
    </row>
    <row r="45" spans="1:123" s="91" customFormat="1" ht="13.5" customHeight="1">
      <c r="A45" s="120" t="s">
        <v>1709</v>
      </c>
      <c r="B45" s="110" t="s">
        <v>1721</v>
      </c>
      <c r="C45" s="111">
        <f>C46</f>
        <v>2582597</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2582597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17389599</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13389991</v>
      </c>
      <c r="D51" s="99"/>
      <c r="E51" s="99"/>
      <c r="F51" s="126"/>
      <c r="G51" s="100" t="s">
        <v>1759</v>
      </c>
    </row>
    <row r="52" spans="1:123" s="88" customFormat="1" ht="16.5" thickBot="1">
      <c r="A52" s="127" t="s">
        <v>1760</v>
      </c>
      <c r="B52" s="128"/>
      <c r="C52" s="129">
        <f ca="1">C31+C51</f>
        <v>15458537</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0.86599999999999999</v>
      </c>
    </row>
    <row r="57" spans="1:123">
      <c r="B57" s="135" t="s">
        <v>1763</v>
      </c>
      <c r="C57" s="137">
        <f ca="1">1-C56</f>
        <v>0.13400000000000001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4" t="s">
        <v>2653</v>
      </c>
      <c r="K2" s="3565"/>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6" t="s">
        <v>2663</v>
      </c>
      <c r="K3" s="3567"/>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6" t="s">
        <v>2665</v>
      </c>
      <c r="K4" s="3567"/>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2" t="s">
        <v>2669</v>
      </c>
      <c r="B6" s="3573"/>
      <c r="C6" s="3574"/>
      <c r="D6" s="3154"/>
      <c r="E6" s="3098"/>
      <c r="F6" s="3099"/>
      <c r="G6" s="3199"/>
      <c r="H6" s="3185"/>
      <c r="I6" s="3186"/>
      <c r="J6" s="3558">
        <v>1</v>
      </c>
      <c r="K6" s="3559"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8"/>
      <c r="K7" s="3560"/>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5" t="s">
        <v>2682</v>
      </c>
      <c r="C8" s="3576"/>
      <c r="D8" s="3108" t="s">
        <v>2683</v>
      </c>
      <c r="E8" s="3109" t="s">
        <v>2684</v>
      </c>
      <c r="F8" s="3092" t="s">
        <v>2685</v>
      </c>
      <c r="G8" s="3262" t="s">
        <v>2793</v>
      </c>
      <c r="H8" s="3185"/>
      <c r="I8" s="3186"/>
      <c r="J8" s="3558"/>
      <c r="K8" s="3560"/>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5" t="s">
        <v>2687</v>
      </c>
      <c r="C9" s="3576"/>
      <c r="D9" s="3108">
        <f>ROUND(D6*E9,0)</f>
        <v>0</v>
      </c>
      <c r="E9" s="3155"/>
      <c r="F9" s="3110" t="s">
        <v>2688</v>
      </c>
      <c r="G9" s="3208" t="s">
        <v>2791</v>
      </c>
      <c r="H9" s="3185"/>
      <c r="I9" s="3186"/>
      <c r="J9" s="3558"/>
      <c r="K9" s="3560"/>
      <c r="L9" s="3203" t="s">
        <v>2781</v>
      </c>
      <c r="M9" s="3204"/>
      <c r="N9" s="3204"/>
      <c r="O9" s="3205"/>
      <c r="P9" s="3205"/>
      <c r="Q9" s="3206">
        <v>365</v>
      </c>
      <c r="R9" s="3207">
        <f t="shared" si="0"/>
        <v>0</v>
      </c>
      <c r="S9" s="3183"/>
      <c r="T9" s="3183"/>
      <c r="U9" s="3183"/>
      <c r="V9" s="3186"/>
      <c r="W9" s="3185"/>
    </row>
    <row r="10" spans="1:23" s="3091" customFormat="1" ht="13.15" customHeight="1">
      <c r="A10" s="3107">
        <v>2</v>
      </c>
      <c r="B10" s="3575" t="s">
        <v>2689</v>
      </c>
      <c r="C10" s="3576"/>
      <c r="D10" s="3108">
        <f>ROUND(D6*E10,0)</f>
        <v>0</v>
      </c>
      <c r="E10" s="3155"/>
      <c r="F10" s="3110" t="s">
        <v>2690</v>
      </c>
      <c r="G10" s="3208" t="s">
        <v>2792</v>
      </c>
      <c r="H10" s="3185"/>
      <c r="I10" s="3186"/>
      <c r="J10" s="3558"/>
      <c r="K10" s="3560"/>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5" t="s">
        <v>2691</v>
      </c>
      <c r="C11" s="3576"/>
      <c r="D11" s="3108">
        <f>D12+D14+D15+D16</f>
        <v>0</v>
      </c>
      <c r="E11" s="3111" t="e">
        <f>D11/D6</f>
        <v>#DIV/0!</v>
      </c>
      <c r="F11" s="3092"/>
      <c r="G11" s="3208"/>
      <c r="H11" s="3185"/>
      <c r="I11" s="3186"/>
      <c r="J11" s="3558"/>
      <c r="K11" s="3560"/>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8" t="s">
        <v>2693</v>
      </c>
      <c r="C12" s="3569"/>
      <c r="D12" s="3113">
        <f>ROUND(D13*1.2%*(1-30%),0)</f>
        <v>0</v>
      </c>
      <c r="E12" s="3114">
        <v>1.2E-2</v>
      </c>
      <c r="F12" s="3092" t="s">
        <v>2694</v>
      </c>
      <c r="G12" s="3208"/>
      <c r="H12" s="3185"/>
      <c r="I12" s="3186"/>
      <c r="J12" s="3558"/>
      <c r="K12" s="3560"/>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8"/>
      <c r="K13" s="3560"/>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8" t="s">
        <v>2697</v>
      </c>
      <c r="C14" s="3569"/>
      <c r="D14" s="3113">
        <f>ROUND(E14*B5/10000,0)</f>
        <v>0</v>
      </c>
      <c r="E14" s="3157"/>
      <c r="F14" s="3092" t="s">
        <v>2698</v>
      </c>
      <c r="G14" s="3208"/>
      <c r="H14" s="3185"/>
      <c r="I14" s="3186"/>
      <c r="J14" s="3558"/>
      <c r="K14" s="3561"/>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8" t="s">
        <v>2701</v>
      </c>
      <c r="C15" s="3569"/>
      <c r="D15" s="3113">
        <f>ROUND(D6*E15,0)</f>
        <v>0</v>
      </c>
      <c r="E15" s="3114">
        <v>5.5E-2</v>
      </c>
      <c r="F15" s="3092" t="s">
        <v>2702</v>
      </c>
      <c r="G15" s="3208"/>
      <c r="H15" s="3185"/>
      <c r="I15" s="3186"/>
      <c r="J15" s="3558">
        <v>2</v>
      </c>
      <c r="K15" s="3559"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8" t="s">
        <v>2712</v>
      </c>
      <c r="C16" s="3569"/>
      <c r="D16" s="3158">
        <f>D6*E16</f>
        <v>0</v>
      </c>
      <c r="E16" s="3159"/>
      <c r="F16" s="3110" t="s">
        <v>2713</v>
      </c>
      <c r="G16" s="3208"/>
      <c r="H16" s="3185"/>
      <c r="I16" s="3186"/>
      <c r="J16" s="3558"/>
      <c r="K16" s="3560"/>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0" t="s">
        <v>2714</v>
      </c>
      <c r="C17" s="3571"/>
      <c r="D17" s="3119">
        <f>ROUND(D6*E17,0)</f>
        <v>0</v>
      </c>
      <c r="E17" s="3160"/>
      <c r="F17" s="3120" t="s">
        <v>2715</v>
      </c>
      <c r="G17" s="3261">
        <v>0.1</v>
      </c>
      <c r="H17" s="3185"/>
      <c r="I17" s="3186"/>
      <c r="J17" s="3558"/>
      <c r="K17" s="3560"/>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8"/>
      <c r="K18" s="3560"/>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8"/>
      <c r="K19" s="3561"/>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8">
        <v>3</v>
      </c>
      <c r="K20" s="3559"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8"/>
      <c r="K21" s="3560"/>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8"/>
      <c r="K22" s="3560"/>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8"/>
      <c r="K23" s="3560"/>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8"/>
      <c r="K24" s="3561"/>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2">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3"/>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4" t="s">
        <v>2751</v>
      </c>
      <c r="K32" s="3565"/>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6" t="s">
        <v>2755</v>
      </c>
      <c r="K33" s="3567"/>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6" t="s">
        <v>2757</v>
      </c>
      <c r="K34" s="3567"/>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8">
        <v>1</v>
      </c>
      <c r="K36" s="3559"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8"/>
      <c r="K37" s="3560"/>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8"/>
      <c r="K38" s="3560"/>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8"/>
      <c r="K39" s="3560"/>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8"/>
      <c r="K40" s="3561"/>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2">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3"/>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0" t="s">
        <v>1973</v>
      </c>
      <c r="D4" s="3581"/>
      <c r="E4" s="3581"/>
      <c r="F4" s="3581"/>
      <c r="G4" s="3581"/>
      <c r="H4" s="3581"/>
      <c r="I4" s="3581"/>
      <c r="J4" s="3581"/>
      <c r="K4" s="3581"/>
      <c r="L4" s="3581"/>
      <c r="M4" s="3581"/>
      <c r="N4" s="3581"/>
      <c r="O4" s="3581"/>
      <c r="P4" s="3581"/>
      <c r="Q4" s="3581"/>
      <c r="R4" s="3581"/>
      <c r="S4" s="358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2128.59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6" t="s">
        <v>2007</v>
      </c>
      <c r="D4" s="3587"/>
      <c r="E4" s="3588" t="s">
        <v>2008</v>
      </c>
      <c r="F4" s="3589"/>
      <c r="G4" s="3586" t="s">
        <v>2009</v>
      </c>
      <c r="H4" s="3587"/>
      <c r="I4" s="3586" t="s">
        <v>2010</v>
      </c>
      <c r="J4" s="3587"/>
      <c r="K4" s="1593" t="s">
        <v>2011</v>
      </c>
      <c r="L4" s="2915"/>
      <c r="M4" s="2916"/>
      <c r="N4" s="2916"/>
      <c r="O4" s="2916"/>
      <c r="P4" s="3590" t="s">
        <v>2012</v>
      </c>
      <c r="Q4" s="3591"/>
      <c r="R4" s="3596" t="s">
        <v>2008</v>
      </c>
      <c r="S4" s="3597"/>
      <c r="T4" s="3596" t="s">
        <v>2009</v>
      </c>
      <c r="U4" s="3597"/>
      <c r="V4" s="3602" t="s">
        <v>2010</v>
      </c>
      <c r="W4" s="3602"/>
      <c r="X4" s="1594"/>
      <c r="Y4" s="3596" t="s">
        <v>2012</v>
      </c>
      <c r="Z4" s="3597"/>
      <c r="AA4" s="3583" t="s">
        <v>2008</v>
      </c>
      <c r="AB4" s="3583" t="s">
        <v>2009</v>
      </c>
      <c r="AC4" s="3583" t="s">
        <v>2010</v>
      </c>
    </row>
    <row r="5" spans="1:29" ht="15">
      <c r="A5" s="1596"/>
      <c r="B5" s="1597"/>
      <c r="C5" s="3605" t="s">
        <v>2013</v>
      </c>
      <c r="D5" s="3606"/>
      <c r="E5" s="3603" t="s">
        <v>2014</v>
      </c>
      <c r="F5" s="3604"/>
      <c r="G5" s="3605" t="s">
        <v>2015</v>
      </c>
      <c r="H5" s="3606"/>
      <c r="I5" s="3605" t="s">
        <v>2016</v>
      </c>
      <c r="J5" s="3606"/>
      <c r="K5" s="1598"/>
      <c r="L5" s="2915"/>
      <c r="M5" s="2916"/>
      <c r="N5" s="2916"/>
      <c r="O5" s="2916"/>
      <c r="P5" s="3592"/>
      <c r="Q5" s="3593"/>
      <c r="R5" s="3598"/>
      <c r="S5" s="3599"/>
      <c r="T5" s="3598"/>
      <c r="U5" s="3599"/>
      <c r="V5" s="3602"/>
      <c r="W5" s="3602"/>
      <c r="X5" s="1594"/>
      <c r="Y5" s="3598"/>
      <c r="Z5" s="3599"/>
      <c r="AA5" s="3584"/>
      <c r="AB5" s="3584"/>
      <c r="AC5" s="3584"/>
    </row>
    <row r="6" spans="1:29" ht="15.75" thickBot="1">
      <c r="A6" s="1599"/>
      <c r="B6" s="1600"/>
      <c r="C6" s="3607" t="s">
        <v>2017</v>
      </c>
      <c r="D6" s="3608"/>
      <c r="E6" s="3609" t="s">
        <v>2017</v>
      </c>
      <c r="F6" s="3610"/>
      <c r="G6" s="3607" t="s">
        <v>2017</v>
      </c>
      <c r="H6" s="3608"/>
      <c r="I6" s="3607" t="s">
        <v>2017</v>
      </c>
      <c r="J6" s="3608"/>
      <c r="K6" s="1598" t="s">
        <v>2018</v>
      </c>
      <c r="L6" s="2915"/>
      <c r="M6" s="2916"/>
      <c r="N6" s="2916"/>
      <c r="O6" s="2916"/>
      <c r="P6" s="3594"/>
      <c r="Q6" s="3595"/>
      <c r="R6" s="3598"/>
      <c r="S6" s="3599"/>
      <c r="T6" s="3600"/>
      <c r="U6" s="3601"/>
      <c r="V6" s="3602"/>
      <c r="W6" s="3602"/>
      <c r="X6" s="1594"/>
      <c r="Y6" s="3600"/>
      <c r="Z6" s="3601"/>
      <c r="AA6" s="3585"/>
      <c r="AB6" s="3585"/>
      <c r="AC6" s="3585"/>
    </row>
    <row r="7" spans="1:29" s="1613" customFormat="1" ht="15.75" thickBot="1">
      <c r="A7" s="1601" t="s">
        <v>2019</v>
      </c>
      <c r="B7" s="1602"/>
      <c r="C7" s="1603">
        <f>'数据-取费表'!B2</f>
        <v>44985</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8" t="s">
        <v>2020</v>
      </c>
      <c r="Q7" s="3620"/>
      <c r="R7" s="1609" t="s">
        <v>34</v>
      </c>
      <c r="S7" s="1610">
        <f t="shared" ref="S7:S15" si="0">F7</f>
        <v>0</v>
      </c>
      <c r="T7" s="1609" t="s">
        <v>34</v>
      </c>
      <c r="U7" s="1610">
        <f t="shared" ref="U7:U15" si="1">H7</f>
        <v>0</v>
      </c>
      <c r="V7" s="1609" t="s">
        <v>34</v>
      </c>
      <c r="W7" s="1610">
        <f t="shared" ref="W7:W15" si="2">J7</f>
        <v>0</v>
      </c>
      <c r="X7" s="1611"/>
      <c r="Y7" s="3618" t="s">
        <v>2020</v>
      </c>
      <c r="Z7" s="3619"/>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8" t="s">
        <v>2023</v>
      </c>
      <c r="Q8" s="3619"/>
      <c r="R8" s="1609" t="s">
        <v>34</v>
      </c>
      <c r="S8" s="1610">
        <f t="shared" si="0"/>
        <v>0</v>
      </c>
      <c r="T8" s="1609" t="s">
        <v>34</v>
      </c>
      <c r="U8" s="1610">
        <f t="shared" si="1"/>
        <v>0</v>
      </c>
      <c r="V8" s="1609" t="s">
        <v>34</v>
      </c>
      <c r="W8" s="1610">
        <f t="shared" si="2"/>
        <v>0</v>
      </c>
      <c r="X8" s="1611"/>
      <c r="Y8" s="3618" t="s">
        <v>2023</v>
      </c>
      <c r="Z8" s="3619"/>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1"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1"/>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1"/>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1"/>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1"/>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1"/>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4" t="s">
        <v>2031</v>
      </c>
      <c r="Q15" s="1544" t="str">
        <f t="shared" si="6"/>
        <v>居住社区成熟度</v>
      </c>
      <c r="R15" s="1654" t="s">
        <v>28</v>
      </c>
      <c r="S15" s="1655">
        <f t="shared" si="0"/>
        <v>100</v>
      </c>
      <c r="T15" s="1654" t="s">
        <v>28</v>
      </c>
      <c r="U15" s="1655">
        <f t="shared" si="1"/>
        <v>100</v>
      </c>
      <c r="V15" s="1654" t="s">
        <v>28</v>
      </c>
      <c r="W15" s="1655">
        <f t="shared" si="2"/>
        <v>100</v>
      </c>
      <c r="X15" s="1594"/>
      <c r="Y15" s="361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5"/>
      <c r="Q16" s="1544"/>
      <c r="R16" s="1654"/>
      <c r="S16" s="1655"/>
      <c r="T16" s="1654"/>
      <c r="U16" s="1655"/>
      <c r="V16" s="1654"/>
      <c r="W16" s="1655"/>
      <c r="X16" s="1594"/>
      <c r="Y16" s="361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5"/>
      <c r="Q17" s="1544" t="str">
        <f>B17</f>
        <v>交通便捷度</v>
      </c>
      <c r="R17" s="1654" t="s">
        <v>28</v>
      </c>
      <c r="S17" s="1655">
        <f>F17</f>
        <v>100</v>
      </c>
      <c r="T17" s="1654" t="s">
        <v>28</v>
      </c>
      <c r="U17" s="1655">
        <f>H17</f>
        <v>100</v>
      </c>
      <c r="V17" s="1654" t="s">
        <v>28</v>
      </c>
      <c r="W17" s="1655">
        <f>J17</f>
        <v>100</v>
      </c>
      <c r="X17" s="1594"/>
      <c r="Y17" s="361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5"/>
      <c r="Q18" s="1544"/>
      <c r="R18" s="1654"/>
      <c r="S18" s="1655"/>
      <c r="T18" s="1654"/>
      <c r="U18" s="1655"/>
      <c r="V18" s="1654"/>
      <c r="W18" s="1655"/>
      <c r="X18" s="1594"/>
      <c r="Y18" s="361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5"/>
      <c r="Q19" s="1544" t="str">
        <f>B19</f>
        <v>公共配套设施</v>
      </c>
      <c r="R19" s="1654" t="s">
        <v>28</v>
      </c>
      <c r="S19" s="1655">
        <f>F19</f>
        <v>100</v>
      </c>
      <c r="T19" s="1654" t="s">
        <v>28</v>
      </c>
      <c r="U19" s="1655">
        <f>H19</f>
        <v>100</v>
      </c>
      <c r="V19" s="1654" t="s">
        <v>28</v>
      </c>
      <c r="W19" s="1655">
        <f>J19</f>
        <v>100</v>
      </c>
      <c r="X19" s="1594"/>
      <c r="Y19" s="361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5"/>
      <c r="Q20" s="1544"/>
      <c r="R20" s="1654"/>
      <c r="S20" s="1655"/>
      <c r="T20" s="1654"/>
      <c r="U20" s="1655"/>
      <c r="V20" s="1654"/>
      <c r="W20" s="1655"/>
      <c r="X20" s="1594"/>
      <c r="Y20" s="361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5"/>
      <c r="Q21" s="1544" t="str">
        <f>B21</f>
        <v>基础设施水平</v>
      </c>
      <c r="R21" s="1654" t="s">
        <v>28</v>
      </c>
      <c r="S21" s="1655">
        <f>F21</f>
        <v>100</v>
      </c>
      <c r="T21" s="1654" t="s">
        <v>28</v>
      </c>
      <c r="U21" s="1655">
        <f>H21</f>
        <v>100</v>
      </c>
      <c r="V21" s="1654" t="s">
        <v>28</v>
      </c>
      <c r="W21" s="1655">
        <f>J21</f>
        <v>100</v>
      </c>
      <c r="X21" s="1594"/>
      <c r="Y21" s="361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5"/>
      <c r="Q22" s="1544"/>
      <c r="R22" s="1654"/>
      <c r="S22" s="1655"/>
      <c r="T22" s="1654"/>
      <c r="U22" s="1655"/>
      <c r="V22" s="1654"/>
      <c r="W22" s="1655"/>
      <c r="X22" s="1594"/>
      <c r="Y22" s="361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5"/>
      <c r="Q23" s="1544" t="str">
        <f>B23</f>
        <v>自然及人文环境</v>
      </c>
      <c r="R23" s="1654" t="s">
        <v>28</v>
      </c>
      <c r="S23" s="1655">
        <f>F23</f>
        <v>100</v>
      </c>
      <c r="T23" s="1654" t="s">
        <v>28</v>
      </c>
      <c r="U23" s="1655">
        <f>H23</f>
        <v>100</v>
      </c>
      <c r="V23" s="1654" t="s">
        <v>28</v>
      </c>
      <c r="W23" s="1655">
        <f>J23</f>
        <v>100</v>
      </c>
      <c r="X23" s="1594"/>
      <c r="Y23" s="361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5"/>
      <c r="Q24" s="1544"/>
      <c r="R24" s="1654"/>
      <c r="S24" s="1655"/>
      <c r="T24" s="1654"/>
      <c r="U24" s="1655"/>
      <c r="V24" s="1654"/>
      <c r="W24" s="1655"/>
      <c r="X24" s="1594"/>
      <c r="Y24" s="361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5"/>
      <c r="Q25" s="1544" t="str">
        <f t="shared" ref="Q25:Q46" si="11">B25</f>
        <v>楼层-1</v>
      </c>
      <c r="R25" s="1654" t="s">
        <v>28</v>
      </c>
      <c r="S25" s="1655">
        <f>F25</f>
        <v>100</v>
      </c>
      <c r="T25" s="1654" t="s">
        <v>28</v>
      </c>
      <c r="U25" s="1655">
        <f>H25</f>
        <v>100</v>
      </c>
      <c r="V25" s="1654" t="s">
        <v>28</v>
      </c>
      <c r="W25" s="1655">
        <f>J25</f>
        <v>100</v>
      </c>
      <c r="X25" s="1594"/>
      <c r="Y25" s="361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5"/>
      <c r="Q26" s="1544" t="str">
        <f t="shared" si="11"/>
        <v>朝向</v>
      </c>
      <c r="R26" s="1654" t="s">
        <v>28</v>
      </c>
      <c r="S26" s="1655">
        <f>F26</f>
        <v>100</v>
      </c>
      <c r="T26" s="1654" t="s">
        <v>28</v>
      </c>
      <c r="U26" s="1655">
        <f>H26</f>
        <v>100</v>
      </c>
      <c r="V26" s="1654" t="s">
        <v>28</v>
      </c>
      <c r="W26" s="1655">
        <f>J26</f>
        <v>100</v>
      </c>
      <c r="X26" s="1594"/>
      <c r="Y26" s="361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5"/>
      <c r="Q27" s="1563" t="str">
        <f t="shared" si="11"/>
        <v>道路级别</v>
      </c>
      <c r="R27" s="1609" t="s">
        <v>28</v>
      </c>
      <c r="S27" s="1610">
        <f>F27</f>
        <v>100</v>
      </c>
      <c r="T27" s="1609" t="s">
        <v>28</v>
      </c>
      <c r="U27" s="1610">
        <f>H27</f>
        <v>100</v>
      </c>
      <c r="V27" s="1609" t="s">
        <v>28</v>
      </c>
      <c r="W27" s="1610">
        <f>J27</f>
        <v>100</v>
      </c>
      <c r="X27" s="1611"/>
      <c r="Y27" s="361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5"/>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5"/>
      <c r="Q29" s="1544">
        <f t="shared" si="11"/>
        <v>111</v>
      </c>
      <c r="R29" s="1654" t="s">
        <v>28</v>
      </c>
      <c r="S29" s="1655">
        <f t="shared" si="12"/>
        <v>100</v>
      </c>
      <c r="T29" s="1654" t="s">
        <v>28</v>
      </c>
      <c r="U29" s="1655">
        <f t="shared" si="13"/>
        <v>100</v>
      </c>
      <c r="V29" s="1654" t="s">
        <v>28</v>
      </c>
      <c r="W29" s="1655">
        <f t="shared" si="14"/>
        <v>100</v>
      </c>
      <c r="X29" s="1594"/>
      <c r="Y29" s="361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5"/>
      <c r="Q30" s="1544">
        <f t="shared" si="11"/>
        <v>111</v>
      </c>
      <c r="R30" s="1654" t="s">
        <v>28</v>
      </c>
      <c r="S30" s="1655">
        <f t="shared" si="12"/>
        <v>100</v>
      </c>
      <c r="T30" s="1654" t="s">
        <v>28</v>
      </c>
      <c r="U30" s="1655">
        <f t="shared" si="13"/>
        <v>100</v>
      </c>
      <c r="V30" s="1654" t="s">
        <v>28</v>
      </c>
      <c r="W30" s="1655">
        <f t="shared" si="14"/>
        <v>100</v>
      </c>
      <c r="X30" s="1594"/>
      <c r="Y30" s="361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5"/>
      <c r="Q31" s="1544">
        <f t="shared" si="11"/>
        <v>111</v>
      </c>
      <c r="R31" s="1654" t="s">
        <v>28</v>
      </c>
      <c r="S31" s="1655">
        <f t="shared" si="12"/>
        <v>100</v>
      </c>
      <c r="T31" s="1654" t="s">
        <v>28</v>
      </c>
      <c r="U31" s="1655">
        <f t="shared" si="13"/>
        <v>100</v>
      </c>
      <c r="V31" s="1654" t="s">
        <v>28</v>
      </c>
      <c r="W31" s="1655">
        <f t="shared" si="14"/>
        <v>100</v>
      </c>
      <c r="X31" s="1594"/>
      <c r="Y31" s="361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3" t="s">
        <v>2037</v>
      </c>
      <c r="Q32" s="1544" t="str">
        <f t="shared" si="11"/>
        <v>建筑类型</v>
      </c>
      <c r="R32" s="1654" t="s">
        <v>28</v>
      </c>
      <c r="S32" s="1655">
        <f t="shared" si="12"/>
        <v>100</v>
      </c>
      <c r="T32" s="1654" t="s">
        <v>28</v>
      </c>
      <c r="U32" s="1655">
        <f t="shared" si="13"/>
        <v>100</v>
      </c>
      <c r="V32" s="1654" t="s">
        <v>28</v>
      </c>
      <c r="W32" s="1655">
        <f t="shared" si="14"/>
        <v>100</v>
      </c>
      <c r="X32" s="1594"/>
      <c r="Y32" s="3616"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4"/>
      <c r="Q33" s="1695" t="str">
        <f t="shared" si="11"/>
        <v>项目建筑规模</v>
      </c>
      <c r="R33" s="1696" t="s">
        <v>28</v>
      </c>
      <c r="S33" s="1697" t="e">
        <f t="shared" si="12"/>
        <v>#N/A</v>
      </c>
      <c r="T33" s="1696" t="s">
        <v>28</v>
      </c>
      <c r="U33" s="1697" t="e">
        <f t="shared" si="13"/>
        <v>#N/A</v>
      </c>
      <c r="V33" s="1696" t="s">
        <v>28</v>
      </c>
      <c r="W33" s="1697" t="e">
        <f t="shared" si="14"/>
        <v>#N/A</v>
      </c>
      <c r="X33" s="1698"/>
      <c r="Y33" s="3616"/>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4"/>
      <c r="Q34" s="1544" t="str">
        <f t="shared" si="11"/>
        <v>建筑结构</v>
      </c>
      <c r="R34" s="1654" t="s">
        <v>28</v>
      </c>
      <c r="S34" s="1655">
        <f t="shared" si="12"/>
        <v>100</v>
      </c>
      <c r="T34" s="1654" t="s">
        <v>28</v>
      </c>
      <c r="U34" s="1655">
        <f t="shared" si="13"/>
        <v>100</v>
      </c>
      <c r="V34" s="1654" t="s">
        <v>28</v>
      </c>
      <c r="W34" s="1655">
        <f t="shared" si="14"/>
        <v>100</v>
      </c>
      <c r="X34" s="1594"/>
      <c r="Y34" s="3616"/>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4"/>
      <c r="Q35" s="1544" t="str">
        <f t="shared" si="11"/>
        <v>建筑品质</v>
      </c>
      <c r="R35" s="1654" t="s">
        <v>28</v>
      </c>
      <c r="S35" s="1655">
        <f t="shared" si="12"/>
        <v>100</v>
      </c>
      <c r="T35" s="1654" t="s">
        <v>28</v>
      </c>
      <c r="U35" s="1655">
        <f t="shared" si="13"/>
        <v>100</v>
      </c>
      <c r="V35" s="1654" t="s">
        <v>28</v>
      </c>
      <c r="W35" s="1655">
        <f t="shared" si="14"/>
        <v>100</v>
      </c>
      <c r="X35" s="1594"/>
      <c r="Y35" s="3616"/>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4"/>
      <c r="Q36" s="1544" t="str">
        <f t="shared" si="11"/>
        <v>公共部分装修</v>
      </c>
      <c r="R36" s="1654" t="s">
        <v>28</v>
      </c>
      <c r="S36" s="1655">
        <f t="shared" si="12"/>
        <v>100</v>
      </c>
      <c r="T36" s="1654" t="s">
        <v>28</v>
      </c>
      <c r="U36" s="1655">
        <f t="shared" si="13"/>
        <v>100</v>
      </c>
      <c r="V36" s="1654" t="s">
        <v>28</v>
      </c>
      <c r="W36" s="1655">
        <f t="shared" si="14"/>
        <v>100</v>
      </c>
      <c r="X36" s="1594"/>
      <c r="Y36" s="3616"/>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4"/>
      <c r="Q37" s="1563" t="str">
        <f t="shared" si="11"/>
        <v>成新度</v>
      </c>
      <c r="R37" s="1609" t="s">
        <v>28</v>
      </c>
      <c r="S37" s="1610" t="e">
        <f t="shared" si="12"/>
        <v>#N/A</v>
      </c>
      <c r="T37" s="1609" t="s">
        <v>28</v>
      </c>
      <c r="U37" s="1610" t="e">
        <f t="shared" si="13"/>
        <v>#N/A</v>
      </c>
      <c r="V37" s="1609" t="s">
        <v>28</v>
      </c>
      <c r="W37" s="1610" t="e">
        <f t="shared" si="14"/>
        <v>#N/A</v>
      </c>
      <c r="X37" s="1611"/>
      <c r="Y37" s="3616"/>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4" t="s">
        <v>2037</v>
      </c>
      <c r="Q38" s="1544" t="str">
        <f t="shared" si="11"/>
        <v>物业管理</v>
      </c>
      <c r="R38" s="1654" t="s">
        <v>28</v>
      </c>
      <c r="S38" s="1655">
        <f t="shared" si="12"/>
        <v>100</v>
      </c>
      <c r="T38" s="1654" t="s">
        <v>28</v>
      </c>
      <c r="U38" s="1655">
        <f t="shared" si="13"/>
        <v>100</v>
      </c>
      <c r="V38" s="1654" t="s">
        <v>28</v>
      </c>
      <c r="W38" s="1655">
        <f t="shared" si="14"/>
        <v>100</v>
      </c>
      <c r="X38" s="1594"/>
      <c r="Y38" s="3616"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4"/>
      <c r="Q39" s="1544" t="str">
        <f t="shared" si="11"/>
        <v>市政基础设施</v>
      </c>
      <c r="R39" s="1654" t="s">
        <v>28</v>
      </c>
      <c r="S39" s="1655">
        <f t="shared" si="12"/>
        <v>100</v>
      </c>
      <c r="T39" s="1654" t="s">
        <v>28</v>
      </c>
      <c r="U39" s="1655">
        <f t="shared" si="13"/>
        <v>100</v>
      </c>
      <c r="V39" s="1654" t="s">
        <v>28</v>
      </c>
      <c r="W39" s="1655">
        <f t="shared" si="14"/>
        <v>100</v>
      </c>
      <c r="X39" s="1594"/>
      <c r="Y39" s="3616"/>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4"/>
      <c r="Q40" s="1544" t="str">
        <f t="shared" si="11"/>
        <v>房型</v>
      </c>
      <c r="R40" s="1654" t="s">
        <v>28</v>
      </c>
      <c r="S40" s="1655">
        <f t="shared" si="12"/>
        <v>100</v>
      </c>
      <c r="T40" s="1654" t="s">
        <v>28</v>
      </c>
      <c r="U40" s="1655">
        <f t="shared" si="13"/>
        <v>100</v>
      </c>
      <c r="V40" s="1654" t="s">
        <v>28</v>
      </c>
      <c r="W40" s="1655">
        <f t="shared" si="14"/>
        <v>100</v>
      </c>
      <c r="X40" s="1594"/>
      <c r="Y40" s="3616"/>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4"/>
      <c r="Q41" s="1695" t="str">
        <f t="shared" si="11"/>
        <v>单套/主力户型建筑面积</v>
      </c>
      <c r="R41" s="1696" t="s">
        <v>28</v>
      </c>
      <c r="S41" s="1697">
        <f t="shared" si="12"/>
        <v>100</v>
      </c>
      <c r="T41" s="1696" t="s">
        <v>28</v>
      </c>
      <c r="U41" s="1697">
        <f t="shared" si="13"/>
        <v>100</v>
      </c>
      <c r="V41" s="1696" t="s">
        <v>28</v>
      </c>
      <c r="W41" s="1697">
        <f t="shared" si="14"/>
        <v>100</v>
      </c>
      <c r="X41" s="1698"/>
      <c r="Y41" s="3616"/>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4"/>
      <c r="Q42" s="1544" t="str">
        <f t="shared" si="11"/>
        <v>内部装修</v>
      </c>
      <c r="R42" s="1654" t="s">
        <v>28</v>
      </c>
      <c r="S42" s="1655">
        <f t="shared" si="12"/>
        <v>100</v>
      </c>
      <c r="T42" s="1654" t="s">
        <v>28</v>
      </c>
      <c r="U42" s="1655">
        <f t="shared" si="13"/>
        <v>100</v>
      </c>
      <c r="V42" s="1654" t="s">
        <v>28</v>
      </c>
      <c r="W42" s="1655">
        <f t="shared" si="14"/>
        <v>100</v>
      </c>
      <c r="X42" s="1594"/>
      <c r="Y42" s="3616"/>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4"/>
      <c r="Q43" s="1544" t="str">
        <f t="shared" si="11"/>
        <v>内部装修维护情况</v>
      </c>
      <c r="R43" s="1654" t="s">
        <v>28</v>
      </c>
      <c r="S43" s="1655">
        <f t="shared" si="12"/>
        <v>100</v>
      </c>
      <c r="T43" s="1654" t="s">
        <v>28</v>
      </c>
      <c r="U43" s="1655">
        <f t="shared" si="13"/>
        <v>100</v>
      </c>
      <c r="V43" s="1654" t="s">
        <v>28</v>
      </c>
      <c r="W43" s="1655">
        <f t="shared" si="14"/>
        <v>100</v>
      </c>
      <c r="X43" s="1594"/>
      <c r="Y43" s="361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4"/>
      <c r="Q44" s="1563">
        <f t="shared" si="11"/>
        <v>111</v>
      </c>
      <c r="R44" s="1609" t="s">
        <v>28</v>
      </c>
      <c r="S44" s="1610">
        <f t="shared" si="12"/>
        <v>100</v>
      </c>
      <c r="T44" s="1609" t="s">
        <v>28</v>
      </c>
      <c r="U44" s="1610">
        <f t="shared" si="13"/>
        <v>100</v>
      </c>
      <c r="V44" s="1609" t="s">
        <v>28</v>
      </c>
      <c r="W44" s="1610">
        <f t="shared" si="14"/>
        <v>100</v>
      </c>
      <c r="X44" s="1611"/>
      <c r="Y44" s="361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4"/>
      <c r="Q45" s="1544">
        <f t="shared" si="11"/>
        <v>111</v>
      </c>
      <c r="R45" s="1654" t="s">
        <v>28</v>
      </c>
      <c r="S45" s="1655">
        <f t="shared" si="12"/>
        <v>100</v>
      </c>
      <c r="T45" s="1654" t="s">
        <v>28</v>
      </c>
      <c r="U45" s="1655">
        <f t="shared" si="13"/>
        <v>100</v>
      </c>
      <c r="V45" s="1654" t="s">
        <v>28</v>
      </c>
      <c r="W45" s="1655">
        <f t="shared" si="14"/>
        <v>100</v>
      </c>
      <c r="X45" s="1594"/>
      <c r="Y45" s="3616"/>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5"/>
      <c r="Q46" s="1544">
        <f t="shared" si="11"/>
        <v>111</v>
      </c>
      <c r="R46" s="1654" t="s">
        <v>27</v>
      </c>
      <c r="S46" s="1655">
        <f t="shared" si="12"/>
        <v>100</v>
      </c>
      <c r="T46" s="1654" t="s">
        <v>27</v>
      </c>
      <c r="U46" s="1655">
        <f t="shared" si="13"/>
        <v>100</v>
      </c>
      <c r="V46" s="1654" t="s">
        <v>27</v>
      </c>
      <c r="W46" s="1655">
        <f t="shared" si="14"/>
        <v>100</v>
      </c>
      <c r="X46" s="1594"/>
      <c r="Y46" s="3617"/>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2" t="str">
        <f>A47</f>
        <v>成交单价（元/平方米）</v>
      </c>
      <c r="Q47" s="3622"/>
      <c r="R47" s="3623">
        <f>E47</f>
        <v>0</v>
      </c>
      <c r="S47" s="3623"/>
      <c r="T47" s="3623">
        <f>G47</f>
        <v>0</v>
      </c>
      <c r="U47" s="3623"/>
      <c r="V47" s="3623">
        <f>I47</f>
        <v>0</v>
      </c>
      <c r="W47" s="3623"/>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2023-2</v>
      </c>
      <c r="D58" s="1754">
        <f>EDATE(C58,-1)</f>
        <v>44927</v>
      </c>
      <c r="E58" s="1754">
        <f t="shared" ref="E58:O58" si="16">EDATE(D58,-1)</f>
        <v>44896</v>
      </c>
      <c r="F58" s="1754">
        <f t="shared" si="16"/>
        <v>44866</v>
      </c>
      <c r="G58" s="1754">
        <f t="shared" si="16"/>
        <v>44835</v>
      </c>
      <c r="H58" s="1754">
        <f t="shared" si="16"/>
        <v>44805</v>
      </c>
      <c r="I58" s="1754">
        <f t="shared" si="16"/>
        <v>44774</v>
      </c>
      <c r="J58" s="1754">
        <f t="shared" si="16"/>
        <v>44743</v>
      </c>
      <c r="K58" s="1754">
        <f t="shared" si="16"/>
        <v>44713</v>
      </c>
      <c r="L58" s="1754">
        <f t="shared" si="16"/>
        <v>44682</v>
      </c>
      <c r="M58" s="1754">
        <f t="shared" si="16"/>
        <v>44652</v>
      </c>
      <c r="N58" s="1754">
        <f t="shared" si="16"/>
        <v>44621</v>
      </c>
      <c r="O58" s="1754">
        <f t="shared" si="16"/>
        <v>44593</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2128.59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96" t="s">
        <v>2008</v>
      </c>
      <c r="S4" s="3597"/>
      <c r="T4" s="3596" t="s">
        <v>2009</v>
      </c>
      <c r="U4" s="3597"/>
      <c r="V4" s="3602" t="s">
        <v>2010</v>
      </c>
      <c r="W4" s="3602"/>
      <c r="X4" s="2003"/>
      <c r="Y4" s="3596" t="s">
        <v>2012</v>
      </c>
      <c r="Z4" s="3597"/>
      <c r="AA4" s="3583" t="s">
        <v>2008</v>
      </c>
      <c r="AB4" s="3602" t="s">
        <v>2009</v>
      </c>
      <c r="AC4" s="3583" t="s">
        <v>2010</v>
      </c>
    </row>
    <row r="5" spans="1:29" ht="15">
      <c r="A5" s="1596"/>
      <c r="B5" s="1597"/>
      <c r="C5" s="3605" t="s">
        <v>2013</v>
      </c>
      <c r="D5" s="3606"/>
      <c r="E5" s="3603" t="s">
        <v>2014</v>
      </c>
      <c r="F5" s="3604"/>
      <c r="G5" s="3605" t="s">
        <v>2015</v>
      </c>
      <c r="H5" s="3606"/>
      <c r="I5" s="3605" t="s">
        <v>2016</v>
      </c>
      <c r="J5" s="3606"/>
      <c r="K5" s="1894"/>
      <c r="L5" s="2915"/>
      <c r="M5" s="2916"/>
      <c r="N5" s="2916"/>
      <c r="O5" s="2916"/>
      <c r="P5" s="3592"/>
      <c r="Q5" s="3593"/>
      <c r="R5" s="3598"/>
      <c r="S5" s="3599"/>
      <c r="T5" s="3598"/>
      <c r="U5" s="3599"/>
      <c r="V5" s="3602"/>
      <c r="W5" s="3602"/>
      <c r="X5" s="2003"/>
      <c r="Y5" s="3598"/>
      <c r="Z5" s="3599"/>
      <c r="AA5" s="3584"/>
      <c r="AB5" s="3602"/>
      <c r="AC5" s="3584"/>
    </row>
    <row r="6" spans="1:29" ht="15.75" thickBot="1">
      <c r="A6" s="1599"/>
      <c r="B6" s="1600"/>
      <c r="C6" s="3607" t="s">
        <v>2017</v>
      </c>
      <c r="D6" s="3608"/>
      <c r="E6" s="3609" t="s">
        <v>2017</v>
      </c>
      <c r="F6" s="3610"/>
      <c r="G6" s="3607" t="s">
        <v>2017</v>
      </c>
      <c r="H6" s="3608"/>
      <c r="I6" s="3607" t="s">
        <v>2017</v>
      </c>
      <c r="J6" s="3608"/>
      <c r="K6" s="1894" t="s">
        <v>2018</v>
      </c>
      <c r="L6" s="2915"/>
      <c r="M6" s="2916"/>
      <c r="N6" s="2916"/>
      <c r="O6" s="2916"/>
      <c r="P6" s="3594"/>
      <c r="Q6" s="3595"/>
      <c r="R6" s="3598"/>
      <c r="S6" s="3599"/>
      <c r="T6" s="3600"/>
      <c r="U6" s="3601"/>
      <c r="V6" s="3602"/>
      <c r="W6" s="3602"/>
      <c r="X6" s="2003"/>
      <c r="Y6" s="3600"/>
      <c r="Z6" s="3601"/>
      <c r="AA6" s="3585"/>
      <c r="AB6" s="3602"/>
      <c r="AC6" s="3585"/>
    </row>
    <row r="7" spans="1:29" s="1613" customFormat="1" ht="15.75" thickBot="1">
      <c r="A7" s="1601" t="s">
        <v>2019</v>
      </c>
      <c r="B7" s="1602"/>
      <c r="C7" s="1603">
        <f>'数据-取费表'!B2</f>
        <v>44985</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8" t="s">
        <v>2020</v>
      </c>
      <c r="Q7" s="3620"/>
      <c r="R7" s="1609" t="s">
        <v>25</v>
      </c>
      <c r="S7" s="1610">
        <f t="shared" ref="S7:S15" si="0">F7</f>
        <v>0</v>
      </c>
      <c r="T7" s="1609" t="s">
        <v>25</v>
      </c>
      <c r="U7" s="1610">
        <f t="shared" ref="U7:U15" si="1">H7</f>
        <v>0</v>
      </c>
      <c r="V7" s="1609" t="s">
        <v>25</v>
      </c>
      <c r="W7" s="1610">
        <f t="shared" ref="W7:W15" si="2">J7</f>
        <v>0</v>
      </c>
      <c r="X7" s="1611"/>
      <c r="Y7" s="3618" t="s">
        <v>2020</v>
      </c>
      <c r="Z7" s="361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8" t="s">
        <v>2023</v>
      </c>
      <c r="Q8" s="3619"/>
      <c r="R8" s="1609" t="s">
        <v>25</v>
      </c>
      <c r="S8" s="1610">
        <f t="shared" si="0"/>
        <v>0</v>
      </c>
      <c r="T8" s="1609" t="s">
        <v>25</v>
      </c>
      <c r="U8" s="1610">
        <f t="shared" si="1"/>
        <v>0</v>
      </c>
      <c r="V8" s="1609" t="s">
        <v>25</v>
      </c>
      <c r="W8" s="1610">
        <f t="shared" si="2"/>
        <v>0</v>
      </c>
      <c r="X8" s="1611"/>
      <c r="Y8" s="3618" t="s">
        <v>2023</v>
      </c>
      <c r="Z8" s="3619"/>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1"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1"/>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1"/>
      <c r="Q11" s="1994"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1"/>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1"/>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1"/>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4" t="s">
        <v>2031</v>
      </c>
      <c r="Q15" s="2000" t="str">
        <f t="shared" si="6"/>
        <v>商业繁华度</v>
      </c>
      <c r="R15" s="1654" t="s">
        <v>25</v>
      </c>
      <c r="S15" s="1655">
        <f t="shared" si="0"/>
        <v>100</v>
      </c>
      <c r="T15" s="1654" t="s">
        <v>25</v>
      </c>
      <c r="U15" s="1655">
        <f t="shared" si="1"/>
        <v>100</v>
      </c>
      <c r="V15" s="1654" t="s">
        <v>25</v>
      </c>
      <c r="W15" s="1655">
        <f t="shared" si="2"/>
        <v>100</v>
      </c>
      <c r="X15" s="2003"/>
      <c r="Y15" s="361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5"/>
      <c r="Q16" s="2000"/>
      <c r="R16" s="1654"/>
      <c r="S16" s="1655"/>
      <c r="T16" s="1654"/>
      <c r="U16" s="1655"/>
      <c r="V16" s="1654"/>
      <c r="W16" s="1655"/>
      <c r="X16" s="2003"/>
      <c r="Y16" s="361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5"/>
      <c r="Q17" s="2000" t="str">
        <f>B17</f>
        <v>交通便捷度</v>
      </c>
      <c r="R17" s="1654" t="s">
        <v>25</v>
      </c>
      <c r="S17" s="1655">
        <f>F17</f>
        <v>100</v>
      </c>
      <c r="T17" s="1654" t="s">
        <v>25</v>
      </c>
      <c r="U17" s="1655">
        <f>H17</f>
        <v>100</v>
      </c>
      <c r="V17" s="1654" t="s">
        <v>25</v>
      </c>
      <c r="W17" s="1655">
        <f>J17</f>
        <v>100</v>
      </c>
      <c r="X17" s="2003"/>
      <c r="Y17" s="361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5"/>
      <c r="Q18" s="2000"/>
      <c r="R18" s="1654"/>
      <c r="S18" s="1655"/>
      <c r="T18" s="1654"/>
      <c r="U18" s="1655"/>
      <c r="V18" s="1654"/>
      <c r="W18" s="1655"/>
      <c r="X18" s="2003"/>
      <c r="Y18" s="361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5"/>
      <c r="Q19" s="2000" t="str">
        <f>B19</f>
        <v>公共配套设施</v>
      </c>
      <c r="R19" s="1654" t="s">
        <v>25</v>
      </c>
      <c r="S19" s="1655">
        <f>F19</f>
        <v>100</v>
      </c>
      <c r="T19" s="1654" t="s">
        <v>25</v>
      </c>
      <c r="U19" s="1655">
        <f>H19</f>
        <v>100</v>
      </c>
      <c r="V19" s="1654" t="s">
        <v>25</v>
      </c>
      <c r="W19" s="1655">
        <f>J19</f>
        <v>100</v>
      </c>
      <c r="X19" s="2003"/>
      <c r="Y19" s="361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5"/>
      <c r="Q20" s="2000"/>
      <c r="R20" s="1654"/>
      <c r="S20" s="1655"/>
      <c r="T20" s="1654"/>
      <c r="U20" s="1655"/>
      <c r="V20" s="1654"/>
      <c r="W20" s="1655"/>
      <c r="X20" s="2003"/>
      <c r="Y20" s="361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5"/>
      <c r="Q21" s="2000" t="str">
        <f>B21</f>
        <v>基础设施水平</v>
      </c>
      <c r="R21" s="1654" t="s">
        <v>25</v>
      </c>
      <c r="S21" s="1655">
        <f>F21</f>
        <v>100</v>
      </c>
      <c r="T21" s="1654" t="s">
        <v>25</v>
      </c>
      <c r="U21" s="1655">
        <f>H21</f>
        <v>100</v>
      </c>
      <c r="V21" s="1654" t="s">
        <v>25</v>
      </c>
      <c r="W21" s="1655">
        <f>J21</f>
        <v>100</v>
      </c>
      <c r="X21" s="2003"/>
      <c r="Y21" s="361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5"/>
      <c r="Q22" s="2000"/>
      <c r="R22" s="1654"/>
      <c r="S22" s="1655"/>
      <c r="T22" s="1654"/>
      <c r="U22" s="1655"/>
      <c r="V22" s="1654"/>
      <c r="W22" s="1655"/>
      <c r="X22" s="2003"/>
      <c r="Y22" s="361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5"/>
      <c r="Q23" s="2000" t="str">
        <f>B23</f>
        <v>自然及人文环境</v>
      </c>
      <c r="R23" s="1654" t="s">
        <v>25</v>
      </c>
      <c r="S23" s="1655">
        <f>F23</f>
        <v>100</v>
      </c>
      <c r="T23" s="1654" t="s">
        <v>25</v>
      </c>
      <c r="U23" s="1655">
        <f>H23</f>
        <v>100</v>
      </c>
      <c r="V23" s="1654" t="s">
        <v>25</v>
      </c>
      <c r="W23" s="1655">
        <f>J23</f>
        <v>100</v>
      </c>
      <c r="X23" s="2003"/>
      <c r="Y23" s="361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5"/>
      <c r="Q24" s="2000"/>
      <c r="R24" s="1654"/>
      <c r="S24" s="1655"/>
      <c r="T24" s="1654"/>
      <c r="U24" s="1655"/>
      <c r="V24" s="1654"/>
      <c r="W24" s="1655"/>
      <c r="X24" s="2003"/>
      <c r="Y24" s="361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5"/>
      <c r="Q25" s="2000" t="str">
        <f t="shared" ref="Q25:Q46" si="11">B25</f>
        <v>临街状况</v>
      </c>
      <c r="R25" s="1654" t="s">
        <v>25</v>
      </c>
      <c r="S25" s="1655">
        <f>F25</f>
        <v>100</v>
      </c>
      <c r="T25" s="1654" t="s">
        <v>25</v>
      </c>
      <c r="U25" s="1655">
        <f>H25</f>
        <v>100</v>
      </c>
      <c r="V25" s="1654" t="s">
        <v>25</v>
      </c>
      <c r="W25" s="1655">
        <f>J25</f>
        <v>100</v>
      </c>
      <c r="X25" s="2003"/>
      <c r="Y25" s="361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5"/>
      <c r="Q26" s="2000" t="str">
        <f t="shared" si="11"/>
        <v>平面位置/可视性</v>
      </c>
      <c r="R26" s="1654" t="s">
        <v>25</v>
      </c>
      <c r="S26" s="1655">
        <f>F26</f>
        <v>100</v>
      </c>
      <c r="T26" s="1654" t="s">
        <v>25</v>
      </c>
      <c r="U26" s="1655">
        <f>H26</f>
        <v>100</v>
      </c>
      <c r="V26" s="1654" t="s">
        <v>25</v>
      </c>
      <c r="W26" s="1655">
        <f>J26</f>
        <v>100</v>
      </c>
      <c r="X26" s="2003"/>
      <c r="Y26" s="361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5"/>
      <c r="Q27" s="1994" t="str">
        <f t="shared" si="11"/>
        <v>人流量</v>
      </c>
      <c r="R27" s="1609" t="s">
        <v>25</v>
      </c>
      <c r="S27" s="1610">
        <f>F27</f>
        <v>100</v>
      </c>
      <c r="T27" s="1609" t="s">
        <v>25</v>
      </c>
      <c r="U27" s="1610">
        <f>H27</f>
        <v>100</v>
      </c>
      <c r="V27" s="1609" t="s">
        <v>25</v>
      </c>
      <c r="W27" s="1610">
        <f>J27</f>
        <v>100</v>
      </c>
      <c r="X27" s="1611"/>
      <c r="Y27" s="361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5"/>
      <c r="Q29" s="2000">
        <f t="shared" si="11"/>
        <v>111</v>
      </c>
      <c r="R29" s="1654" t="s">
        <v>25</v>
      </c>
      <c r="S29" s="1655">
        <f t="shared" si="12"/>
        <v>100</v>
      </c>
      <c r="T29" s="1654" t="s">
        <v>25</v>
      </c>
      <c r="U29" s="1655">
        <f t="shared" si="13"/>
        <v>100</v>
      </c>
      <c r="V29" s="1654" t="s">
        <v>25</v>
      </c>
      <c r="W29" s="1655">
        <f t="shared" si="14"/>
        <v>100</v>
      </c>
      <c r="X29" s="2003"/>
      <c r="Y29" s="361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5"/>
      <c r="Q30" s="2000">
        <f t="shared" si="11"/>
        <v>111</v>
      </c>
      <c r="R30" s="1654" t="s">
        <v>25</v>
      </c>
      <c r="S30" s="1655">
        <f t="shared" si="12"/>
        <v>100</v>
      </c>
      <c r="T30" s="1654" t="s">
        <v>25</v>
      </c>
      <c r="U30" s="1655">
        <f t="shared" si="13"/>
        <v>100</v>
      </c>
      <c r="V30" s="1654" t="s">
        <v>25</v>
      </c>
      <c r="W30" s="1655">
        <f t="shared" si="14"/>
        <v>100</v>
      </c>
      <c r="X30" s="2003"/>
      <c r="Y30" s="361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5"/>
      <c r="Q31" s="2000">
        <f t="shared" si="11"/>
        <v>111</v>
      </c>
      <c r="R31" s="1654" t="s">
        <v>25</v>
      </c>
      <c r="S31" s="1655">
        <f t="shared" si="12"/>
        <v>100</v>
      </c>
      <c r="T31" s="1654" t="s">
        <v>25</v>
      </c>
      <c r="U31" s="1655">
        <f t="shared" si="13"/>
        <v>100</v>
      </c>
      <c r="V31" s="1654" t="s">
        <v>25</v>
      </c>
      <c r="W31" s="1655">
        <f t="shared" si="14"/>
        <v>100</v>
      </c>
      <c r="X31" s="2003"/>
      <c r="Y31" s="361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3" t="s">
        <v>2037</v>
      </c>
      <c r="Q32" s="2000" t="str">
        <f t="shared" si="11"/>
        <v>商业类型</v>
      </c>
      <c r="R32" s="1654" t="s">
        <v>25</v>
      </c>
      <c r="S32" s="1655">
        <f t="shared" si="12"/>
        <v>100</v>
      </c>
      <c r="T32" s="1654" t="s">
        <v>25</v>
      </c>
      <c r="U32" s="1655">
        <f t="shared" si="13"/>
        <v>100</v>
      </c>
      <c r="V32" s="1654" t="s">
        <v>25</v>
      </c>
      <c r="W32" s="1655">
        <f t="shared" si="14"/>
        <v>100</v>
      </c>
      <c r="X32" s="2003"/>
      <c r="Y32" s="3616"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4"/>
      <c r="Q33" s="1695" t="str">
        <f t="shared" si="11"/>
        <v>项目建筑规模</v>
      </c>
      <c r="R33" s="1696" t="s">
        <v>25</v>
      </c>
      <c r="S33" s="1697" t="e">
        <f t="shared" si="12"/>
        <v>#N/A</v>
      </c>
      <c r="T33" s="1696" t="s">
        <v>25</v>
      </c>
      <c r="U33" s="1697" t="e">
        <f t="shared" si="13"/>
        <v>#N/A</v>
      </c>
      <c r="V33" s="1696" t="s">
        <v>25</v>
      </c>
      <c r="W33" s="1697" t="e">
        <f t="shared" si="14"/>
        <v>#N/A</v>
      </c>
      <c r="X33" s="1698"/>
      <c r="Y33" s="3616"/>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4"/>
      <c r="Q34" s="2000" t="str">
        <f t="shared" si="11"/>
        <v>建筑结构</v>
      </c>
      <c r="R34" s="1654" t="s">
        <v>25</v>
      </c>
      <c r="S34" s="1655">
        <f t="shared" si="12"/>
        <v>100</v>
      </c>
      <c r="T34" s="1654" t="s">
        <v>25</v>
      </c>
      <c r="U34" s="1655">
        <f t="shared" si="13"/>
        <v>100</v>
      </c>
      <c r="V34" s="1654" t="s">
        <v>25</v>
      </c>
      <c r="W34" s="1655">
        <f t="shared" si="14"/>
        <v>100</v>
      </c>
      <c r="X34" s="2003"/>
      <c r="Y34" s="3616"/>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4"/>
      <c r="Q35" s="2000" t="str">
        <f t="shared" si="11"/>
        <v>公共部分装修</v>
      </c>
      <c r="R35" s="1654" t="s">
        <v>25</v>
      </c>
      <c r="S35" s="1655">
        <f t="shared" si="12"/>
        <v>100</v>
      </c>
      <c r="T35" s="1654" t="s">
        <v>25</v>
      </c>
      <c r="U35" s="1655">
        <f t="shared" si="13"/>
        <v>100</v>
      </c>
      <c r="V35" s="1654" t="s">
        <v>25</v>
      </c>
      <c r="W35" s="1655">
        <f t="shared" si="14"/>
        <v>100</v>
      </c>
      <c r="X35" s="2003"/>
      <c r="Y35" s="3616"/>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4"/>
      <c r="Q36" s="2000" t="str">
        <f t="shared" si="11"/>
        <v>成新度</v>
      </c>
      <c r="R36" s="1654" t="s">
        <v>25</v>
      </c>
      <c r="S36" s="1655" t="e">
        <f t="shared" si="12"/>
        <v>#N/A</v>
      </c>
      <c r="T36" s="1654" t="s">
        <v>25</v>
      </c>
      <c r="U36" s="1655" t="e">
        <f t="shared" si="13"/>
        <v>#N/A</v>
      </c>
      <c r="V36" s="1654" t="s">
        <v>25</v>
      </c>
      <c r="W36" s="1655" t="e">
        <f t="shared" si="14"/>
        <v>#N/A</v>
      </c>
      <c r="X36" s="2003"/>
      <c r="Y36" s="3616"/>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4"/>
      <c r="Q37" s="1994" t="str">
        <f t="shared" si="11"/>
        <v>市政基础设施</v>
      </c>
      <c r="R37" s="1609" t="s">
        <v>25</v>
      </c>
      <c r="S37" s="1610">
        <f t="shared" si="12"/>
        <v>100</v>
      </c>
      <c r="T37" s="1609" t="s">
        <v>25</v>
      </c>
      <c r="U37" s="1610">
        <f t="shared" si="13"/>
        <v>100</v>
      </c>
      <c r="V37" s="1609" t="s">
        <v>25</v>
      </c>
      <c r="W37" s="1610">
        <f t="shared" si="14"/>
        <v>100</v>
      </c>
      <c r="X37" s="1611"/>
      <c r="Y37" s="3616"/>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4" t="s">
        <v>2037</v>
      </c>
      <c r="Q38" s="2000" t="str">
        <f t="shared" si="11"/>
        <v>业态</v>
      </c>
      <c r="R38" s="1654" t="s">
        <v>25</v>
      </c>
      <c r="S38" s="1655">
        <f t="shared" si="12"/>
        <v>100</v>
      </c>
      <c r="T38" s="1654" t="s">
        <v>25</v>
      </c>
      <c r="U38" s="1655">
        <f t="shared" si="13"/>
        <v>100</v>
      </c>
      <c r="V38" s="1654" t="s">
        <v>25</v>
      </c>
      <c r="W38" s="1655">
        <f t="shared" si="14"/>
        <v>100</v>
      </c>
      <c r="X38" s="2003"/>
      <c r="Y38" s="3616"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4"/>
      <c r="Q39" s="2000" t="str">
        <f t="shared" si="11"/>
        <v>层高</v>
      </c>
      <c r="R39" s="1654" t="s">
        <v>25</v>
      </c>
      <c r="S39" s="1655">
        <f t="shared" si="12"/>
        <v>100</v>
      </c>
      <c r="T39" s="1654" t="s">
        <v>25</v>
      </c>
      <c r="U39" s="1655">
        <f t="shared" si="13"/>
        <v>100</v>
      </c>
      <c r="V39" s="1654" t="s">
        <v>25</v>
      </c>
      <c r="W39" s="1655">
        <f t="shared" si="14"/>
        <v>100</v>
      </c>
      <c r="X39" s="2003"/>
      <c r="Y39" s="3616"/>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4"/>
      <c r="Q40" s="2000" t="str">
        <f t="shared" si="11"/>
        <v>单套建筑面积</v>
      </c>
      <c r="R40" s="1654" t="s">
        <v>25</v>
      </c>
      <c r="S40" s="1655">
        <f t="shared" si="12"/>
        <v>100</v>
      </c>
      <c r="T40" s="1654" t="s">
        <v>25</v>
      </c>
      <c r="U40" s="1655">
        <f t="shared" si="13"/>
        <v>100</v>
      </c>
      <c r="V40" s="1654" t="s">
        <v>25</v>
      </c>
      <c r="W40" s="1655">
        <f t="shared" si="14"/>
        <v>100</v>
      </c>
      <c r="X40" s="2003"/>
      <c r="Y40" s="3616"/>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4"/>
      <c r="Q41" s="1695" t="str">
        <f t="shared" si="11"/>
        <v>进深比</v>
      </c>
      <c r="R41" s="1696" t="s">
        <v>25</v>
      </c>
      <c r="S41" s="1697">
        <f t="shared" si="12"/>
        <v>100</v>
      </c>
      <c r="T41" s="1696" t="s">
        <v>25</v>
      </c>
      <c r="U41" s="1697">
        <f t="shared" si="13"/>
        <v>100</v>
      </c>
      <c r="V41" s="1696" t="s">
        <v>25</v>
      </c>
      <c r="W41" s="1697">
        <f t="shared" si="14"/>
        <v>100</v>
      </c>
      <c r="X41" s="1698"/>
      <c r="Y41" s="3616"/>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4"/>
      <c r="Q42" s="2000" t="str">
        <f t="shared" si="11"/>
        <v>内部装修</v>
      </c>
      <c r="R42" s="1654" t="s">
        <v>25</v>
      </c>
      <c r="S42" s="1655">
        <f t="shared" si="12"/>
        <v>100</v>
      </c>
      <c r="T42" s="1654" t="s">
        <v>25</v>
      </c>
      <c r="U42" s="1655">
        <f t="shared" si="13"/>
        <v>100</v>
      </c>
      <c r="V42" s="1654" t="s">
        <v>25</v>
      </c>
      <c r="W42" s="1655">
        <f t="shared" si="14"/>
        <v>100</v>
      </c>
      <c r="X42" s="2003"/>
      <c r="Y42" s="3616"/>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4"/>
      <c r="Q43" s="2000" t="str">
        <f t="shared" si="11"/>
        <v>内部装修维护情况</v>
      </c>
      <c r="R43" s="1654" t="s">
        <v>25</v>
      </c>
      <c r="S43" s="1655">
        <f t="shared" si="12"/>
        <v>100</v>
      </c>
      <c r="T43" s="1654" t="s">
        <v>25</v>
      </c>
      <c r="U43" s="1655">
        <f t="shared" si="13"/>
        <v>100</v>
      </c>
      <c r="V43" s="1654" t="s">
        <v>25</v>
      </c>
      <c r="W43" s="1655">
        <f t="shared" si="14"/>
        <v>100</v>
      </c>
      <c r="X43" s="2003"/>
      <c r="Y43" s="361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4"/>
      <c r="Q44" s="1994">
        <f t="shared" si="11"/>
        <v>111</v>
      </c>
      <c r="R44" s="1609" t="s">
        <v>25</v>
      </c>
      <c r="S44" s="1610">
        <f t="shared" si="12"/>
        <v>100</v>
      </c>
      <c r="T44" s="1609" t="s">
        <v>25</v>
      </c>
      <c r="U44" s="1610">
        <f t="shared" si="13"/>
        <v>100</v>
      </c>
      <c r="V44" s="1609" t="s">
        <v>25</v>
      </c>
      <c r="W44" s="1610">
        <f t="shared" si="14"/>
        <v>100</v>
      </c>
      <c r="X44" s="1611"/>
      <c r="Y44" s="361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4"/>
      <c r="Q45" s="2000">
        <f t="shared" si="11"/>
        <v>111</v>
      </c>
      <c r="R45" s="1654" t="s">
        <v>25</v>
      </c>
      <c r="S45" s="1655">
        <f t="shared" si="12"/>
        <v>100</v>
      </c>
      <c r="T45" s="1654" t="s">
        <v>25</v>
      </c>
      <c r="U45" s="1655">
        <f t="shared" si="13"/>
        <v>100</v>
      </c>
      <c r="V45" s="1654" t="s">
        <v>25</v>
      </c>
      <c r="W45" s="1655">
        <f t="shared" si="14"/>
        <v>100</v>
      </c>
      <c r="X45" s="2003"/>
      <c r="Y45" s="361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5"/>
      <c r="Q46" s="2000">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2" t="str">
        <f>A47</f>
        <v>成交单价（元/平方米）</v>
      </c>
      <c r="Q47" s="3622"/>
      <c r="R47" s="3623">
        <f>E47</f>
        <v>0</v>
      </c>
      <c r="S47" s="3623"/>
      <c r="T47" s="3623">
        <f>G47</f>
        <v>0</v>
      </c>
      <c r="U47" s="3623"/>
      <c r="V47" s="3623">
        <f>I47</f>
        <v>0</v>
      </c>
      <c r="W47" s="3623"/>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2023-2</v>
      </c>
      <c r="D58" s="1754">
        <f>EDATE(C58,-1)</f>
        <v>44927</v>
      </c>
      <c r="E58" s="1754">
        <f t="shared" ref="E58:O58" si="16">EDATE(D58,-1)</f>
        <v>44896</v>
      </c>
      <c r="F58" s="1754">
        <f t="shared" si="16"/>
        <v>44866</v>
      </c>
      <c r="G58" s="1754">
        <f t="shared" si="16"/>
        <v>44835</v>
      </c>
      <c r="H58" s="1754">
        <f t="shared" si="16"/>
        <v>44805</v>
      </c>
      <c r="I58" s="1754">
        <f t="shared" si="16"/>
        <v>44774</v>
      </c>
      <c r="J58" s="1754">
        <f t="shared" si="16"/>
        <v>44743</v>
      </c>
      <c r="K58" s="1754">
        <f t="shared" si="16"/>
        <v>44713</v>
      </c>
      <c r="L58" s="1754">
        <f t="shared" si="16"/>
        <v>44682</v>
      </c>
      <c r="M58" s="1754">
        <f t="shared" si="16"/>
        <v>44652</v>
      </c>
      <c r="N58" s="1754">
        <f t="shared" si="16"/>
        <v>44621</v>
      </c>
      <c r="O58" s="1754">
        <f t="shared" si="16"/>
        <v>44593</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70" zoomScaleNormal="60" zoomScaleSheetLayoutView="70" workbookViewId="0">
      <selection activeCell="J52" sqref="J52"/>
    </sheetView>
  </sheetViews>
  <sheetFormatPr defaultColWidth="9" defaultRowHeight="14.25"/>
  <cols>
    <col min="1" max="1" width="10.5" style="1595" customWidth="1"/>
    <col min="2" max="2" width="15.75" style="1595" customWidth="1"/>
    <col min="3" max="3" width="16.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16481</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77426</v>
      </c>
      <c r="C3" s="1588" t="s">
        <v>2005</v>
      </c>
      <c r="D3" s="1588">
        <f>IF(C1="仅计算典型户型",'数据-取费表'!E5,'数据-取费表'!B5)</f>
        <v>2128.59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96" t="s">
        <v>2008</v>
      </c>
      <c r="S4" s="3597"/>
      <c r="T4" s="3596" t="s">
        <v>2009</v>
      </c>
      <c r="U4" s="3597"/>
      <c r="V4" s="3602" t="s">
        <v>2010</v>
      </c>
      <c r="W4" s="3602"/>
      <c r="X4" s="2003"/>
      <c r="Y4" s="3596" t="s">
        <v>2012</v>
      </c>
      <c r="Z4" s="3597"/>
      <c r="AA4" s="3583" t="s">
        <v>2008</v>
      </c>
      <c r="AB4" s="3583" t="s">
        <v>2009</v>
      </c>
      <c r="AC4" s="3583" t="s">
        <v>2010</v>
      </c>
    </row>
    <row r="5" spans="1:29" ht="15">
      <c r="A5" s="1596"/>
      <c r="B5" s="1597"/>
      <c r="C5" s="3631" t="s">
        <v>3044</v>
      </c>
      <c r="D5" s="3606"/>
      <c r="E5" s="3631" t="s">
        <v>3044</v>
      </c>
      <c r="F5" s="3606"/>
      <c r="G5" s="3631" t="s">
        <v>3050</v>
      </c>
      <c r="H5" s="3606"/>
      <c r="I5" s="3631" t="s">
        <v>3051</v>
      </c>
      <c r="J5" s="3606"/>
      <c r="K5" s="1894"/>
      <c r="L5" s="2915"/>
      <c r="M5" s="2916"/>
      <c r="N5" s="2916"/>
      <c r="O5" s="2916"/>
      <c r="P5" s="3592"/>
      <c r="Q5" s="3593"/>
      <c r="R5" s="3598"/>
      <c r="S5" s="3599"/>
      <c r="T5" s="3598"/>
      <c r="U5" s="3599"/>
      <c r="V5" s="3602"/>
      <c r="W5" s="3602"/>
      <c r="X5" s="2003"/>
      <c r="Y5" s="3598"/>
      <c r="Z5" s="3599"/>
      <c r="AA5" s="3584"/>
      <c r="AB5" s="3584"/>
      <c r="AC5" s="3584"/>
    </row>
    <row r="6" spans="1:29" ht="15.75" thickBot="1">
      <c r="A6" s="1599"/>
      <c r="B6" s="1600"/>
      <c r="C6" s="3607" t="s">
        <v>2017</v>
      </c>
      <c r="D6" s="3608"/>
      <c r="E6" s="3609" t="s">
        <v>2017</v>
      </c>
      <c r="F6" s="3610"/>
      <c r="G6" s="3607" t="s">
        <v>2017</v>
      </c>
      <c r="H6" s="3608"/>
      <c r="I6" s="3607" t="s">
        <v>2017</v>
      </c>
      <c r="J6" s="3608"/>
      <c r="K6" s="1894" t="s">
        <v>2018</v>
      </c>
      <c r="L6" s="2915"/>
      <c r="M6" s="2916"/>
      <c r="N6" s="2916"/>
      <c r="O6" s="2916"/>
      <c r="P6" s="3594"/>
      <c r="Q6" s="3595"/>
      <c r="R6" s="3598"/>
      <c r="S6" s="3599"/>
      <c r="T6" s="3600"/>
      <c r="U6" s="3601"/>
      <c r="V6" s="3602"/>
      <c r="W6" s="3602"/>
      <c r="X6" s="2003"/>
      <c r="Y6" s="3600"/>
      <c r="Z6" s="3601"/>
      <c r="AA6" s="3585"/>
      <c r="AB6" s="3585"/>
      <c r="AC6" s="3585"/>
    </row>
    <row r="7" spans="1:29" s="1613" customFormat="1" ht="15.75" thickBot="1">
      <c r="A7" s="1601" t="s">
        <v>2019</v>
      </c>
      <c r="B7" s="1602"/>
      <c r="C7" s="1603">
        <f>'数据-取费表'!B2</f>
        <v>44985</v>
      </c>
      <c r="D7" s="1604">
        <v>100</v>
      </c>
      <c r="E7" s="1605">
        <v>44958</v>
      </c>
      <c r="F7" s="1606">
        <f>SUMIF(59:59,YEAR(E7)&amp;"-"&amp;MONTH(E7),60:60)</f>
        <v>100</v>
      </c>
      <c r="G7" s="1895">
        <v>44958</v>
      </c>
      <c r="H7" s="1604">
        <f>SUMIF(59:59,YEAR(G7)&amp;"-"&amp;MONTH(G7),60:60)</f>
        <v>100</v>
      </c>
      <c r="I7" s="1895">
        <v>44958</v>
      </c>
      <c r="J7" s="1604">
        <f>SUMIF(59:59,YEAR(I7)&amp;"-"&amp;MONTH(I7),60:60)</f>
        <v>100</v>
      </c>
      <c r="K7" s="1896"/>
      <c r="L7" s="2915"/>
      <c r="M7" s="2888"/>
      <c r="N7" s="2888"/>
      <c r="O7" s="2888"/>
      <c r="P7" s="3618" t="s">
        <v>2020</v>
      </c>
      <c r="Q7" s="3620"/>
      <c r="R7" s="1609" t="s">
        <v>25</v>
      </c>
      <c r="S7" s="1610">
        <f t="shared" ref="S7:S15" si="0">F7</f>
        <v>100</v>
      </c>
      <c r="T7" s="1609" t="s">
        <v>25</v>
      </c>
      <c r="U7" s="1610">
        <f t="shared" ref="U7:U15" si="1">H7</f>
        <v>100</v>
      </c>
      <c r="V7" s="1609" t="s">
        <v>25</v>
      </c>
      <c r="W7" s="1610">
        <f t="shared" ref="W7:W15" si="2">J7</f>
        <v>100</v>
      </c>
      <c r="X7" s="1611"/>
      <c r="Y7" s="3618" t="s">
        <v>2020</v>
      </c>
      <c r="Z7" s="3619"/>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618" t="s">
        <v>2023</v>
      </c>
      <c r="Q8" s="3619"/>
      <c r="R8" s="1609" t="s">
        <v>25</v>
      </c>
      <c r="S8" s="1610">
        <f t="shared" si="0"/>
        <v>100</v>
      </c>
      <c r="T8" s="1609" t="s">
        <v>25</v>
      </c>
      <c r="U8" s="1610">
        <f t="shared" si="1"/>
        <v>100</v>
      </c>
      <c r="V8" s="1609" t="s">
        <v>25</v>
      </c>
      <c r="W8" s="1610">
        <f t="shared" si="2"/>
        <v>100</v>
      </c>
      <c r="X8" s="1611"/>
      <c r="Y8" s="3618" t="s">
        <v>2023</v>
      </c>
      <c r="Z8" s="3619"/>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2"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2"/>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2"/>
      <c r="Q11" s="2833" t="str">
        <f t="shared" si="6"/>
        <v>容积率</v>
      </c>
      <c r="R11" s="1609" t="s">
        <v>25</v>
      </c>
      <c r="S11" s="1610">
        <f t="shared" si="0"/>
        <v>100</v>
      </c>
      <c r="T11" s="1609" t="s">
        <v>25</v>
      </c>
      <c r="U11" s="1610">
        <f t="shared" si="1"/>
        <v>100</v>
      </c>
      <c r="V11" s="1609" t="s">
        <v>25</v>
      </c>
      <c r="W11" s="1610">
        <f t="shared" si="2"/>
        <v>100</v>
      </c>
      <c r="X11" s="1611"/>
      <c r="Y11" s="348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2"/>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2"/>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2"/>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1" t="s">
        <v>2031</v>
      </c>
      <c r="Q15" s="2834" t="str">
        <f t="shared" si="6"/>
        <v>办公集聚程度</v>
      </c>
      <c r="R15" s="1654" t="s">
        <v>25</v>
      </c>
      <c r="S15" s="1655">
        <f t="shared" si="0"/>
        <v>100</v>
      </c>
      <c r="T15" s="1654" t="s">
        <v>25</v>
      </c>
      <c r="U15" s="1655">
        <f t="shared" si="1"/>
        <v>100</v>
      </c>
      <c r="V15" s="1654" t="s">
        <v>25</v>
      </c>
      <c r="W15" s="1655">
        <f t="shared" si="2"/>
        <v>100</v>
      </c>
      <c r="X15" s="2003"/>
      <c r="Y15" s="3611"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2"/>
      <c r="Q16" s="2834"/>
      <c r="R16" s="1654"/>
      <c r="S16" s="1655"/>
      <c r="T16" s="1654"/>
      <c r="U16" s="1655"/>
      <c r="V16" s="1654"/>
      <c r="W16" s="1655"/>
      <c r="X16" s="2003"/>
      <c r="Y16" s="3612"/>
      <c r="Z16" s="2007"/>
      <c r="AA16" s="1998">
        <v>1</v>
      </c>
      <c r="AB16" s="1998">
        <v>1</v>
      </c>
      <c r="AC16" s="1998">
        <v>1</v>
      </c>
    </row>
    <row r="17" spans="1:29" ht="71.2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2"/>
      <c r="Q17" s="2834" t="str">
        <f>B17</f>
        <v>交通便捷度</v>
      </c>
      <c r="R17" s="1654" t="s">
        <v>25</v>
      </c>
      <c r="S17" s="1655">
        <f>F17</f>
        <v>100</v>
      </c>
      <c r="T17" s="1654" t="s">
        <v>25</v>
      </c>
      <c r="U17" s="1655">
        <f>H17</f>
        <v>100</v>
      </c>
      <c r="V17" s="1654" t="s">
        <v>25</v>
      </c>
      <c r="W17" s="1655">
        <f>J17</f>
        <v>100</v>
      </c>
      <c r="X17" s="2003"/>
      <c r="Y17" s="3612"/>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2"/>
      <c r="Q18" s="2834"/>
      <c r="R18" s="1654"/>
      <c r="S18" s="1655"/>
      <c r="T18" s="1654"/>
      <c r="U18" s="1655"/>
      <c r="V18" s="1654"/>
      <c r="W18" s="1655"/>
      <c r="X18" s="2003"/>
      <c r="Y18" s="361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2"/>
      <c r="Q19" s="2834" t="str">
        <f>B19</f>
        <v>公共配套设施</v>
      </c>
      <c r="R19" s="1654" t="s">
        <v>25</v>
      </c>
      <c r="S19" s="1655">
        <f>F19</f>
        <v>100</v>
      </c>
      <c r="T19" s="1654" t="s">
        <v>25</v>
      </c>
      <c r="U19" s="1655">
        <f>H19</f>
        <v>100</v>
      </c>
      <c r="V19" s="1654" t="s">
        <v>25</v>
      </c>
      <c r="W19" s="1655">
        <f>J19</f>
        <v>100</v>
      </c>
      <c r="X19" s="2003"/>
      <c r="Y19" s="3612"/>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2"/>
      <c r="Q20" s="2834"/>
      <c r="R20" s="1654"/>
      <c r="S20" s="1655"/>
      <c r="T20" s="1654"/>
      <c r="U20" s="1655"/>
      <c r="V20" s="1654"/>
      <c r="W20" s="1655"/>
      <c r="X20" s="2003"/>
      <c r="Y20" s="361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2"/>
      <c r="Q21" s="2834" t="str">
        <f>B21</f>
        <v>基础设施水平</v>
      </c>
      <c r="R21" s="1654" t="s">
        <v>25</v>
      </c>
      <c r="S21" s="1655">
        <f>F21</f>
        <v>100</v>
      </c>
      <c r="T21" s="1654" t="s">
        <v>25</v>
      </c>
      <c r="U21" s="1655">
        <f>H21</f>
        <v>100</v>
      </c>
      <c r="V21" s="1654" t="s">
        <v>25</v>
      </c>
      <c r="W21" s="1655">
        <f>J21</f>
        <v>100</v>
      </c>
      <c r="X21" s="2003"/>
      <c r="Y21" s="3612"/>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2"/>
      <c r="Q22" s="2834"/>
      <c r="R22" s="1654"/>
      <c r="S22" s="1655"/>
      <c r="T22" s="1654"/>
      <c r="U22" s="1655"/>
      <c r="V22" s="1654"/>
      <c r="W22" s="1655"/>
      <c r="X22" s="2003"/>
      <c r="Y22" s="3612"/>
      <c r="Z22" s="2007"/>
      <c r="AA22" s="1998">
        <v>1</v>
      </c>
      <c r="AB22" s="1998">
        <v>1</v>
      </c>
      <c r="AC22" s="1998">
        <v>1</v>
      </c>
    </row>
    <row r="23" spans="1:29" ht="42.75">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2"/>
      <c r="Q23" s="2834" t="str">
        <f>B23</f>
        <v>环境质量</v>
      </c>
      <c r="R23" s="1654" t="s">
        <v>25</v>
      </c>
      <c r="S23" s="1655">
        <f>F23</f>
        <v>100</v>
      </c>
      <c r="T23" s="1654" t="s">
        <v>25</v>
      </c>
      <c r="U23" s="1655">
        <f>H23</f>
        <v>100</v>
      </c>
      <c r="V23" s="1654" t="s">
        <v>25</v>
      </c>
      <c r="W23" s="1655">
        <f>J23</f>
        <v>100</v>
      </c>
      <c r="X23" s="2003"/>
      <c r="Y23" s="3612"/>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2"/>
      <c r="Q24" s="2834"/>
      <c r="R24" s="1654"/>
      <c r="S24" s="1655"/>
      <c r="T24" s="1654"/>
      <c r="U24" s="1655"/>
      <c r="V24" s="1654"/>
      <c r="W24" s="1655"/>
      <c r="X24" s="2003"/>
      <c r="Y24" s="361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2"/>
      <c r="Q25" s="2834" t="str">
        <f>B25</f>
        <v>毗邻道路的类型与等级</v>
      </c>
      <c r="R25" s="1654" t="s">
        <v>25</v>
      </c>
      <c r="S25" s="1655">
        <f>F25</f>
        <v>100</v>
      </c>
      <c r="T25" s="1654" t="s">
        <v>25</v>
      </c>
      <c r="U25" s="1655">
        <f>H25</f>
        <v>100</v>
      </c>
      <c r="V25" s="1654" t="s">
        <v>25</v>
      </c>
      <c r="W25" s="1655">
        <f>J25</f>
        <v>100</v>
      </c>
      <c r="X25" s="2003"/>
      <c r="Y25" s="361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2"/>
      <c r="Q26" s="2834"/>
      <c r="R26" s="1654"/>
      <c r="S26" s="1655"/>
      <c r="T26" s="1654"/>
      <c r="U26" s="1655"/>
      <c r="V26" s="1654"/>
      <c r="W26" s="1655"/>
      <c r="X26" s="2003"/>
      <c r="Y26" s="3612"/>
      <c r="Z26" s="2007"/>
      <c r="AA26" s="1998">
        <v>1</v>
      </c>
      <c r="AB26" s="1998">
        <v>1</v>
      </c>
      <c r="AC26" s="1998">
        <v>1</v>
      </c>
    </row>
    <row r="27" spans="1:29" ht="15">
      <c r="A27" s="1631"/>
      <c r="B27" s="2414" t="s">
        <v>2122</v>
      </c>
      <c r="C27" s="1912" t="s">
        <v>3048</v>
      </c>
      <c r="D27" s="1640">
        <v>100</v>
      </c>
      <c r="E27" s="1912" t="s">
        <v>3045</v>
      </c>
      <c r="F27" s="1640">
        <f>SUMIF(89:89,E27,90:90)-SUMIF(89:89,C27,90:90)+100</f>
        <v>104</v>
      </c>
      <c r="G27" s="1912" t="s">
        <v>3045</v>
      </c>
      <c r="H27" s="1640">
        <f>SUMIF(89:89,G27,90:90)-SUMIF(89:89,C27,90:90)+100</f>
        <v>104</v>
      </c>
      <c r="I27" s="1920" t="s">
        <v>3052</v>
      </c>
      <c r="J27" s="1640">
        <f>SUMIF(89:89,I27,90:90)-SUMIF(89:89,C27,90:90)+100</f>
        <v>102</v>
      </c>
      <c r="K27" s="1921">
        <v>2</v>
      </c>
      <c r="L27" s="2920"/>
      <c r="M27" s="2916"/>
      <c r="N27" s="2916"/>
      <c r="O27" s="2916"/>
      <c r="P27" s="3612"/>
      <c r="Q27" s="2834" t="str">
        <f t="shared" ref="Q27:Q47" si="11">B27</f>
        <v>楼层</v>
      </c>
      <c r="R27" s="1654" t="s">
        <v>25</v>
      </c>
      <c r="S27" s="1655">
        <f>F27</f>
        <v>104</v>
      </c>
      <c r="T27" s="1654" t="s">
        <v>25</v>
      </c>
      <c r="U27" s="1655">
        <f>H27</f>
        <v>104</v>
      </c>
      <c r="V27" s="1654" t="s">
        <v>25</v>
      </c>
      <c r="W27" s="1655">
        <f>J27</f>
        <v>102</v>
      </c>
      <c r="X27" s="2003"/>
      <c r="Y27" s="3612"/>
      <c r="Z27" s="2007" t="str">
        <f>Q27</f>
        <v>楼层</v>
      </c>
      <c r="AA27" s="1998">
        <f t="shared" si="3"/>
        <v>0.96153846153846156</v>
      </c>
      <c r="AB27" s="1998">
        <f t="shared" si="4"/>
        <v>0.96153846153846156</v>
      </c>
      <c r="AC27" s="1998">
        <f t="shared" si="5"/>
        <v>0.98039215686274506</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2"/>
      <c r="Q28" s="2833" t="str">
        <f t="shared" si="11"/>
        <v>朝向</v>
      </c>
      <c r="R28" s="1609" t="s">
        <v>25</v>
      </c>
      <c r="S28" s="1610">
        <f>F28</f>
        <v>100</v>
      </c>
      <c r="T28" s="1609" t="s">
        <v>25</v>
      </c>
      <c r="U28" s="1610">
        <f>H28</f>
        <v>100</v>
      </c>
      <c r="V28" s="1609" t="s">
        <v>25</v>
      </c>
      <c r="W28" s="1610">
        <f>J28</f>
        <v>100</v>
      </c>
      <c r="X28" s="1611"/>
      <c r="Y28" s="361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2"/>
      <c r="Q30" s="2834">
        <f t="shared" si="11"/>
        <v>111</v>
      </c>
      <c r="R30" s="1654" t="s">
        <v>25</v>
      </c>
      <c r="S30" s="1655">
        <f t="shared" si="12"/>
        <v>100</v>
      </c>
      <c r="T30" s="1654" t="s">
        <v>25</v>
      </c>
      <c r="U30" s="1655">
        <f t="shared" si="13"/>
        <v>100</v>
      </c>
      <c r="V30" s="1654" t="s">
        <v>25</v>
      </c>
      <c r="W30" s="1655">
        <f t="shared" si="14"/>
        <v>100</v>
      </c>
      <c r="X30" s="2003"/>
      <c r="Y30" s="361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2"/>
      <c r="Q31" s="2834">
        <f t="shared" si="11"/>
        <v>111</v>
      </c>
      <c r="R31" s="1654" t="s">
        <v>25</v>
      </c>
      <c r="S31" s="1655">
        <f t="shared" si="12"/>
        <v>100</v>
      </c>
      <c r="T31" s="1654" t="s">
        <v>25</v>
      </c>
      <c r="U31" s="1655">
        <f t="shared" si="13"/>
        <v>100</v>
      </c>
      <c r="V31" s="1654" t="s">
        <v>25</v>
      </c>
      <c r="W31" s="1655">
        <f t="shared" si="14"/>
        <v>100</v>
      </c>
      <c r="X31" s="2003"/>
      <c r="Y31" s="361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2"/>
      <c r="Q32" s="2834">
        <f t="shared" si="11"/>
        <v>111</v>
      </c>
      <c r="R32" s="1654" t="s">
        <v>25</v>
      </c>
      <c r="S32" s="1655">
        <f t="shared" si="12"/>
        <v>100</v>
      </c>
      <c r="T32" s="1654" t="s">
        <v>25</v>
      </c>
      <c r="U32" s="1655">
        <f t="shared" si="13"/>
        <v>100</v>
      </c>
      <c r="V32" s="1654" t="s">
        <v>25</v>
      </c>
      <c r="W32" s="1655">
        <f t="shared" si="14"/>
        <v>100</v>
      </c>
      <c r="X32" s="2003"/>
      <c r="Y32" s="361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6"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f>LOOKUP(E34,104:104,105:105)-LOOKUP(C34,104:104,105:105)+100</f>
        <v>100</v>
      </c>
      <c r="G34" s="1632"/>
      <c r="H34" s="1626">
        <f>LOOKUP(G34,104:104,105:105)-LOOKUP(C34,104:104,105:105)+100</f>
        <v>100</v>
      </c>
      <c r="I34" s="1632"/>
      <c r="J34" s="1626">
        <f>LOOKUP(I34,104:104,105:105)-LOOKUP(C34,104:104,105:105)+100</f>
        <v>100</v>
      </c>
      <c r="K34" s="1918"/>
      <c r="L34" s="2919"/>
      <c r="M34" s="1988"/>
      <c r="N34" s="1988"/>
      <c r="O34" s="1988"/>
      <c r="P34" s="3616"/>
      <c r="Q34" s="1695" t="str">
        <f t="shared" si="11"/>
        <v>项目建筑规模</v>
      </c>
      <c r="R34" s="1696" t="s">
        <v>25</v>
      </c>
      <c r="S34" s="1697">
        <f t="shared" si="12"/>
        <v>100</v>
      </c>
      <c r="T34" s="1696" t="s">
        <v>25</v>
      </c>
      <c r="U34" s="1697">
        <f t="shared" si="13"/>
        <v>100</v>
      </c>
      <c r="V34" s="1696" t="s">
        <v>25</v>
      </c>
      <c r="W34" s="1697">
        <f t="shared" si="14"/>
        <v>100</v>
      </c>
      <c r="X34" s="1698"/>
      <c r="Y34" s="3616"/>
      <c r="Z34" s="1699" t="str">
        <f t="shared" si="15"/>
        <v>项目建筑规模</v>
      </c>
      <c r="AA34" s="1998">
        <f t="shared" si="3"/>
        <v>1</v>
      </c>
      <c r="AB34" s="1998">
        <f t="shared" si="4"/>
        <v>1</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6"/>
      <c r="Q35" s="2834" t="str">
        <f t="shared" si="11"/>
        <v>建筑结构</v>
      </c>
      <c r="R35" s="1654" t="s">
        <v>25</v>
      </c>
      <c r="S35" s="1655">
        <f t="shared" si="12"/>
        <v>100</v>
      </c>
      <c r="T35" s="1654" t="s">
        <v>25</v>
      </c>
      <c r="U35" s="1655">
        <f t="shared" si="13"/>
        <v>100</v>
      </c>
      <c r="V35" s="1654" t="s">
        <v>25</v>
      </c>
      <c r="W35" s="1655">
        <f t="shared" si="14"/>
        <v>100</v>
      </c>
      <c r="X35" s="2003"/>
      <c r="Y35" s="3616"/>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6"/>
      <c r="Q36" s="2834" t="str">
        <f t="shared" si="11"/>
        <v>公共部分装修</v>
      </c>
      <c r="R36" s="1654" t="s">
        <v>25</v>
      </c>
      <c r="S36" s="1655">
        <f t="shared" si="12"/>
        <v>100</v>
      </c>
      <c r="T36" s="1654" t="s">
        <v>25</v>
      </c>
      <c r="U36" s="1655">
        <f t="shared" si="13"/>
        <v>100</v>
      </c>
      <c r="V36" s="1654" t="s">
        <v>25</v>
      </c>
      <c r="W36" s="1655">
        <f t="shared" si="14"/>
        <v>100</v>
      </c>
      <c r="X36" s="2003"/>
      <c r="Y36" s="3616"/>
      <c r="Z36" s="2007" t="str">
        <f t="shared" si="15"/>
        <v>公共部分装修</v>
      </c>
      <c r="AA36" s="1998">
        <f t="shared" si="3"/>
        <v>1</v>
      </c>
      <c r="AB36" s="1998">
        <f t="shared" si="4"/>
        <v>1</v>
      </c>
      <c r="AC36" s="1998">
        <f t="shared" si="5"/>
        <v>1</v>
      </c>
    </row>
    <row r="37" spans="1:29" ht="15">
      <c r="A37" s="1701"/>
      <c r="B37" s="1624" t="s">
        <v>2125</v>
      </c>
      <c r="C37" s="1705">
        <v>0.77</v>
      </c>
      <c r="D37" s="1640">
        <v>100</v>
      </c>
      <c r="E37" s="1705">
        <f>C37</f>
        <v>0.77</v>
      </c>
      <c r="F37" s="1683">
        <f>LOOKUP(E37,111:111,112:112)-LOOKUP(C37,111:111,112:112)+100</f>
        <v>100</v>
      </c>
      <c r="G37" s="1705">
        <f>E37</f>
        <v>0.77</v>
      </c>
      <c r="H37" s="1683">
        <f>LOOKUP(G37,111:111,112:112)-LOOKUP(C37,111:111,112:112)+100</f>
        <v>100</v>
      </c>
      <c r="I37" s="1705">
        <f>E37</f>
        <v>0.77</v>
      </c>
      <c r="J37" s="1640">
        <f>LOOKUP(I37,111:111,112:112)-LOOKUP(C37,111:111,112:112)+100</f>
        <v>100</v>
      </c>
      <c r="K37" s="1921"/>
      <c r="L37" s="2920"/>
      <c r="M37" s="2916"/>
      <c r="N37" s="2916"/>
      <c r="O37" s="2916"/>
      <c r="P37" s="3616"/>
      <c r="Q37" s="2834" t="str">
        <f t="shared" si="11"/>
        <v>成新度</v>
      </c>
      <c r="R37" s="1654" t="s">
        <v>25</v>
      </c>
      <c r="S37" s="1655">
        <f t="shared" si="12"/>
        <v>100</v>
      </c>
      <c r="T37" s="1654" t="s">
        <v>25</v>
      </c>
      <c r="U37" s="1655">
        <f t="shared" si="13"/>
        <v>100</v>
      </c>
      <c r="V37" s="1654" t="s">
        <v>25</v>
      </c>
      <c r="W37" s="1655">
        <f t="shared" si="14"/>
        <v>100</v>
      </c>
      <c r="X37" s="2003"/>
      <c r="Y37" s="3616"/>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6"/>
      <c r="Q38" s="2833" t="str">
        <f t="shared" si="11"/>
        <v>写字楼等级</v>
      </c>
      <c r="R38" s="1609" t="s">
        <v>25</v>
      </c>
      <c r="S38" s="1610">
        <f t="shared" si="12"/>
        <v>100</v>
      </c>
      <c r="T38" s="1609" t="s">
        <v>25</v>
      </c>
      <c r="U38" s="1610">
        <f t="shared" si="13"/>
        <v>100</v>
      </c>
      <c r="V38" s="1609" t="s">
        <v>25</v>
      </c>
      <c r="W38" s="1610">
        <f t="shared" si="14"/>
        <v>100</v>
      </c>
      <c r="X38" s="1611"/>
      <c r="Y38" s="3616"/>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6" t="s">
        <v>2037</v>
      </c>
      <c r="Q39" s="2834" t="str">
        <f t="shared" si="11"/>
        <v>物业管理</v>
      </c>
      <c r="R39" s="1654" t="s">
        <v>25</v>
      </c>
      <c r="S39" s="1655">
        <f t="shared" si="12"/>
        <v>100</v>
      </c>
      <c r="T39" s="1654" t="s">
        <v>25</v>
      </c>
      <c r="U39" s="1655">
        <f t="shared" si="13"/>
        <v>100</v>
      </c>
      <c r="V39" s="1654" t="s">
        <v>25</v>
      </c>
      <c r="W39" s="1655">
        <f t="shared" si="14"/>
        <v>100</v>
      </c>
      <c r="X39" s="2003"/>
      <c r="Y39" s="3616"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6"/>
      <c r="Q40" s="2834" t="str">
        <f t="shared" si="11"/>
        <v>市政基础设施</v>
      </c>
      <c r="R40" s="1654" t="s">
        <v>25</v>
      </c>
      <c r="S40" s="1655">
        <f t="shared" si="12"/>
        <v>100</v>
      </c>
      <c r="T40" s="1654" t="s">
        <v>25</v>
      </c>
      <c r="U40" s="1655">
        <f t="shared" si="13"/>
        <v>100</v>
      </c>
      <c r="V40" s="1654" t="s">
        <v>25</v>
      </c>
      <c r="W40" s="1655">
        <f t="shared" si="14"/>
        <v>100</v>
      </c>
      <c r="X40" s="2003"/>
      <c r="Y40" s="3616"/>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6"/>
      <c r="Q41" s="2834" t="str">
        <f t="shared" si="11"/>
        <v>层高</v>
      </c>
      <c r="R41" s="1654" t="s">
        <v>25</v>
      </c>
      <c r="S41" s="1655">
        <f t="shared" si="12"/>
        <v>100</v>
      </c>
      <c r="T41" s="1654" t="s">
        <v>25</v>
      </c>
      <c r="U41" s="1655">
        <f t="shared" si="13"/>
        <v>100</v>
      </c>
      <c r="V41" s="1654" t="s">
        <v>25</v>
      </c>
      <c r="W41" s="1655">
        <f t="shared" si="14"/>
        <v>100</v>
      </c>
      <c r="X41" s="2003"/>
      <c r="Y41" s="3616"/>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6"/>
      <c r="Q42" s="1695" t="str">
        <f t="shared" si="11"/>
        <v>单套建筑面积</v>
      </c>
      <c r="R42" s="1696" t="s">
        <v>25</v>
      </c>
      <c r="S42" s="1697">
        <f t="shared" si="12"/>
        <v>100</v>
      </c>
      <c r="T42" s="1696" t="s">
        <v>25</v>
      </c>
      <c r="U42" s="1697">
        <f t="shared" si="13"/>
        <v>100</v>
      </c>
      <c r="V42" s="1696" t="s">
        <v>25</v>
      </c>
      <c r="W42" s="1697">
        <f t="shared" si="14"/>
        <v>100</v>
      </c>
      <c r="X42" s="1698"/>
      <c r="Y42" s="3616"/>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6"/>
      <c r="Q43" s="2834" t="str">
        <f t="shared" si="11"/>
        <v>内部装修</v>
      </c>
      <c r="R43" s="1654" t="s">
        <v>25</v>
      </c>
      <c r="S43" s="1655">
        <f t="shared" si="12"/>
        <v>100</v>
      </c>
      <c r="T43" s="1654" t="s">
        <v>25</v>
      </c>
      <c r="U43" s="1655">
        <f t="shared" si="13"/>
        <v>100</v>
      </c>
      <c r="V43" s="1654" t="s">
        <v>25</v>
      </c>
      <c r="W43" s="1655">
        <f t="shared" si="14"/>
        <v>100</v>
      </c>
      <c r="X43" s="2003"/>
      <c r="Y43" s="3616"/>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6"/>
      <c r="Q44" s="2834" t="str">
        <f t="shared" si="11"/>
        <v>内部装修维护情况</v>
      </c>
      <c r="R44" s="1654" t="s">
        <v>25</v>
      </c>
      <c r="S44" s="1655">
        <f t="shared" si="12"/>
        <v>100</v>
      </c>
      <c r="T44" s="1654" t="s">
        <v>25</v>
      </c>
      <c r="U44" s="1655">
        <f t="shared" si="13"/>
        <v>100</v>
      </c>
      <c r="V44" s="1654" t="s">
        <v>25</v>
      </c>
      <c r="W44" s="1655">
        <f t="shared" si="14"/>
        <v>100</v>
      </c>
      <c r="X44" s="2003"/>
      <c r="Y44" s="361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6"/>
      <c r="Q45" s="2833">
        <f t="shared" si="11"/>
        <v>111</v>
      </c>
      <c r="R45" s="1609" t="s">
        <v>25</v>
      </c>
      <c r="S45" s="1610">
        <f t="shared" si="12"/>
        <v>100</v>
      </c>
      <c r="T45" s="1609" t="s">
        <v>25</v>
      </c>
      <c r="U45" s="1610">
        <f t="shared" si="13"/>
        <v>100</v>
      </c>
      <c r="V45" s="1609" t="s">
        <v>25</v>
      </c>
      <c r="W45" s="1610">
        <f t="shared" si="14"/>
        <v>100</v>
      </c>
      <c r="X45" s="1611"/>
      <c r="Y45" s="361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6"/>
      <c r="Q46" s="2834">
        <f t="shared" si="11"/>
        <v>111</v>
      </c>
      <c r="R46" s="1654" t="s">
        <v>25</v>
      </c>
      <c r="S46" s="1655">
        <f t="shared" si="12"/>
        <v>100</v>
      </c>
      <c r="T46" s="1654" t="s">
        <v>25</v>
      </c>
      <c r="U46" s="1655">
        <f t="shared" si="13"/>
        <v>100</v>
      </c>
      <c r="V46" s="1654" t="s">
        <v>25</v>
      </c>
      <c r="W46" s="1655">
        <f t="shared" si="14"/>
        <v>100</v>
      </c>
      <c r="X46" s="2003"/>
      <c r="Y46" s="361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7"/>
      <c r="Q47" s="2834">
        <f t="shared" si="11"/>
        <v>111</v>
      </c>
      <c r="R47" s="1654" t="s">
        <v>25</v>
      </c>
      <c r="S47" s="1655">
        <f t="shared" si="12"/>
        <v>100</v>
      </c>
      <c r="T47" s="1654" t="s">
        <v>25</v>
      </c>
      <c r="U47" s="1655">
        <f t="shared" si="13"/>
        <v>100</v>
      </c>
      <c r="V47" s="1654" t="s">
        <v>25</v>
      </c>
      <c r="W47" s="1655">
        <f t="shared" si="14"/>
        <v>100</v>
      </c>
      <c r="X47" s="2003"/>
      <c r="Y47" s="3617"/>
      <c r="Z47" s="2007">
        <f t="shared" si="15"/>
        <v>111</v>
      </c>
      <c r="AA47" s="1998">
        <f t="shared" si="3"/>
        <v>1</v>
      </c>
      <c r="AB47" s="1998">
        <f t="shared" si="4"/>
        <v>1</v>
      </c>
      <c r="AC47" s="1998">
        <f t="shared" si="5"/>
        <v>1</v>
      </c>
    </row>
    <row r="48" spans="1:29" ht="15">
      <c r="A48" s="1710" t="s">
        <v>2049</v>
      </c>
      <c r="B48" s="1711"/>
      <c r="C48" s="1712" t="s">
        <v>1</v>
      </c>
      <c r="D48" s="1713"/>
      <c r="E48" s="1714">
        <v>80000</v>
      </c>
      <c r="F48" s="1715"/>
      <c r="G48" s="1716">
        <v>80000</v>
      </c>
      <c r="H48" s="1717"/>
      <c r="I48" s="1714">
        <v>80000</v>
      </c>
      <c r="J48" s="1717"/>
      <c r="K48" s="1942"/>
      <c r="L48" s="2921"/>
      <c r="M48" s="2916"/>
      <c r="N48" s="2916"/>
      <c r="O48" s="2916"/>
      <c r="P48" s="3622" t="str">
        <f>A48</f>
        <v>成交单价（元/平方米）</v>
      </c>
      <c r="Q48" s="3622"/>
      <c r="R48" s="3623">
        <f>E48</f>
        <v>80000</v>
      </c>
      <c r="S48" s="3623"/>
      <c r="T48" s="3623">
        <f>G48</f>
        <v>80000</v>
      </c>
      <c r="U48" s="3623"/>
      <c r="V48" s="3623">
        <f>I48</f>
        <v>80000</v>
      </c>
      <c r="W48" s="3623"/>
      <c r="X48" s="1720"/>
      <c r="Y48" s="2002"/>
      <c r="Z48" s="1720"/>
      <c r="AA48" s="1720"/>
      <c r="AB48" s="1720"/>
      <c r="AC48" s="1720"/>
    </row>
    <row r="49" spans="1:29" ht="15.75" thickBot="1">
      <c r="A49" s="1722" t="s">
        <v>2132</v>
      </c>
      <c r="B49" s="1723"/>
      <c r="C49" s="1724">
        <f>R50</f>
        <v>77426</v>
      </c>
      <c r="D49" s="1725" t="s">
        <v>2503</v>
      </c>
      <c r="E49" s="1726">
        <f>R49</f>
        <v>76923</v>
      </c>
      <c r="F49" s="1727"/>
      <c r="G49" s="1724">
        <f>T49</f>
        <v>76923</v>
      </c>
      <c r="H49" s="1727"/>
      <c r="I49" s="1726">
        <f>V49</f>
        <v>78431</v>
      </c>
      <c r="J49" s="1727"/>
      <c r="K49" s="2429">
        <f>F49+H49+J49</f>
        <v>0</v>
      </c>
      <c r="L49" s="2921"/>
      <c r="M49" s="2916"/>
      <c r="N49" s="2916"/>
      <c r="O49" s="2916"/>
      <c r="P49" s="3622" t="str">
        <f>A49</f>
        <v>比较价值（元/平方米）</v>
      </c>
      <c r="Q49" s="3622"/>
      <c r="R49" s="3623">
        <f>IF(E1="售价",ROUND(PRODUCT(R48,AA7:AA47),0),ROUND(PRODUCT(R48,AA7:AA47),1))</f>
        <v>76923</v>
      </c>
      <c r="S49" s="3623"/>
      <c r="T49" s="3623">
        <f>IF(E1="售价",ROUND(PRODUCT(T48,AB7:AB47),0),ROUND(PRODUCT(T48,AB7:AB47),1))</f>
        <v>76923</v>
      </c>
      <c r="U49" s="3623"/>
      <c r="V49" s="3623">
        <f>IF(E1="售价",ROUND(PRODUCT(V48,AC7:AC47),0),ROUND(PRODUCT(V48,AC7:AC47),1))</f>
        <v>78431</v>
      </c>
      <c r="W49" s="3623"/>
      <c r="X49" s="1720"/>
      <c r="Y49" s="1720"/>
      <c r="Z49" s="1720"/>
      <c r="AA49" s="1720"/>
      <c r="AB49" s="1720"/>
      <c r="AC49" s="1720"/>
    </row>
    <row r="50" spans="1:29" ht="15.75" thickBot="1">
      <c r="A50" s="1728" t="s">
        <v>2155</v>
      </c>
      <c r="B50" s="1729"/>
      <c r="C50" s="1731">
        <f>R50</f>
        <v>77426</v>
      </c>
      <c r="D50" s="1731"/>
      <c r="E50" s="1731"/>
      <c r="F50" s="1731"/>
      <c r="G50" s="1731"/>
      <c r="H50" s="1731"/>
      <c r="I50" s="1731"/>
      <c r="J50" s="1731"/>
      <c r="K50" s="1947"/>
      <c r="L50" s="2921"/>
      <c r="M50" s="2916"/>
      <c r="N50" s="2916"/>
      <c r="O50" s="2916"/>
      <c r="P50" s="3628" t="str">
        <f>A50</f>
        <v>估价对象XX用房的比较价值（楼面单价，元/平方米）</v>
      </c>
      <c r="Q50" s="3629"/>
      <c r="R50" s="3630">
        <f>IF(E1="售价",ROUND(IF(D49="简单平均",AVERAGE(R49:V49),R49*F49+T49*H49+V49*J49),0),ROUND(IF(D49="简单平均",AVERAGE(R49:V49),R49*F49+T49*H49+V49*J49),1))</f>
        <v>77426</v>
      </c>
      <c r="S50" s="3630"/>
      <c r="T50" s="3630"/>
      <c r="U50" s="3630"/>
      <c r="V50" s="3630"/>
      <c r="W50" s="3630"/>
      <c r="X50" s="1720"/>
      <c r="Y50" s="1720"/>
      <c r="Z50" s="1720"/>
      <c r="AA50" s="1720"/>
      <c r="AB50" s="1720"/>
      <c r="AC50" s="1720"/>
    </row>
    <row r="51" spans="1:29">
      <c r="G51" s="2925"/>
    </row>
    <row r="53" spans="1:29" ht="13.5" customHeight="1">
      <c r="C53" s="383" t="s">
        <v>2134</v>
      </c>
      <c r="D53" s="1736"/>
      <c r="E53" s="1737">
        <f>IF(E48&lt;E49,E49/E48-1,E48/E49-1)</f>
        <v>4.0001040001039989E-2</v>
      </c>
      <c r="F53" s="1738" t="str">
        <f>IF(OR(E53&gt;=0.3,E53&lt;=-0.3),"超过30%","")</f>
        <v/>
      </c>
      <c r="G53" s="1737">
        <f>IF(G48&lt;G49,G49/G48-1,G48/G49-1)</f>
        <v>4.0001040001039989E-2</v>
      </c>
      <c r="H53" s="1738" t="str">
        <f>IF(OR(G53&gt;=0.3,G53&lt;=-0.3),"超过30%","")</f>
        <v/>
      </c>
      <c r="I53" s="1737">
        <f>IF(I48&lt;I49,I49/I48-1,I48/I49-1)</f>
        <v>2.0004845023013917E-2</v>
      </c>
      <c r="J53" s="1738" t="str">
        <f>IF(OR(I53&gt;=0.3,I53&lt;=-0.3),"超过30%","")</f>
        <v/>
      </c>
    </row>
    <row r="54" spans="1:29" ht="13.5" customHeight="1">
      <c r="C54" s="383" t="s">
        <v>2135</v>
      </c>
      <c r="D54" s="1739"/>
      <c r="E54" s="1737">
        <f>IF(E49&lt;G49,G49/E49-1,E49/G49-1)</f>
        <v>0</v>
      </c>
      <c r="F54" s="1738" t="str">
        <f>IF(OR(E54&gt;=0.2,E54&lt;=-0.2),"超过20%","")</f>
        <v/>
      </c>
      <c r="G54" s="1737">
        <f>IF(G49&lt;I49,I49/G49-1,G49/I49-1)</f>
        <v>1.9604019604019696E-2</v>
      </c>
      <c r="H54" s="1738" t="str">
        <f>IF(OR(G54&gt;=0.2,G54&lt;=-0.2),"超过20%","")</f>
        <v/>
      </c>
      <c r="I54" s="1737">
        <f>IF(I49&lt;E49,E49/I49-1,I49/E49-1)</f>
        <v>1.9604019604019696E-2</v>
      </c>
      <c r="J54" s="1738" t="str">
        <f>IF(OR(I54&gt;=0.2,I54&lt;=-0.2),"超过20%","")</f>
        <v/>
      </c>
    </row>
    <row r="55" spans="1:29" s="1742" customFormat="1" ht="13.5" customHeight="1">
      <c r="C55" s="383" t="s">
        <v>2136</v>
      </c>
      <c r="D55" s="1739"/>
      <c r="E55" s="1737">
        <f>IF(E48&lt;G48,G48/E48-1,E48/G48-1)</f>
        <v>0</v>
      </c>
      <c r="F55" s="1738" t="str">
        <f>IF(OR(E55&gt;=0.3,E55&lt;=-0.3),"超过30%","")</f>
        <v/>
      </c>
      <c r="G55" s="1737">
        <f>IF(G48&lt;I48,I48/G48-1,G48/I48-1)</f>
        <v>0</v>
      </c>
      <c r="H55" s="1738" t="str">
        <f>IF(OR(G55&gt;=0.3,G55&lt;=-0.3),"超过30%","")</f>
        <v/>
      </c>
      <c r="I55" s="1737">
        <f>IF(I48&lt;E48,E48/I48-1,I48/E48-1)</f>
        <v>0</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2023-2</v>
      </c>
      <c r="D59" s="1754">
        <f>EDATE(C59,-1)</f>
        <v>44927</v>
      </c>
      <c r="E59" s="1754">
        <f t="shared" ref="E59:O59" si="16">EDATE(D59,-1)</f>
        <v>44896</v>
      </c>
      <c r="F59" s="1754">
        <f t="shared" si="16"/>
        <v>44866</v>
      </c>
      <c r="G59" s="1754">
        <f t="shared" si="16"/>
        <v>44835</v>
      </c>
      <c r="H59" s="1754">
        <f t="shared" si="16"/>
        <v>44805</v>
      </c>
      <c r="I59" s="1754">
        <f t="shared" si="16"/>
        <v>44774</v>
      </c>
      <c r="J59" s="1754">
        <f t="shared" si="16"/>
        <v>44743</v>
      </c>
      <c r="K59" s="1754">
        <f t="shared" si="16"/>
        <v>44713</v>
      </c>
      <c r="L59" s="1754">
        <f t="shared" si="16"/>
        <v>44682</v>
      </c>
      <c r="M59" s="1754">
        <f t="shared" si="16"/>
        <v>44652</v>
      </c>
      <c r="N59" s="1754">
        <f t="shared" si="16"/>
        <v>44621</v>
      </c>
      <c r="O59" s="1754">
        <f t="shared" si="16"/>
        <v>44593</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5" t="s">
        <v>3046</v>
      </c>
      <c r="D89" s="3325" t="s">
        <v>3047</v>
      </c>
      <c r="E89" s="3325" t="s">
        <v>3049</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2128.59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44985</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2023-2</v>
      </c>
      <c r="D52" s="1117">
        <f>EDATE(C52,-1)</f>
        <v>44927</v>
      </c>
      <c r="E52" s="1118">
        <f t="shared" ref="E52:O52" si="16">EDATE(D52,-1)</f>
        <v>44896</v>
      </c>
      <c r="F52" s="1118">
        <f t="shared" si="16"/>
        <v>44866</v>
      </c>
      <c r="G52" s="1118">
        <f t="shared" si="16"/>
        <v>44835</v>
      </c>
      <c r="H52" s="1118">
        <f t="shared" si="16"/>
        <v>44805</v>
      </c>
      <c r="I52" s="1118">
        <f t="shared" si="16"/>
        <v>44774</v>
      </c>
      <c r="J52" s="1118">
        <f t="shared" si="16"/>
        <v>44743</v>
      </c>
      <c r="K52" s="1118">
        <f t="shared" si="16"/>
        <v>44713</v>
      </c>
      <c r="L52" s="1118">
        <f t="shared" si="16"/>
        <v>44682</v>
      </c>
      <c r="M52" s="1118">
        <f t="shared" si="16"/>
        <v>44652</v>
      </c>
      <c r="N52" s="1118">
        <f t="shared" si="16"/>
        <v>44621</v>
      </c>
      <c r="O52" s="1118">
        <f t="shared" si="16"/>
        <v>44593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2128.59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44985</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2023-2</v>
      </c>
      <c r="D48" s="1117">
        <f>EDATE(C48,-1)</f>
        <v>44927</v>
      </c>
      <c r="E48" s="1117">
        <f t="shared" ref="E48:O48" si="16">EDATE(D48,-1)</f>
        <v>44896</v>
      </c>
      <c r="F48" s="1117">
        <f t="shared" si="16"/>
        <v>44866</v>
      </c>
      <c r="G48" s="1117">
        <f t="shared" si="16"/>
        <v>44835</v>
      </c>
      <c r="H48" s="1117">
        <f t="shared" si="16"/>
        <v>44805</v>
      </c>
      <c r="I48" s="1117">
        <f t="shared" si="16"/>
        <v>44774</v>
      </c>
      <c r="J48" s="1117">
        <f t="shared" si="16"/>
        <v>44743</v>
      </c>
      <c r="K48" s="1117">
        <f t="shared" si="16"/>
        <v>44713</v>
      </c>
      <c r="L48" s="1117">
        <f t="shared" si="16"/>
        <v>44682</v>
      </c>
      <c r="M48" s="1117">
        <f t="shared" si="16"/>
        <v>44652</v>
      </c>
      <c r="N48" s="1117">
        <f t="shared" si="16"/>
        <v>44621</v>
      </c>
      <c r="O48" s="1117">
        <f t="shared" si="16"/>
        <v>44593</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2128.59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44985</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2023-2</v>
      </c>
      <c r="D46" s="1117">
        <f>EDATE(C46,-1)</f>
        <v>44927</v>
      </c>
      <c r="E46" s="1117">
        <f t="shared" ref="E46:O46" si="16">EDATE(D46,-1)</f>
        <v>44896</v>
      </c>
      <c r="F46" s="1117">
        <f t="shared" si="16"/>
        <v>44866</v>
      </c>
      <c r="G46" s="1117">
        <f t="shared" si="16"/>
        <v>44835</v>
      </c>
      <c r="H46" s="1117">
        <f t="shared" si="16"/>
        <v>44805</v>
      </c>
      <c r="I46" s="1117">
        <f t="shared" si="16"/>
        <v>44774</v>
      </c>
      <c r="J46" s="1117">
        <f t="shared" si="16"/>
        <v>44743</v>
      </c>
      <c r="K46" s="1117">
        <f t="shared" si="16"/>
        <v>44713</v>
      </c>
      <c r="L46" s="1117">
        <f t="shared" si="16"/>
        <v>44682</v>
      </c>
      <c r="M46" s="1117">
        <f t="shared" si="16"/>
        <v>44652</v>
      </c>
      <c r="N46" s="1117">
        <f t="shared" si="16"/>
        <v>44621</v>
      </c>
      <c r="O46" s="1117">
        <f t="shared" si="16"/>
        <v>44593</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96" t="s">
        <v>2008</v>
      </c>
      <c r="S4" s="3597"/>
      <c r="T4" s="3596" t="s">
        <v>2009</v>
      </c>
      <c r="U4" s="3597"/>
      <c r="V4" s="3602" t="s">
        <v>2010</v>
      </c>
      <c r="W4" s="3602"/>
      <c r="X4" s="1594"/>
      <c r="Y4" s="3596" t="s">
        <v>2012</v>
      </c>
      <c r="Z4" s="3597"/>
      <c r="AA4" s="3583" t="s">
        <v>2008</v>
      </c>
      <c r="AB4" s="3584" t="s">
        <v>2009</v>
      </c>
      <c r="AC4" s="3583" t="s">
        <v>2010</v>
      </c>
    </row>
    <row r="5" spans="1:30" ht="15">
      <c r="A5" s="1596"/>
      <c r="B5" s="1597"/>
      <c r="C5" s="3605" t="s">
        <v>2013</v>
      </c>
      <c r="D5" s="3606"/>
      <c r="E5" s="3603" t="s">
        <v>2014</v>
      </c>
      <c r="F5" s="3604"/>
      <c r="G5" s="3605" t="s">
        <v>2015</v>
      </c>
      <c r="H5" s="3606"/>
      <c r="I5" s="3605" t="s">
        <v>2016</v>
      </c>
      <c r="J5" s="3606"/>
      <c r="K5" s="1894"/>
      <c r="L5" s="2915"/>
      <c r="M5" s="2916"/>
      <c r="N5" s="2916"/>
      <c r="O5" s="2916"/>
      <c r="P5" s="3592"/>
      <c r="Q5" s="3593"/>
      <c r="R5" s="3598"/>
      <c r="S5" s="3599"/>
      <c r="T5" s="3598"/>
      <c r="U5" s="3599"/>
      <c r="V5" s="3602"/>
      <c r="W5" s="3602"/>
      <c r="X5" s="1594"/>
      <c r="Y5" s="3598"/>
      <c r="Z5" s="3599"/>
      <c r="AA5" s="3584"/>
      <c r="AB5" s="3584"/>
      <c r="AC5" s="3584"/>
    </row>
    <row r="6" spans="1:30" ht="15.75" thickBot="1">
      <c r="A6" s="1599"/>
      <c r="B6" s="1600"/>
      <c r="C6" s="3607" t="s">
        <v>2017</v>
      </c>
      <c r="D6" s="3608"/>
      <c r="E6" s="3609" t="s">
        <v>2017</v>
      </c>
      <c r="F6" s="3610"/>
      <c r="G6" s="3607" t="s">
        <v>2017</v>
      </c>
      <c r="H6" s="3608"/>
      <c r="I6" s="3607" t="s">
        <v>2017</v>
      </c>
      <c r="J6" s="3608"/>
      <c r="K6" s="1894" t="s">
        <v>2018</v>
      </c>
      <c r="L6" s="2915"/>
      <c r="M6" s="2916"/>
      <c r="N6" s="2916"/>
      <c r="O6" s="2916"/>
      <c r="P6" s="3594"/>
      <c r="Q6" s="3595"/>
      <c r="R6" s="3598"/>
      <c r="S6" s="3599"/>
      <c r="T6" s="3600"/>
      <c r="U6" s="3601"/>
      <c r="V6" s="3602"/>
      <c r="W6" s="3602"/>
      <c r="X6" s="1594"/>
      <c r="Y6" s="3600"/>
      <c r="Z6" s="3601"/>
      <c r="AA6" s="3585"/>
      <c r="AB6" s="3585"/>
      <c r="AC6" s="3585"/>
    </row>
    <row r="7" spans="1:30" s="1613" customFormat="1" ht="15.75" thickBot="1">
      <c r="A7" s="1601" t="s">
        <v>2019</v>
      </c>
      <c r="B7" s="1602"/>
      <c r="C7" s="1603">
        <f>'数据-取费表'!B2</f>
        <v>44985</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8" t="s">
        <v>2020</v>
      </c>
      <c r="Q7" s="3620"/>
      <c r="R7" s="1609" t="s">
        <v>25</v>
      </c>
      <c r="S7" s="1610">
        <f t="shared" ref="S7:S15" si="0">F7</f>
        <v>0</v>
      </c>
      <c r="T7" s="1609" t="s">
        <v>25</v>
      </c>
      <c r="U7" s="1610">
        <f t="shared" ref="U7:U15" si="1">H7</f>
        <v>0</v>
      </c>
      <c r="V7" s="1609" t="s">
        <v>25</v>
      </c>
      <c r="W7" s="1610">
        <f t="shared" ref="W7:W15" si="2">J7</f>
        <v>0</v>
      </c>
      <c r="X7" s="1611"/>
      <c r="Y7" s="3618" t="s">
        <v>2020</v>
      </c>
      <c r="Z7" s="361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8" t="s">
        <v>2023</v>
      </c>
      <c r="Q8" s="3619"/>
      <c r="R8" s="1609" t="s">
        <v>25</v>
      </c>
      <c r="S8" s="1610">
        <f t="shared" si="0"/>
        <v>0</v>
      </c>
      <c r="T8" s="1609" t="s">
        <v>25</v>
      </c>
      <c r="U8" s="1610">
        <f t="shared" si="1"/>
        <v>0</v>
      </c>
      <c r="V8" s="1609" t="s">
        <v>25</v>
      </c>
      <c r="W8" s="1610">
        <f t="shared" si="2"/>
        <v>0</v>
      </c>
      <c r="X8" s="1611"/>
      <c r="Y8" s="3618" t="s">
        <v>2023</v>
      </c>
      <c r="Z8" s="361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2"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119</v>
      </c>
      <c r="G10" s="1686"/>
      <c r="H10" s="1626">
        <f>ROUND(100/'数据-取费表'!B14,0)</f>
        <v>119</v>
      </c>
      <c r="I10" s="1686"/>
      <c r="J10" s="1626">
        <f>ROUND(100/'数据-取费表'!B14,0)</f>
        <v>119</v>
      </c>
      <c r="K10" s="1898"/>
      <c r="L10" s="2917"/>
      <c r="M10" s="2918"/>
      <c r="N10" s="2918"/>
      <c r="O10" s="2963"/>
      <c r="P10" s="3622"/>
      <c r="Q10" s="1563" t="str">
        <f t="shared" si="6"/>
        <v>土地使用年限（年）</v>
      </c>
      <c r="R10" s="1609" t="s">
        <v>25</v>
      </c>
      <c r="S10" s="1610">
        <f t="shared" si="0"/>
        <v>119</v>
      </c>
      <c r="T10" s="1609" t="s">
        <v>25</v>
      </c>
      <c r="U10" s="1610">
        <f t="shared" si="1"/>
        <v>119</v>
      </c>
      <c r="V10" s="1609" t="s">
        <v>25</v>
      </c>
      <c r="W10" s="1610">
        <f t="shared" si="2"/>
        <v>119</v>
      </c>
      <c r="X10" s="1611"/>
      <c r="Y10" s="3488"/>
      <c r="Z10" s="1622" t="str">
        <f t="shared" si="7"/>
        <v>土地使用年限（年）</v>
      </c>
      <c r="AA10" s="1612">
        <f t="shared" si="3"/>
        <v>0.84033613445378152</v>
      </c>
      <c r="AB10" s="1612">
        <f t="shared" si="4"/>
        <v>0.84033613445378152</v>
      </c>
      <c r="AC10" s="1612">
        <f t="shared" si="5"/>
        <v>0.84033613445378152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2"/>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2"/>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2"/>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2"/>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1" t="s">
        <v>2031</v>
      </c>
      <c r="Q15" s="1544" t="str">
        <f t="shared" si="6"/>
        <v>居住社区成熟度</v>
      </c>
      <c r="R15" s="1654" t="s">
        <v>25</v>
      </c>
      <c r="S15" s="1655">
        <f t="shared" si="0"/>
        <v>100</v>
      </c>
      <c r="T15" s="1654" t="s">
        <v>25</v>
      </c>
      <c r="U15" s="1655">
        <f t="shared" si="1"/>
        <v>100</v>
      </c>
      <c r="V15" s="1654" t="s">
        <v>25</v>
      </c>
      <c r="W15" s="1655">
        <f t="shared" si="2"/>
        <v>100</v>
      </c>
      <c r="X15" s="1594"/>
      <c r="Y15" s="361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2"/>
      <c r="Q16" s="1544"/>
      <c r="R16" s="1654"/>
      <c r="S16" s="1655"/>
      <c r="T16" s="1654"/>
      <c r="U16" s="1655"/>
      <c r="V16" s="1654"/>
      <c r="W16" s="1655"/>
      <c r="X16" s="1594"/>
      <c r="Y16" s="361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2"/>
      <c r="Q17" s="1544" t="str">
        <f>B17</f>
        <v>商业繁华度</v>
      </c>
      <c r="R17" s="1654" t="s">
        <v>25</v>
      </c>
      <c r="S17" s="1655">
        <f>F17</f>
        <v>100</v>
      </c>
      <c r="T17" s="1654" t="s">
        <v>25</v>
      </c>
      <c r="U17" s="1655">
        <f>H17</f>
        <v>100</v>
      </c>
      <c r="V17" s="1654" t="s">
        <v>25</v>
      </c>
      <c r="W17" s="1655">
        <f>J17</f>
        <v>100</v>
      </c>
      <c r="X17" s="1594"/>
      <c r="Y17" s="361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2"/>
      <c r="Q18" s="1544"/>
      <c r="R18" s="1654"/>
      <c r="S18" s="1655"/>
      <c r="T18" s="1654"/>
      <c r="U18" s="1655"/>
      <c r="V18" s="1654"/>
      <c r="W18" s="1655"/>
      <c r="X18" s="1594"/>
      <c r="Y18" s="361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2"/>
      <c r="Q19" s="1544" t="str">
        <f>B19</f>
        <v>办公集聚程度</v>
      </c>
      <c r="R19" s="1654" t="s">
        <v>25</v>
      </c>
      <c r="S19" s="1655">
        <f>F19</f>
        <v>100</v>
      </c>
      <c r="T19" s="1654" t="s">
        <v>25</v>
      </c>
      <c r="U19" s="1655">
        <f>H19</f>
        <v>100</v>
      </c>
      <c r="V19" s="1654" t="s">
        <v>25</v>
      </c>
      <c r="W19" s="1655">
        <f>J19</f>
        <v>100</v>
      </c>
      <c r="X19" s="1594"/>
      <c r="Y19" s="361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2"/>
      <c r="Q20" s="1544"/>
      <c r="R20" s="1654"/>
      <c r="S20" s="1655"/>
      <c r="T20" s="1654"/>
      <c r="U20" s="1655"/>
      <c r="V20" s="1654"/>
      <c r="W20" s="1655"/>
      <c r="X20" s="1594"/>
      <c r="Y20" s="361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2"/>
      <c r="Q21" s="1544" t="str">
        <f>B21</f>
        <v>交通便捷度</v>
      </c>
      <c r="R21" s="1654" t="s">
        <v>25</v>
      </c>
      <c r="S21" s="1655">
        <f>F21</f>
        <v>100</v>
      </c>
      <c r="T21" s="1654" t="s">
        <v>25</v>
      </c>
      <c r="U21" s="1655">
        <f>H21</f>
        <v>100</v>
      </c>
      <c r="V21" s="1654" t="s">
        <v>25</v>
      </c>
      <c r="W21" s="1655">
        <f>J21</f>
        <v>100</v>
      </c>
      <c r="X21" s="1594"/>
      <c r="Y21" s="361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2"/>
      <c r="Q22" s="1544"/>
      <c r="R22" s="1654"/>
      <c r="S22" s="1655"/>
      <c r="T22" s="1654"/>
      <c r="U22" s="1655"/>
      <c r="V22" s="1654"/>
      <c r="W22" s="1655"/>
      <c r="X22" s="1594"/>
      <c r="Y22" s="361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2"/>
      <c r="Q23" s="1544" t="str">
        <f t="shared" ref="Q23:Q37" si="8">B23</f>
        <v>区域土地利用方向</v>
      </c>
      <c r="R23" s="1654" t="s">
        <v>25</v>
      </c>
      <c r="S23" s="1655">
        <f>F23</f>
        <v>100</v>
      </c>
      <c r="T23" s="1654" t="s">
        <v>25</v>
      </c>
      <c r="U23" s="1655">
        <f>H23</f>
        <v>100</v>
      </c>
      <c r="V23" s="1654" t="s">
        <v>25</v>
      </c>
      <c r="W23" s="1655">
        <f>J23</f>
        <v>100</v>
      </c>
      <c r="X23" s="1594"/>
      <c r="Y23" s="361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2"/>
      <c r="Q24" s="1544"/>
      <c r="R24" s="1654"/>
      <c r="S24" s="1655"/>
      <c r="T24" s="1654"/>
      <c r="U24" s="1655"/>
      <c r="V24" s="1654"/>
      <c r="W24" s="1655"/>
      <c r="X24" s="1594"/>
      <c r="Y24" s="361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2"/>
      <c r="Q25" s="1544" t="str">
        <f t="shared" si="8"/>
        <v>自然及人文环境状况</v>
      </c>
      <c r="R25" s="1654" t="s">
        <v>25</v>
      </c>
      <c r="S25" s="1655">
        <f>F25</f>
        <v>100</v>
      </c>
      <c r="T25" s="1654" t="s">
        <v>25</v>
      </c>
      <c r="U25" s="1655">
        <f>H25</f>
        <v>100</v>
      </c>
      <c r="V25" s="1654" t="s">
        <v>25</v>
      </c>
      <c r="W25" s="1655">
        <f>J25</f>
        <v>100</v>
      </c>
      <c r="X25" s="1594"/>
      <c r="Y25" s="361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2"/>
      <c r="Q26" s="1544"/>
      <c r="R26" s="1654"/>
      <c r="S26" s="1655"/>
      <c r="T26" s="1654"/>
      <c r="U26" s="1655"/>
      <c r="V26" s="1654"/>
      <c r="W26" s="1655"/>
      <c r="X26" s="1594"/>
      <c r="Y26" s="361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2"/>
      <c r="Q27" s="1563" t="str">
        <f t="shared" ref="Q27" si="9">B27</f>
        <v>公共配套设施</v>
      </c>
      <c r="R27" s="1609" t="s">
        <v>25</v>
      </c>
      <c r="S27" s="1610">
        <f>F27</f>
        <v>100</v>
      </c>
      <c r="T27" s="1609" t="s">
        <v>25</v>
      </c>
      <c r="U27" s="1610">
        <f>H27</f>
        <v>100</v>
      </c>
      <c r="V27" s="1609" t="s">
        <v>25</v>
      </c>
      <c r="W27" s="1610">
        <f>J27</f>
        <v>100</v>
      </c>
      <c r="X27" s="1594"/>
      <c r="Y27" s="361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2"/>
      <c r="Q28" s="1544"/>
      <c r="R28" s="1654"/>
      <c r="S28" s="1655"/>
      <c r="T28" s="1654"/>
      <c r="U28" s="1655"/>
      <c r="V28" s="1654"/>
      <c r="W28" s="1655"/>
      <c r="X28" s="1594"/>
      <c r="Y28" s="361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2"/>
      <c r="Q29" s="1563" t="str">
        <f t="shared" si="8"/>
        <v>基础设施水平</v>
      </c>
      <c r="R29" s="1609" t="s">
        <v>25</v>
      </c>
      <c r="S29" s="1610">
        <f>F29</f>
        <v>100</v>
      </c>
      <c r="T29" s="1609" t="s">
        <v>25</v>
      </c>
      <c r="U29" s="1610">
        <f>H29</f>
        <v>100</v>
      </c>
      <c r="V29" s="1609" t="s">
        <v>25</v>
      </c>
      <c r="W29" s="1610">
        <f>J29</f>
        <v>100</v>
      </c>
      <c r="X29" s="1611"/>
      <c r="Y29" s="361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2"/>
      <c r="Q30" s="1563"/>
      <c r="R30" s="1609"/>
      <c r="S30" s="1610"/>
      <c r="T30" s="1609"/>
      <c r="U30" s="1610"/>
      <c r="V30" s="1609"/>
      <c r="W30" s="1610"/>
      <c r="X30" s="1611"/>
      <c r="Y30" s="361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2"/>
      <c r="Q32" s="1544" t="str">
        <f t="shared" si="8"/>
        <v>毗邻道路的类型与等级</v>
      </c>
      <c r="R32" s="1654" t="s">
        <v>25</v>
      </c>
      <c r="S32" s="1655">
        <f t="shared" si="10"/>
        <v>100</v>
      </c>
      <c r="T32" s="1654" t="s">
        <v>25</v>
      </c>
      <c r="U32" s="1655">
        <f t="shared" si="11"/>
        <v>100</v>
      </c>
      <c r="V32" s="1654" t="s">
        <v>25</v>
      </c>
      <c r="W32" s="1655">
        <f t="shared" si="12"/>
        <v>100</v>
      </c>
      <c r="X32" s="1594"/>
      <c r="Y32" s="361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2"/>
      <c r="Q33" s="1544"/>
      <c r="R33" s="1654"/>
      <c r="S33" s="1655"/>
      <c r="T33" s="1654"/>
      <c r="U33" s="1655"/>
      <c r="V33" s="1654"/>
      <c r="W33" s="1655"/>
      <c r="X33" s="1594"/>
      <c r="Y33" s="361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2"/>
      <c r="Q34" s="1544" t="str">
        <f t="shared" si="8"/>
        <v>土地级别</v>
      </c>
      <c r="R34" s="1654" t="s">
        <v>25</v>
      </c>
      <c r="S34" s="1655">
        <f t="shared" si="10"/>
        <v>100</v>
      </c>
      <c r="T34" s="1654" t="s">
        <v>25</v>
      </c>
      <c r="U34" s="1655">
        <f t="shared" si="11"/>
        <v>100</v>
      </c>
      <c r="V34" s="1654" t="s">
        <v>25</v>
      </c>
      <c r="W34" s="1655">
        <f t="shared" si="12"/>
        <v>100</v>
      </c>
      <c r="X34" s="1594"/>
      <c r="Y34" s="361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2"/>
      <c r="Q35" s="1544">
        <f t="shared" si="8"/>
        <v>111</v>
      </c>
      <c r="R35" s="1654" t="s">
        <v>25</v>
      </c>
      <c r="S35" s="1655">
        <f t="shared" si="10"/>
        <v>100</v>
      </c>
      <c r="T35" s="1654" t="s">
        <v>25</v>
      </c>
      <c r="U35" s="1655">
        <f t="shared" si="11"/>
        <v>100</v>
      </c>
      <c r="V35" s="1654" t="s">
        <v>25</v>
      </c>
      <c r="W35" s="1655">
        <f t="shared" si="12"/>
        <v>100</v>
      </c>
      <c r="X35" s="1594"/>
      <c r="Y35" s="361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6"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6"/>
      <c r="Q37" s="1544">
        <f t="shared" si="8"/>
        <v>111</v>
      </c>
      <c r="R37" s="1696" t="s">
        <v>25</v>
      </c>
      <c r="S37" s="1697">
        <f t="shared" si="10"/>
        <v>100</v>
      </c>
      <c r="T37" s="1696" t="s">
        <v>25</v>
      </c>
      <c r="U37" s="1697">
        <f t="shared" si="11"/>
        <v>100</v>
      </c>
      <c r="V37" s="1696" t="s">
        <v>25</v>
      </c>
      <c r="W37" s="1697">
        <f t="shared" si="12"/>
        <v>100</v>
      </c>
      <c r="X37" s="1698"/>
      <c r="Y37" s="3616"/>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6"/>
      <c r="Q38" s="1544" t="str">
        <f>B38</f>
        <v>宗地面积</v>
      </c>
      <c r="R38" s="1654" t="s">
        <v>25</v>
      </c>
      <c r="S38" s="1655" t="e">
        <f t="shared" si="10"/>
        <v>#N/A</v>
      </c>
      <c r="T38" s="1654" t="s">
        <v>25</v>
      </c>
      <c r="U38" s="1655" t="e">
        <f t="shared" si="11"/>
        <v>#N/A</v>
      </c>
      <c r="V38" s="1654" t="s">
        <v>25</v>
      </c>
      <c r="W38" s="1655" t="e">
        <f t="shared" si="12"/>
        <v>#N/A</v>
      </c>
      <c r="X38" s="1594"/>
      <c r="Y38" s="3616"/>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6"/>
      <c r="Q39" s="1544" t="str">
        <f t="shared" ref="Q39:Q45" si="14">B39</f>
        <v>宗地形状</v>
      </c>
      <c r="R39" s="1654" t="s">
        <v>25</v>
      </c>
      <c r="S39" s="1655">
        <f t="shared" si="10"/>
        <v>100</v>
      </c>
      <c r="T39" s="1654" t="s">
        <v>25</v>
      </c>
      <c r="U39" s="1655">
        <f t="shared" si="11"/>
        <v>100</v>
      </c>
      <c r="V39" s="1654" t="s">
        <v>25</v>
      </c>
      <c r="W39" s="1655">
        <f t="shared" si="12"/>
        <v>100</v>
      </c>
      <c r="X39" s="1594"/>
      <c r="Y39" s="3616"/>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6"/>
      <c r="Q40" s="1544" t="str">
        <f t="shared" si="14"/>
        <v>临街宽度及深度</v>
      </c>
      <c r="R40" s="1654" t="s">
        <v>25</v>
      </c>
      <c r="S40" s="1655">
        <f t="shared" si="10"/>
        <v>100</v>
      </c>
      <c r="T40" s="1654" t="s">
        <v>25</v>
      </c>
      <c r="U40" s="1655">
        <f t="shared" si="11"/>
        <v>100</v>
      </c>
      <c r="V40" s="1654" t="s">
        <v>25</v>
      </c>
      <c r="W40" s="1655">
        <f t="shared" si="12"/>
        <v>100</v>
      </c>
      <c r="X40" s="1594"/>
      <c r="Y40" s="3616"/>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6"/>
      <c r="Q41" s="1544" t="str">
        <f t="shared" si="14"/>
        <v>宗地开发程度</v>
      </c>
      <c r="R41" s="1609" t="s">
        <v>25</v>
      </c>
      <c r="S41" s="1610">
        <f t="shared" si="10"/>
        <v>100</v>
      </c>
      <c r="T41" s="1609" t="s">
        <v>25</v>
      </c>
      <c r="U41" s="1610">
        <f t="shared" si="11"/>
        <v>100</v>
      </c>
      <c r="V41" s="1609" t="s">
        <v>25</v>
      </c>
      <c r="W41" s="1610">
        <f t="shared" si="12"/>
        <v>100</v>
      </c>
      <c r="X41" s="1611"/>
      <c r="Y41" s="3616"/>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6" t="s">
        <v>2037</v>
      </c>
      <c r="Q42" s="1544" t="str">
        <f t="shared" si="14"/>
        <v>工程地质条件</v>
      </c>
      <c r="R42" s="1654" t="s">
        <v>25</v>
      </c>
      <c r="S42" s="1655">
        <f t="shared" si="10"/>
        <v>100</v>
      </c>
      <c r="T42" s="1654" t="s">
        <v>25</v>
      </c>
      <c r="U42" s="1655">
        <f t="shared" si="11"/>
        <v>100</v>
      </c>
      <c r="V42" s="1654" t="s">
        <v>25</v>
      </c>
      <c r="W42" s="1655">
        <f t="shared" si="12"/>
        <v>100</v>
      </c>
      <c r="X42" s="1594"/>
      <c r="Y42" s="3616"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6"/>
      <c r="Q43" s="1544">
        <f t="shared" si="14"/>
        <v>111</v>
      </c>
      <c r="R43" s="1654" t="s">
        <v>25</v>
      </c>
      <c r="S43" s="1655">
        <f t="shared" si="10"/>
        <v>100</v>
      </c>
      <c r="T43" s="1654" t="s">
        <v>25</v>
      </c>
      <c r="U43" s="1655">
        <f t="shared" si="11"/>
        <v>100</v>
      </c>
      <c r="V43" s="1654" t="s">
        <v>25</v>
      </c>
      <c r="W43" s="1655">
        <f t="shared" si="12"/>
        <v>100</v>
      </c>
      <c r="X43" s="1594"/>
      <c r="Y43" s="361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6"/>
      <c r="Q44" s="1544">
        <f t="shared" si="14"/>
        <v>111</v>
      </c>
      <c r="R44" s="1654" t="s">
        <v>25</v>
      </c>
      <c r="S44" s="1655">
        <f t="shared" si="10"/>
        <v>100</v>
      </c>
      <c r="T44" s="1654" t="s">
        <v>25</v>
      </c>
      <c r="U44" s="1655">
        <f t="shared" si="11"/>
        <v>100</v>
      </c>
      <c r="V44" s="1654" t="s">
        <v>25</v>
      </c>
      <c r="W44" s="1655">
        <f t="shared" si="12"/>
        <v>100</v>
      </c>
      <c r="X44" s="1594"/>
      <c r="Y44" s="3616"/>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6"/>
      <c r="Q45" s="1544">
        <f t="shared" si="14"/>
        <v>111</v>
      </c>
      <c r="R45" s="1696" t="s">
        <v>25</v>
      </c>
      <c r="S45" s="1697">
        <f t="shared" si="10"/>
        <v>100</v>
      </c>
      <c r="T45" s="1696" t="s">
        <v>25</v>
      </c>
      <c r="U45" s="1697">
        <f t="shared" si="11"/>
        <v>100</v>
      </c>
      <c r="V45" s="1696" t="s">
        <v>25</v>
      </c>
      <c r="W45" s="1697">
        <f t="shared" si="12"/>
        <v>100</v>
      </c>
      <c r="X45" s="1698"/>
      <c r="Y45" s="3616"/>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2" t="str">
        <f>A46</f>
        <v>成交单价</v>
      </c>
      <c r="Q46" s="3622"/>
      <c r="R46" s="3602">
        <f>E46</f>
        <v>0</v>
      </c>
      <c r="S46" s="3602"/>
      <c r="T46" s="3602">
        <f>G46</f>
        <v>0</v>
      </c>
      <c r="U46" s="3602"/>
      <c r="V46" s="3602">
        <f>I46</f>
        <v>0</v>
      </c>
      <c r="W46" s="3602"/>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2" t="str">
        <f>A47</f>
        <v>比较价值（元/平方米）</v>
      </c>
      <c r="Q47" s="3622"/>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8" t="str">
        <f>A48</f>
        <v>估价对象XX用房的比较价值（楼面单价，元/平方米）</v>
      </c>
      <c r="Q48" s="3629"/>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2023-2-1</v>
      </c>
      <c r="D67" s="1969">
        <f>EDATE(C67,-3)</f>
        <v>44866</v>
      </c>
      <c r="E67" s="1969">
        <f t="shared" ref="E67:O67" si="18">EDATE(D67,-3)</f>
        <v>44774</v>
      </c>
      <c r="F67" s="1969">
        <f t="shared" si="18"/>
        <v>44682</v>
      </c>
      <c r="G67" s="1969">
        <f t="shared" si="18"/>
        <v>44593</v>
      </c>
      <c r="H67" s="1969">
        <f t="shared" si="18"/>
        <v>44501</v>
      </c>
      <c r="I67" s="1969">
        <f t="shared" si="18"/>
        <v>44409</v>
      </c>
      <c r="J67" s="1969">
        <f t="shared" si="18"/>
        <v>44317</v>
      </c>
      <c r="K67" s="1969">
        <f t="shared" si="18"/>
        <v>44228</v>
      </c>
      <c r="L67" s="1969">
        <f t="shared" si="18"/>
        <v>44136</v>
      </c>
      <c r="M67" s="1969">
        <f t="shared" si="18"/>
        <v>44044</v>
      </c>
      <c r="N67" s="1969">
        <f t="shared" si="18"/>
        <v>43952</v>
      </c>
      <c r="O67" s="1969">
        <f t="shared" si="18"/>
        <v>43862</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2023-1</v>
      </c>
      <c r="D69" s="1977" t="str">
        <f>YEAR(D67)&amp;"-"&amp;ROUNDUP(MONTH(D67)/3,0)</f>
        <v>2022-4</v>
      </c>
      <c r="E69" s="1977" t="str">
        <f t="shared" ref="E69:O69" si="19">YEAR(E67)&amp;"-"&amp;ROUNDUP(MONTH(E67)/3,0)</f>
        <v>2022-3</v>
      </c>
      <c r="F69" s="1977" t="str">
        <f t="shared" si="19"/>
        <v>2022-2</v>
      </c>
      <c r="G69" s="1977" t="str">
        <f t="shared" si="19"/>
        <v>2022-1</v>
      </c>
      <c r="H69" s="1977" t="str">
        <f t="shared" si="19"/>
        <v>2021-4</v>
      </c>
      <c r="I69" s="1977" t="str">
        <f t="shared" si="19"/>
        <v>2021-3</v>
      </c>
      <c r="J69" s="1977" t="str">
        <f t="shared" si="19"/>
        <v>2021-2</v>
      </c>
      <c r="K69" s="1977" t="str">
        <f t="shared" si="19"/>
        <v>2021-1</v>
      </c>
      <c r="L69" s="1977" t="str">
        <f t="shared" si="19"/>
        <v>2020-4</v>
      </c>
      <c r="M69" s="1977" t="str">
        <f t="shared" si="19"/>
        <v>2020-3</v>
      </c>
      <c r="N69" s="1977" t="str">
        <f t="shared" si="19"/>
        <v>2020-2</v>
      </c>
      <c r="O69" s="1977" t="str">
        <f t="shared" si="19"/>
        <v>2020-1</v>
      </c>
      <c r="P69" s="1978"/>
    </row>
    <row r="70" spans="1:17" s="1613" customFormat="1" ht="29.25" customHeight="1">
      <c r="A70" s="1980" t="s">
        <v>2236</v>
      </c>
      <c r="B70" s="1981" t="str">
        <f>"北京市平均增长率"&amp;TEXT(SUMIF(基准地价修正!N21:N25,A70,基准地价修正!P21:P25),"0.00%")</f>
        <v>北京市平均增长率0.93%</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44985</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119</v>
      </c>
      <c r="G10" s="322"/>
      <c r="H10" s="29">
        <f>ROUND(100/'数据-取费表'!B14,0)</f>
        <v>119</v>
      </c>
      <c r="I10" s="322"/>
      <c r="J10" s="29">
        <f>ROUND(100/'数据-取费表'!B14,0)</f>
        <v>119</v>
      </c>
      <c r="K10" s="553"/>
      <c r="L10" s="2948"/>
      <c r="M10" s="2949"/>
      <c r="N10" s="2949"/>
      <c r="O10" s="2950"/>
      <c r="P10" s="3637"/>
      <c r="Q10" s="1255" t="str">
        <f t="shared" si="6"/>
        <v>土地使用年限（年）</v>
      </c>
      <c r="R10" s="627" t="s">
        <v>25</v>
      </c>
      <c r="S10" s="628">
        <f t="shared" si="0"/>
        <v>119</v>
      </c>
      <c r="T10" s="627" t="s">
        <v>25</v>
      </c>
      <c r="U10" s="628">
        <f t="shared" si="1"/>
        <v>119</v>
      </c>
      <c r="V10" s="627" t="s">
        <v>25</v>
      </c>
      <c r="W10" s="628">
        <f t="shared" si="2"/>
        <v>119</v>
      </c>
      <c r="X10" s="629"/>
      <c r="Y10" s="3667"/>
      <c r="Z10" s="19" t="str">
        <f t="shared" si="7"/>
        <v>土地使用年限（年）</v>
      </c>
      <c r="AA10" s="630">
        <f t="shared" si="3"/>
        <v>0.84033613445378152</v>
      </c>
      <c r="AB10" s="630">
        <f t="shared" si="4"/>
        <v>0.84033613445378152</v>
      </c>
      <c r="AC10" s="630">
        <f t="shared" si="5"/>
        <v>0.84033613445378152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2023-2-1</v>
      </c>
      <c r="D62" s="1111">
        <f>EDATE(C62,-3)</f>
        <v>44866</v>
      </c>
      <c r="E62" s="1111">
        <f t="shared" ref="E62:O62" si="18">EDATE(D62,-3)</f>
        <v>44774</v>
      </c>
      <c r="F62" s="1111">
        <f t="shared" si="18"/>
        <v>44682</v>
      </c>
      <c r="G62" s="1111">
        <f t="shared" si="18"/>
        <v>44593</v>
      </c>
      <c r="H62" s="1111">
        <f t="shared" si="18"/>
        <v>44501</v>
      </c>
      <c r="I62" s="1111">
        <f t="shared" si="18"/>
        <v>44409</v>
      </c>
      <c r="J62" s="1111">
        <f t="shared" si="18"/>
        <v>44317</v>
      </c>
      <c r="K62" s="1111">
        <f t="shared" si="18"/>
        <v>44228</v>
      </c>
      <c r="L62" s="1111">
        <f t="shared" si="18"/>
        <v>44136</v>
      </c>
      <c r="M62" s="1111">
        <f t="shared" si="18"/>
        <v>44044</v>
      </c>
      <c r="N62" s="1111">
        <f t="shared" si="18"/>
        <v>43952</v>
      </c>
      <c r="O62" s="1111">
        <f t="shared" si="18"/>
        <v>43862</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2023-1</v>
      </c>
      <c r="D64" s="1112" t="str">
        <f t="shared" ref="D64:O64" si="19">YEAR(D62)&amp;"-"&amp;ROUNDUP(MONTH(D62)/3,0)</f>
        <v>2022-4</v>
      </c>
      <c r="E64" s="1112" t="str">
        <f t="shared" si="19"/>
        <v>2022-3</v>
      </c>
      <c r="F64" s="1112" t="str">
        <f t="shared" si="19"/>
        <v>2022-2</v>
      </c>
      <c r="G64" s="1112" t="str">
        <f t="shared" si="19"/>
        <v>2022-1</v>
      </c>
      <c r="H64" s="1112" t="str">
        <f t="shared" si="19"/>
        <v>2021-4</v>
      </c>
      <c r="I64" s="1112" t="str">
        <f t="shared" si="19"/>
        <v>2021-3</v>
      </c>
      <c r="J64" s="1112" t="str">
        <f t="shared" si="19"/>
        <v>2021-2</v>
      </c>
      <c r="K64" s="1112" t="str">
        <f t="shared" si="19"/>
        <v>2021-1</v>
      </c>
      <c r="L64" s="1112" t="str">
        <f t="shared" si="19"/>
        <v>2020-4</v>
      </c>
      <c r="M64" s="1112" t="str">
        <f t="shared" si="19"/>
        <v>2020-3</v>
      </c>
      <c r="N64" s="1112" t="str">
        <f t="shared" si="19"/>
        <v>2020-2</v>
      </c>
      <c r="O64" s="1112" t="str">
        <f t="shared" si="19"/>
        <v>2020-1</v>
      </c>
      <c r="P64" s="393"/>
    </row>
    <row r="65" spans="1:17" s="25" customFormat="1" ht="33.75" customHeight="1">
      <c r="A65" s="1528" t="s">
        <v>2255</v>
      </c>
      <c r="B65" s="200" t="str">
        <f>"北京市平均增长率"&amp;TEXT(基准地价修正!P24,"0.00%")</f>
        <v>北京市平均增长率1.09%</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2128.59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44985</v>
      </c>
      <c r="H19" s="2121" t="s">
        <v>2484</v>
      </c>
      <c r="I19" s="2122" t="str">
        <f>IF(H19="季度增幅（自定义）",SUMIF(N21:N24,E2,O21:O24),"")</f>
        <v/>
      </c>
      <c r="J19" s="2123"/>
      <c r="K19" s="2970"/>
      <c r="L19" s="2004" t="s">
        <v>2350</v>
      </c>
      <c r="M19" s="2124">
        <f>ROUND(SUMIF(地价!B2:F2,E2,地价!B41:F41),0)</f>
        <v>423</v>
      </c>
      <c r="N19" s="2125" t="s">
        <v>2351</v>
      </c>
      <c r="O19" s="2126">
        <f>ROUNDDOWN(DATEDIF(E19,G19,"M")/3,0)</f>
        <v>36</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0.79239999999999999</v>
      </c>
      <c r="D20" s="2130" t="s">
        <v>2354</v>
      </c>
      <c r="E20" s="3072">
        <f>存贷款利率!E22/100</f>
        <v>4.3499999999999997E-2</v>
      </c>
      <c r="F20" s="2130" t="s">
        <v>2343</v>
      </c>
      <c r="G20" s="3073">
        <f>SUMIF(M26:P26,E2,M28:P28)</f>
        <v>0.05</v>
      </c>
      <c r="H20" s="2130" t="s">
        <v>2355</v>
      </c>
      <c r="I20" s="2131">
        <f>'数据-取费表'!B13</f>
        <v>29.8</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9.2999999999999992E-3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9.2999999999999992E-3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1.6400000000000001E-2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1.09E-2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1.49E-2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2128.59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估价对象为北京市房地产，为XX所有。根据《》[]，估价对象建筑面积为2128.59平方米。根据《》[]，估价对象（分摊）出让国有建设用地使用权面积为平方米。估价对象用途为。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2023年2月28日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本次估价的“房地产价值”是指在正常市场情况下，在价值时点2023年2月28日，估价对象规划用途为，假定未设立法定优先受偿款下的房地产市场价值。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O29" sqref="O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44985</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13720</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64455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8401391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8390902</v>
      </c>
      <c r="D6" s="36" t="s">
        <v>2461</v>
      </c>
      <c r="E6" s="235" t="s">
        <v>1776</v>
      </c>
      <c r="F6" s="236">
        <f>'数据-取费表'!B30</f>
        <v>12</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2128.59</v>
      </c>
      <c r="G7" s="909"/>
      <c r="H7" s="237"/>
      <c r="I7" s="238"/>
      <c r="J7" s="239"/>
      <c r="K7" s="240"/>
      <c r="L7" s="235" t="s">
        <v>1777</v>
      </c>
      <c r="M7" s="236">
        <f>IF('数据-取费表'!B42="",IF(D1="仅计算典型户型",'数据-取费表'!E5,'数据-取费表'!B5),'数据-取费表'!B42)</f>
        <v>2128.59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10489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13389991</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11707245</v>
      </c>
      <c r="D14" s="1256" t="s">
        <v>1795</v>
      </c>
      <c r="E14" s="1257"/>
      <c r="F14" s="757"/>
      <c r="G14" s="910"/>
      <c r="H14" s="253" t="s">
        <v>1774</v>
      </c>
      <c r="I14" s="235" t="s">
        <v>1796</v>
      </c>
      <c r="J14" s="13">
        <f ca="1">C29</f>
        <v>17389599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351217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319969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425718</v>
      </c>
      <c r="D17" s="235" t="s">
        <v>1809</v>
      </c>
      <c r="E17" s="235" t="s">
        <v>1810</v>
      </c>
      <c r="F17" s="15">
        <f>'数据-取费表'!E23</f>
        <v>200</v>
      </c>
      <c r="G17" s="910"/>
      <c r="H17" s="253" t="s">
        <v>1811</v>
      </c>
      <c r="I17" s="235" t="s">
        <v>1812</v>
      </c>
      <c r="J17" s="2745">
        <f ca="1">ROUND(IF(AND(项目基本情况!B7="自然人",项目基本情况!B6="北京市"),J6*M17/(1+'数据-取费表'!F30),J18+J19+J20),0)</f>
        <v>146073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175609</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12659789</v>
      </c>
      <c r="D19" s="33" t="s">
        <v>1820</v>
      </c>
      <c r="E19" s="1261"/>
      <c r="F19" s="15"/>
      <c r="G19" s="910"/>
      <c r="H19" s="253" t="s">
        <v>1797</v>
      </c>
      <c r="I19" s="235" t="s">
        <v>1821</v>
      </c>
      <c r="J19" s="13">
        <f ca="1">IF(项目基本情况!B7="自然人","——",IF(K19="按租金收入计税",ROUND(J6*M19/(1+'数据-取费表'!F30),0),ROUND(C29*M19*0.7,0)))</f>
        <v>146073</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253196</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24</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173896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535889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-319969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2582597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17389599</v>
      </c>
      <c r="D29" s="1034"/>
      <c r="E29" s="1032"/>
      <c r="F29" s="1035"/>
      <c r="G29" s="652"/>
      <c r="H29" s="271" t="s">
        <v>24</v>
      </c>
      <c r="I29" s="272" t="s">
        <v>1869</v>
      </c>
      <c r="J29" s="273">
        <f ca="1">ROUND(J26/(1+F40)^F41,0)</f>
        <v>0</v>
      </c>
      <c r="K29" s="274" t="s">
        <v>1870</v>
      </c>
      <c r="L29" s="275"/>
      <c r="M29" s="276">
        <f>IF(D1="仅计算典型户型",'数据-取费表'!E5,'数据-取费表'!B5)</f>
        <v>2128.59</v>
      </c>
    </row>
    <row r="30" spans="1:37" ht="18" customHeight="1" thickTop="1">
      <c r="A30" s="1021" t="s">
        <v>14</v>
      </c>
      <c r="B30" s="1022" t="s">
        <v>1871</v>
      </c>
      <c r="C30" s="243">
        <f ca="1">ROUND(C31+C36+C37+C38,0)</f>
        <v>1684470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1406475</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447515</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958960</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24</v>
      </c>
      <c r="G34" s="652"/>
      <c r="H34" s="889"/>
      <c r="I34" s="280" t="s">
        <v>1878</v>
      </c>
      <c r="J34" s="281">
        <f ca="1">ROUND(C13*J35,0)</f>
        <v>937299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173896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20085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84014</v>
      </c>
      <c r="D38" s="1034" t="s">
        <v>1846</v>
      </c>
      <c r="E38" s="1032" t="s">
        <v>1842</v>
      </c>
      <c r="F38" s="1027">
        <f>'数据-取费表'!B47</f>
        <v>0.01</v>
      </c>
      <c r="G38" s="652"/>
      <c r="H38" s="901"/>
      <c r="I38" s="280" t="s">
        <v>1884</v>
      </c>
      <c r="J38" s="136">
        <f ca="1">ROUND(J34/C39,3)</f>
        <v>0.14000000000000001</v>
      </c>
      <c r="K38" s="906"/>
      <c r="L38" s="901"/>
      <c r="M38" s="901"/>
    </row>
    <row r="39" spans="1:18" ht="18" customHeight="1" thickTop="1">
      <c r="A39" s="1021" t="s">
        <v>22</v>
      </c>
      <c r="B39" s="1036" t="s">
        <v>1885</v>
      </c>
      <c r="C39" s="243">
        <f ca="1">C5-C30</f>
        <v>6716921</v>
      </c>
      <c r="D39" s="1037" t="s">
        <v>1886</v>
      </c>
      <c r="E39" s="1038"/>
      <c r="F39" s="1039"/>
      <c r="G39" s="652"/>
      <c r="H39" s="901"/>
      <c r="I39" s="280" t="s">
        <v>1887</v>
      </c>
      <c r="J39" s="136">
        <f ca="1">1-J38</f>
        <v>0.86</v>
      </c>
      <c r="K39" s="906"/>
      <c r="L39" s="901"/>
      <c r="M39" s="901"/>
    </row>
    <row r="40" spans="1:18" s="652" customFormat="1" ht="18" customHeight="1">
      <c r="A40" s="232" t="s">
        <v>23</v>
      </c>
      <c r="B40" s="233" t="s">
        <v>1888</v>
      </c>
      <c r="C40" s="234">
        <f ca="1">ROUND(C39*(1-((1+F42)/(1+F40))^F41)/(F40-F42),0)</f>
        <v>137197889</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29.8</v>
      </c>
      <c r="H41" s="908"/>
      <c r="I41" s="135" t="s">
        <v>1762</v>
      </c>
      <c r="J41" s="136">
        <f ca="1">ROUND(C13/C40,3)</f>
        <v>9.8000000000000004E-2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0.90200000000000002</v>
      </c>
      <c r="K42" s="905"/>
      <c r="L42" s="908"/>
      <c r="M42" s="908"/>
      <c r="Q42" s="656"/>
    </row>
    <row r="43" spans="1:18" s="652" customFormat="1" ht="18" customHeight="1" thickBot="1">
      <c r="A43" s="271" t="s">
        <v>24</v>
      </c>
      <c r="B43" s="272" t="s">
        <v>1891</v>
      </c>
      <c r="C43" s="273">
        <f ca="1">ROUND(C40/F43,0)</f>
        <v>64455</v>
      </c>
      <c r="D43" s="274" t="s">
        <v>1892</v>
      </c>
      <c r="E43" s="275" t="s">
        <v>1893</v>
      </c>
      <c r="F43" s="276">
        <f>IF(D1="仅计算典型户型",'数据-取费表'!E5,'数据-取费表'!B5)</f>
        <v>2128.59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137197889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-16118</v>
      </c>
      <c r="D47" s="1456" t="str">
        <f>C2</f>
        <v>万元</v>
      </c>
      <c r="E47" s="649"/>
      <c r="F47" s="649"/>
      <c r="I47" s="1457" t="s">
        <v>1904</v>
      </c>
      <c r="J47" s="981"/>
      <c r="K47" s="982"/>
      <c r="L47" s="995" t="str">
        <f>IF(M48="住宅",0,IF(L49&gt;J52,L61,J61))</f>
        <v>0</v>
      </c>
      <c r="O47" s="1009" t="s">
        <v>769</v>
      </c>
      <c r="P47" s="1006" t="s">
        <v>1905</v>
      </c>
      <c r="Q47" s="1007">
        <f ca="1">C29</f>
        <v>17389599</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29.8</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29.8</v>
      </c>
      <c r="R50" s="1008" t="s">
        <v>1923</v>
      </c>
    </row>
    <row r="51" spans="1:18" s="652" customFormat="1" ht="15.75" thickBot="1">
      <c r="A51" s="237"/>
      <c r="B51" s="238"/>
      <c r="C51" s="239"/>
      <c r="D51" s="240"/>
      <c r="E51" s="255" t="s">
        <v>1777</v>
      </c>
      <c r="F51" s="943">
        <f>F7</f>
        <v>2128.59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13720</v>
      </c>
      <c r="R51" s="1008" t="s">
        <v>774</v>
      </c>
    </row>
    <row r="52" spans="1:18" s="652" customFormat="1" ht="16.5" thickBot="1">
      <c r="A52" s="237"/>
      <c r="B52" s="238"/>
      <c r="C52" s="239"/>
      <c r="D52" s="240"/>
      <c r="E52" s="235" t="s">
        <v>1779</v>
      </c>
      <c r="F52" s="236">
        <f>F8</f>
        <v>365</v>
      </c>
      <c r="I52" s="1466" t="s">
        <v>1926</v>
      </c>
      <c r="J52" s="986">
        <f>IF(J50="",J51,J50+J51-YEAR('数据-取费表'!B2))</f>
        <v>45</v>
      </c>
      <c r="K52" s="1467" t="s">
        <v>1927</v>
      </c>
      <c r="L52" s="987">
        <f ca="1">ROUND(-PV('数据-取费表'!B15,J52,(C40-C13*J35)),0)</f>
        <v>2421905234</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29.8</v>
      </c>
      <c r="K54" s="3731" t="s">
        <v>2460</v>
      </c>
      <c r="L54" s="3732"/>
      <c r="O54" s="1005" t="s">
        <v>767</v>
      </c>
      <c r="P54" s="1006" t="s">
        <v>1899</v>
      </c>
      <c r="Q54" s="1007">
        <f ca="1">C40+J29</f>
        <v>137197889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13389991</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17389599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1654707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1460726</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13720</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1460726</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24</v>
      </c>
      <c r="I63" s="1479" t="s">
        <v>1954</v>
      </c>
      <c r="J63" s="1251" t="s">
        <v>1955</v>
      </c>
      <c r="K63" s="1251" t="s">
        <v>1956</v>
      </c>
      <c r="L63" s="1251" t="s">
        <v>1957</v>
      </c>
      <c r="M63" s="1250" t="s">
        <v>1958</v>
      </c>
      <c r="O63" s="1005" t="s">
        <v>767</v>
      </c>
      <c r="P63" s="1006" t="s">
        <v>1899</v>
      </c>
      <c r="Q63" s="1007">
        <f ca="1">C40+J29</f>
        <v>137197889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173896</v>
      </c>
      <c r="D65" s="1259" t="s">
        <v>1881</v>
      </c>
      <c r="E65" s="235" t="s">
        <v>1825</v>
      </c>
      <c r="F65" s="265">
        <f t="shared" si="0"/>
        <v>0.01</v>
      </c>
      <c r="I65" s="1479" t="s">
        <v>1961</v>
      </c>
      <c r="J65" s="1251">
        <v>50</v>
      </c>
      <c r="K65" s="1251">
        <v>35</v>
      </c>
      <c r="L65" s="1251">
        <v>60</v>
      </c>
      <c r="M65" s="1250">
        <v>0</v>
      </c>
      <c r="O65" s="1009" t="s">
        <v>769</v>
      </c>
      <c r="P65" s="1006" t="s">
        <v>1935</v>
      </c>
      <c r="Q65" s="1011">
        <f ca="1">L52</f>
        <v>2421905234</v>
      </c>
      <c r="R65" s="1012" t="s">
        <v>1962</v>
      </c>
    </row>
    <row r="66" spans="1:18" s="652" customFormat="1" ht="20.25" thickBot="1">
      <c r="A66" s="253" t="s">
        <v>20</v>
      </c>
      <c r="B66" s="235" t="s">
        <v>1840</v>
      </c>
      <c r="C66" s="13">
        <f ca="1">ROUND(C57*F66,0)</f>
        <v>20085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5779622</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6716921</v>
      </c>
      <c r="R67" s="1008" t="s">
        <v>1900</v>
      </c>
    </row>
    <row r="68" spans="1:18" ht="15.75" thickBot="1">
      <c r="A68" s="248" t="s">
        <v>22</v>
      </c>
      <c r="B68" s="41" t="s">
        <v>1850</v>
      </c>
      <c r="C68" s="250">
        <f ca="1">C49-C59</f>
        <v>-1654707</v>
      </c>
      <c r="D68" s="1256" t="s">
        <v>1851</v>
      </c>
      <c r="E68" s="1258"/>
      <c r="F68" s="268"/>
      <c r="H68" s="652"/>
      <c r="I68" s="652"/>
      <c r="J68" s="652"/>
      <c r="K68" s="652"/>
      <c r="L68" s="652"/>
      <c r="M68" s="652"/>
      <c r="O68" s="1009" t="s">
        <v>776</v>
      </c>
      <c r="P68" s="1013" t="s">
        <v>1966</v>
      </c>
      <c r="Q68" s="1007">
        <f ca="1">C13</f>
        <v>13389991</v>
      </c>
      <c r="R68" s="1008" t="s">
        <v>1900</v>
      </c>
    </row>
    <row r="69" spans="1:18" ht="15.75" thickBot="1">
      <c r="A69" s="232" t="s">
        <v>23</v>
      </c>
      <c r="B69" s="233" t="s">
        <v>1888</v>
      </c>
      <c r="C69" s="234">
        <f ca="1">ROUND(C68*(1-((1+F71)/(1+F69))^F70)/(F69-F71),0)</f>
        <v>-23984103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29.8</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-11268</v>
      </c>
      <c r="D72" s="274" t="s">
        <v>1892</v>
      </c>
      <c r="E72" s="275" t="s">
        <v>1893</v>
      </c>
      <c r="F72" s="276">
        <f>F43</f>
        <v>2128.59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13720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4.25">
      <c r="A6" s="1287"/>
      <c r="B6" s="1292" t="str">
        <f>项目基本情况!I1</f>
        <v>北京市房地产</v>
      </c>
      <c r="C6" s="3332">
        <f>项目基本情况!C12</f>
        <v>2128.59</v>
      </c>
      <c r="D6" s="3332"/>
      <c r="E6" s="1287"/>
    </row>
    <row r="7" spans="1:5" ht="14.25">
      <c r="A7" s="1287"/>
      <c r="B7" s="3326" t="s">
        <v>594</v>
      </c>
      <c r="C7" s="1293" t="str">
        <f>IF('数据-取费表'!B3="万元","总价（万元）","总价（元）")</f>
        <v>总价（万元）</v>
      </c>
      <c r="D7" s="1294">
        <f ca="1">IF('数据-取费表'!E3="否",结果表!I102,'结果表 (1修多)'!I104)</f>
        <v>15100</v>
      </c>
      <c r="E7" s="1287"/>
    </row>
    <row r="8" spans="1:5" ht="28.5">
      <c r="A8" s="1287"/>
      <c r="B8" s="3326"/>
      <c r="C8" s="1295" t="s">
        <v>924</v>
      </c>
      <c r="D8" s="1296" t="str">
        <f ca="1">IF('数据-取费表'!B3="万元",NUMBERSTRING(INT(D7*10000),2)&amp;"元整",NUMBERSTRING(INT(D7),2)&amp;"元整")</f>
        <v>壹亿伍仟壹佰万元整</v>
      </c>
      <c r="E8" s="1287"/>
    </row>
    <row r="9" spans="1:5" ht="14.25">
      <c r="A9" s="1287"/>
      <c r="B9" s="3326"/>
      <c r="C9" s="1297" t="s">
        <v>1020</v>
      </c>
      <c r="D9" s="1294">
        <f ca="1">IF('数据-取费表'!E3="否",结果表!I103,'结果表 (1修多)'!I105)</f>
        <v>70941</v>
      </c>
      <c r="E9" s="1287"/>
    </row>
    <row r="10" spans="1:5" ht="14.25">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3" t="str">
        <f>IF('数据-取费表'!E3="否",结果表!F110,'结果表 (1修多)'!F112)</f>
        <v>3.房地产抵押价值</v>
      </c>
      <c r="C15" s="1288" t="str">
        <f>C7</f>
        <v>总价（万元）</v>
      </c>
      <c r="D15" s="1294">
        <f ca="1">IF('数据-取费表'!E3="否",结果表!I110,'结果表 (1修多)'!I112)</f>
        <v>15100</v>
      </c>
      <c r="E15" s="1287"/>
    </row>
    <row r="16" spans="1:5" ht="28.5">
      <c r="A16" s="1287"/>
      <c r="B16" s="3333"/>
      <c r="C16" s="1295" t="s">
        <v>924</v>
      </c>
      <c r="D16" s="1294" t="str">
        <f ca="1">IF('数据-取费表'!B3="万元",NUMBERSTRING(INT(D15*10000),2)&amp;"元整",NUMBERSTRING(INT(D15),2)&amp;"元整")</f>
        <v>壹亿伍仟壹佰万元整</v>
      </c>
      <c r="E16" s="1287"/>
    </row>
    <row r="17" spans="1:5" ht="14.25">
      <c r="A17" s="1287"/>
      <c r="B17" s="3333"/>
      <c r="C17" s="1297" t="s">
        <v>1020</v>
      </c>
      <c r="D17" s="1294">
        <f ca="1">IF('数据-取费表'!E3="否",结果表!I111,'结果表 (1修多)'!I113)</f>
        <v>70941</v>
      </c>
      <c r="E17" s="1287"/>
    </row>
    <row r="18" spans="1:5" ht="14.25">
      <c r="A18" s="1287"/>
      <c r="B18" s="3333" t="str">
        <f>IF('数据-取费表'!E3="否",结果表!F112,'结果表 (1修多)'!F114)</f>
        <v>——</v>
      </c>
      <c r="C18" s="1288" t="str">
        <f>C7</f>
        <v>总价（万元）</v>
      </c>
      <c r="D18" s="1294" t="str">
        <f>IF('数据-取费表'!E3="否",结果表!I112,'结果表 (1修多)'!I114)</f>
        <v>——</v>
      </c>
      <c r="E18" s="1287"/>
    </row>
    <row r="19" spans="1:5" ht="14.25">
      <c r="A19" s="1287"/>
      <c r="B19" s="3333"/>
      <c r="C19" s="1295" t="s">
        <v>924</v>
      </c>
      <c r="D19" s="1294" t="e">
        <f>IF('数据-取费表'!B3="万元",NUMBERSTRING(INT(D18*10000),2)&amp;"元整",NUMBERSTRING(INT(D18),2)&amp;"元整")</f>
        <v>#VALUE!</v>
      </c>
      <c r="E19" s="1287"/>
    </row>
    <row r="20" spans="1:5" ht="14.25">
      <c r="A20" s="1287"/>
      <c r="B20" s="3333"/>
      <c r="C20" s="1297" t="s">
        <v>1020</v>
      </c>
      <c r="D20" s="1294" t="str">
        <f>IF('数据-取费表'!E3="否",结果表!I113,'结果表 (1修多)'!I115)</f>
        <v>——</v>
      </c>
      <c r="E20" s="1287"/>
    </row>
    <row r="21" spans="1:5" ht="14.25">
      <c r="A21" s="1287"/>
      <c r="B21" s="3326" t="str">
        <f>IF('数据-取费表'!E3="否",结果表!F114,'结果表 (1修多)'!F116)</f>
        <v>——</v>
      </c>
      <c r="C21" s="1293" t="str">
        <f>C7</f>
        <v>总价（万元）</v>
      </c>
      <c r="D21" s="1294" t="str">
        <f>IF('数据-取费表'!E3="否",结果表!I114,'结果表 (1修多)'!I116)</f>
        <v>——</v>
      </c>
      <c r="E21" s="1287"/>
    </row>
    <row r="22" spans="1:5" ht="14.25">
      <c r="A22" s="1287"/>
      <c r="B22" s="3326"/>
      <c r="C22" s="1295" t="s">
        <v>924</v>
      </c>
      <c r="D22" s="1296" t="e">
        <f>IF('数据-取费表'!B3="万元",NUMBERSTRING(INT(D21*10000),2)&amp;"元整",NUMBERSTRING(INT(D21),2)&amp;"元整")</f>
        <v>#VALUE!</v>
      </c>
      <c r="E22" s="1287"/>
    </row>
    <row r="23" spans="1:5" ht="15" thickBot="1">
      <c r="A23" s="1287"/>
      <c r="B23" s="332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15100</v>
      </c>
      <c r="E28" s="1287"/>
    </row>
    <row r="29" spans="1:5" ht="28.5">
      <c r="A29" s="1287"/>
      <c r="B29" s="3335"/>
      <c r="C29" s="1306" t="s">
        <v>924</v>
      </c>
      <c r="D29" s="1307" t="str">
        <f ca="1">IF('数据-取费表'!B3="万元",NUMBERSTRING(INT(D28*10000),2)&amp;"元整",NUMBERSTRING(INT(D28),2)&amp;"元整")</f>
        <v>壹亿伍仟壹佰万元整</v>
      </c>
      <c r="E29" s="1287"/>
    </row>
    <row r="30" spans="1:5" ht="14.25">
      <c r="A30" s="1287"/>
      <c r="B30" s="3336"/>
      <c r="C30" s="1297" t="s">
        <v>927</v>
      </c>
      <c r="D30" s="1308">
        <f ca="1">IF('数据-取费表'!E3="否",结果表!I103,'结果表 (1修多)'!I105)</f>
        <v>70941</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15100</v>
      </c>
      <c r="E36" s="1287"/>
    </row>
    <row r="37" spans="1:5" ht="28.5">
      <c r="A37" s="1287"/>
      <c r="B37" s="3337"/>
      <c r="C37" s="1306" t="s">
        <v>924</v>
      </c>
      <c r="D37" s="1311" t="str">
        <f ca="1">IF('数据-取费表'!B3="万元",NUMBERSTRING(INT(D36*10000),2)&amp;"元整",NUMBERSTRING(INT(D36),2)&amp;"元整")</f>
        <v>壹亿伍仟壹佰万元整</v>
      </c>
      <c r="E37" s="1287"/>
    </row>
    <row r="38" spans="1:5" ht="14.25">
      <c r="A38" s="1287"/>
      <c r="B38" s="3337"/>
      <c r="C38" s="1297" t="s">
        <v>928</v>
      </c>
      <c r="D38" s="1308">
        <f ca="1">IF('数据-取费表'!E3="否",结果表!D113,'结果表 (1修多)'!D117)</f>
        <v>70941</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2128.59</v>
      </c>
      <c r="C4" s="776">
        <f>结果表!C121</f>
        <v>0</v>
      </c>
      <c r="D4" s="776">
        <f ca="1">IF('数据-取费表'!E3="否",结果表!D121,'结果表 (1修多)'!D125)</f>
        <v>13621</v>
      </c>
      <c r="E4" s="776">
        <f ca="1">IF('数据-取费表'!E3="否",结果表!E121,'结果表 (1修多)'!E125)</f>
        <v>63989</v>
      </c>
      <c r="F4" s="776">
        <f ca="1">IF('数据-取费表'!E3="否",结果表!F121,'结果表 (1修多)'!F125)</f>
        <v>1480</v>
      </c>
      <c r="G4" s="776">
        <f ca="1">IF('数据-取费表'!E3="否",结果表!G121,'结果表 (1修多)'!G125)</f>
        <v>6952</v>
      </c>
      <c r="H4" s="776">
        <f ca="1">IF('数据-取费表'!E3="否",结果表!H121,'结果表 (1修多)'!H125)</f>
        <v>15100</v>
      </c>
      <c r="I4" s="776">
        <f ca="1">IF('数据-取费表'!E3="否",结果表!I121,'结果表 (1修多)'!I125)</f>
        <v>70941</v>
      </c>
    </row>
    <row r="5" spans="1:9" ht="15">
      <c r="A5" s="3351" t="s">
        <v>1030</v>
      </c>
      <c r="B5" s="3351"/>
      <c r="C5" s="3351"/>
      <c r="D5" s="3349" t="str">
        <f ca="1">IF('数据-取费表'!E3="否",结果表!D122,'结果表 (1修多)'!D126)</f>
        <v>壹亿叁仟陆佰贰拾壹万元整</v>
      </c>
      <c r="E5" s="3349"/>
      <c r="F5" s="3349" t="str">
        <f ca="1">IF('数据-取费表'!E3="否",结果表!F122,'结果表 (1修多)'!F126)</f>
        <v>壹仟肆佰捌拾万元整</v>
      </c>
      <c r="G5" s="3349"/>
      <c r="H5" s="3349" t="str">
        <f ca="1">IF('数据-取费表'!E3="否",结果表!H122,'结果表 (1修多)'!H126)</f>
        <v>壹亿伍仟壹佰万元整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15100</v>
      </c>
      <c r="E8" s="3350"/>
      <c r="F8" s="3350"/>
      <c r="G8" s="3350"/>
      <c r="H8" s="3350"/>
      <c r="I8" s="3350"/>
    </row>
    <row r="9" spans="1:9" ht="15">
      <c r="A9" s="3351" t="s">
        <v>1030</v>
      </c>
      <c r="B9" s="3351"/>
      <c r="C9" s="3351"/>
      <c r="D9" s="3349">
        <f ca="1">IF('数据-取费表'!E3="否",结果表!D126,'结果表 (1修多)'!D130)</f>
        <v>70941</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2496</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0" t="str">
        <f>IF(项目基本情况!D4="抵押","3.抵押双方在办理抵押登记手续时，应使用本公司出具的正式《不动产估价报告书》，特提醒报告使用者注意。","——")</f>
        <v>——</v>
      </c>
      <c r="B14" s="3362"/>
      <c r="C14" s="3362"/>
      <c r="D14" s="3362"/>
    </row>
    <row r="15" spans="1:4" ht="15.75" customHeight="1">
      <c r="A15" s="3360" t="str">
        <f>IF(项目基本情况!D4="抵押","4.本次评估估价师所知悉的法定优先受偿款情况说明如下：","——")</f>
        <v>——</v>
      </c>
      <c r="B15" s="3362"/>
      <c r="C15" s="3362"/>
      <c r="D15" s="3362"/>
    </row>
    <row r="16" spans="1:4" ht="75" customHeight="1">
      <c r="A16" s="3360" t="str">
        <f>IF(项目基本情况!D4="抵押",CONCATENATE(项目基本情况!J13,项目基本情况!J14,项目基本情况!J15),"——")</f>
        <v>——</v>
      </c>
      <c r="B16" s="3360"/>
      <c r="C16" s="3360"/>
      <c r="D16" s="3360"/>
    </row>
    <row r="17" spans="1:4" ht="63.75" customHeight="1">
      <c r="A17" s="3361" t="s">
        <v>1045</v>
      </c>
      <c r="B17" s="3361"/>
      <c r="C17" s="3361"/>
      <c r="D17" s="3361"/>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2497</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44985</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t="str">
        <f ca="1">IF(C4&lt;B2,"已过期",1119970066)</f>
        <v>已过期</v>
      </c>
      <c r="C4" s="2988">
        <v>44876</v>
      </c>
      <c r="D4" s="2998" t="str">
        <f ca="1">A4&amp;"（注册号："&amp;B4&amp;"）"</f>
        <v>梁津（注册号：已过期）</v>
      </c>
      <c r="E4" s="3000" t="s">
        <v>573</v>
      </c>
      <c r="F4" s="1230">
        <f ca="1">IF(G4&lt;B2,"已过期",96010014)</f>
        <v>96010014</v>
      </c>
      <c r="G4" s="2989">
        <v>47118</v>
      </c>
      <c r="H4" s="2990" t="str">
        <f ca="1">E4&amp;"（注册号："&amp;F4&amp;"）"</f>
        <v>梁津（注册号：96010014）</v>
      </c>
    </row>
    <row r="5" spans="1:8" ht="24" customHeight="1">
      <c r="A5" s="1230" t="s">
        <v>574</v>
      </c>
      <c r="B5" s="1230" t="str">
        <f ca="1">IF(C5&lt;B2,"已过期",1119970111)</f>
        <v>已过期</v>
      </c>
      <c r="C5" s="2988">
        <v>44876</v>
      </c>
      <c r="D5" s="2998" t="str">
        <f t="shared" ref="D5:D14" ca="1" si="0">A5&amp;"（注册号："&amp;B5&amp;"）"</f>
        <v>叶凌（注册号：已过期）</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t="str">
        <f ca="1">IF(C7&lt;B2,"已过期",1120000080)</f>
        <v>已过期</v>
      </c>
      <c r="C7" s="2988">
        <v>44876</v>
      </c>
      <c r="D7" s="2998" t="str">
        <f t="shared" ca="1" si="0"/>
        <v>欧红伟（注册号：已过期）</v>
      </c>
      <c r="E7" s="3000" t="s">
        <v>576</v>
      </c>
      <c r="F7" s="1230">
        <f ca="1">IF(G7&lt;B2,"已过期",2000110082)</f>
        <v>2000110082</v>
      </c>
      <c r="G7" s="2989">
        <v>46387</v>
      </c>
      <c r="H7" s="2990" t="str">
        <f t="shared" ca="1" si="1"/>
        <v>欧红伟（注册号：2000110082）</v>
      </c>
    </row>
    <row r="8" spans="1:8" ht="24" customHeight="1">
      <c r="A8" s="1230" t="s">
        <v>577</v>
      </c>
      <c r="B8" s="1230" t="str">
        <f ca="1">IF(C8&lt;B2,"已过期",1419970001)</f>
        <v>已过期</v>
      </c>
      <c r="C8" s="2988">
        <v>44899</v>
      </c>
      <c r="D8" s="2998" t="str">
        <f t="shared" ca="1" si="0"/>
        <v>吴薇（注册号：已过期）</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t="str">
        <f ca="1">IF(C12&lt;B2,"已过期",1120040230)</f>
        <v>已过期</v>
      </c>
      <c r="C12" s="2991">
        <v>44864</v>
      </c>
      <c r="D12" s="2998" t="str">
        <f t="shared" ca="1" si="0"/>
        <v>苏海（注册号：已过期）</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t="str">
        <f ca="1">IF(C14&lt;B2,"已过期",1119980106)</f>
        <v>已过期</v>
      </c>
      <c r="C14" s="2991">
        <v>44969</v>
      </c>
      <c r="D14" s="2998" t="str">
        <f t="shared" ca="1" si="0"/>
        <v>刘俊财（注册号：已过期）</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本次估价的“房地产价值”是指在正常市场情况下，在价值时点2023年2月28日，估价对象规划用途为，假定未设立法定优先受偿款下的房地产市场价值。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2023-02-28T07:39:34Z</dcterms:modified>
</cp:coreProperties>
</file>