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 name="Sheet3" sheetId="70"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2" i="66" l="1"/>
  <c r="B22" i="66"/>
  <c r="D22" i="66" l="1"/>
  <c r="G22" i="66" s="1"/>
  <c r="C21" i="66" l="1"/>
  <c r="B21" i="66"/>
  <c r="D21" i="66" l="1"/>
  <c r="G21" i="66" s="1"/>
  <c r="C20" i="66" l="1"/>
  <c r="B20" i="66"/>
  <c r="D20" i="66" l="1"/>
  <c r="G20" i="66" s="1"/>
  <c r="C19" i="66" l="1"/>
  <c r="B19" i="66"/>
  <c r="D19" i="66" l="1"/>
  <c r="G19" i="66" s="1"/>
  <c r="C18" i="66" l="1"/>
  <c r="B18" i="66"/>
  <c r="D18" i="66" l="1"/>
  <c r="G18" i="66" s="1"/>
  <c r="C17" i="66" l="1"/>
  <c r="B17" i="66"/>
  <c r="D17" i="66" l="1"/>
  <c r="G17" i="66" s="1"/>
  <c r="C16" i="66" l="1"/>
  <c r="B16" i="66"/>
  <c r="D16" i="66" l="1"/>
  <c r="G16" i="66" s="1"/>
  <c r="C15" i="66" l="1"/>
  <c r="B15" i="66"/>
  <c r="D15" i="66" l="1"/>
  <c r="G15" i="66" s="1"/>
  <c r="H38" i="69" l="1"/>
  <c r="H40" i="69"/>
  <c r="H42" i="69"/>
  <c r="H44" i="69"/>
  <c r="H46" i="69"/>
  <c r="H48" i="69"/>
  <c r="H39" i="69"/>
  <c r="H41" i="69"/>
  <c r="H43" i="69"/>
  <c r="H45" i="69"/>
  <c r="H47" i="69"/>
  <c r="H49" i="69"/>
  <c r="J49" i="69" l="1"/>
  <c r="I49" i="69"/>
  <c r="J45" i="69"/>
  <c r="I45" i="69"/>
  <c r="J41" i="69"/>
  <c r="I41" i="69"/>
  <c r="J48" i="69"/>
  <c r="I48" i="69"/>
  <c r="J44" i="69"/>
  <c r="I44" i="69"/>
  <c r="J40" i="69"/>
  <c r="I40" i="69"/>
  <c r="J47" i="69"/>
  <c r="I47" i="69"/>
  <c r="J43" i="69"/>
  <c r="I43" i="69"/>
  <c r="J39" i="69"/>
  <c r="I39" i="69"/>
  <c r="J46" i="69"/>
  <c r="I46" i="69"/>
  <c r="J42" i="69"/>
  <c r="I42" i="69"/>
  <c r="J38" i="69"/>
  <c r="I38" i="69"/>
  <c r="H31" i="69" l="1"/>
  <c r="H33" i="69"/>
  <c r="H35" i="69"/>
  <c r="H37" i="69"/>
  <c r="H32" i="69"/>
  <c r="H34" i="69"/>
  <c r="H36" i="69"/>
  <c r="I34" i="69" l="1"/>
  <c r="J34" i="69"/>
  <c r="I37" i="69"/>
  <c r="J37" i="69"/>
  <c r="I33" i="69"/>
  <c r="J33" i="69"/>
  <c r="I36" i="69"/>
  <c r="J36" i="69"/>
  <c r="I32" i="69"/>
  <c r="J32" i="69"/>
  <c r="I35" i="69"/>
  <c r="J35" i="69"/>
  <c r="I31" i="69"/>
  <c r="J31" i="69"/>
  <c r="H28" i="69" l="1"/>
  <c r="H29" i="69"/>
  <c r="H30" i="69"/>
  <c r="I29" i="69" l="1"/>
  <c r="J29" i="69"/>
  <c r="I30" i="69"/>
  <c r="J30" i="69"/>
  <c r="I28" i="69"/>
  <c r="J28" i="69"/>
  <c r="H27" i="69" l="1"/>
  <c r="I27" i="69" l="1"/>
  <c r="J27" i="69"/>
  <c r="H26" i="69" l="1"/>
  <c r="I26" i="69" l="1"/>
  <c r="J26" i="69"/>
  <c r="H24" i="69"/>
  <c r="H25" i="69"/>
  <c r="I25" i="69" l="1"/>
  <c r="J25" i="69"/>
  <c r="I24" i="69"/>
  <c r="J24" i="69"/>
  <c r="H14" i="69" l="1"/>
  <c r="H16" i="69"/>
  <c r="H18" i="69"/>
  <c r="H15" i="69"/>
  <c r="H17" i="69"/>
  <c r="I15" i="69" l="1"/>
  <c r="J15" i="69"/>
  <c r="I16" i="69"/>
  <c r="J16" i="69"/>
  <c r="I17" i="69"/>
  <c r="J17" i="69"/>
  <c r="I18" i="69"/>
  <c r="J18" i="69"/>
  <c r="I14" i="69"/>
  <c r="J14" i="69"/>
  <c r="H7" i="69" l="1"/>
  <c r="H9" i="69"/>
  <c r="H11" i="69"/>
  <c r="H8" i="69"/>
  <c r="H10" i="69"/>
  <c r="H12" i="69"/>
  <c r="I12" i="69" l="1"/>
  <c r="J12" i="69"/>
  <c r="I8" i="69"/>
  <c r="J8" i="69"/>
  <c r="I9" i="69"/>
  <c r="J9" i="69"/>
  <c r="I10" i="69"/>
  <c r="J10" i="69"/>
  <c r="I11" i="69"/>
  <c r="J11" i="69"/>
  <c r="I7" i="69"/>
  <c r="J7" i="69"/>
  <c r="H13" i="69"/>
  <c r="I13" i="69" l="1"/>
  <c r="J13" i="69"/>
  <c r="I7" i="21" l="1"/>
  <c r="G7" i="21"/>
  <c r="K39" i="21"/>
  <c r="K23" i="21"/>
  <c r="K21" i="21"/>
  <c r="K19" i="21"/>
  <c r="K17" i="21"/>
  <c r="K15" i="21"/>
  <c r="C12" i="39"/>
  <c r="I30" i="68" l="1"/>
  <c r="J29" i="68"/>
  <c r="J28" i="68"/>
  <c r="J30" i="68" s="1"/>
  <c r="J26" i="68"/>
  <c r="J24" i="68"/>
  <c r="K24" i="68" s="1"/>
  <c r="L24" i="68" s="1"/>
  <c r="J23" i="68"/>
  <c r="J19" i="68"/>
  <c r="K19" i="68" s="1"/>
  <c r="L19" i="68" s="1"/>
  <c r="J20" i="68"/>
  <c r="K20" i="68" s="1"/>
  <c r="L20" i="68" s="1"/>
  <c r="J21" i="68"/>
  <c r="K21" i="68" s="1"/>
  <c r="L21" i="68" s="1"/>
  <c r="J18" i="68"/>
  <c r="J14" i="68"/>
  <c r="K14" i="68" s="1"/>
  <c r="L14" i="68" s="1"/>
  <c r="J15" i="68"/>
  <c r="K15" i="68" s="1"/>
  <c r="L15" i="68" s="1"/>
  <c r="J16" i="68"/>
  <c r="K16" i="68" s="1"/>
  <c r="L16" i="68" s="1"/>
  <c r="J13" i="68"/>
  <c r="J7" i="68"/>
  <c r="K7" i="68" s="1"/>
  <c r="L7" i="68" s="1"/>
  <c r="J8" i="68"/>
  <c r="K8" i="68" s="1"/>
  <c r="L8" i="68" s="1"/>
  <c r="J9" i="68"/>
  <c r="K9" i="68" s="1"/>
  <c r="L9" i="68" s="1"/>
  <c r="J10" i="68"/>
  <c r="K10" i="68" s="1"/>
  <c r="L10" i="68" s="1"/>
  <c r="J11" i="68"/>
  <c r="K11" i="68" s="1"/>
  <c r="L11" i="68" s="1"/>
  <c r="J6" i="68"/>
  <c r="J3" i="68"/>
  <c r="K3" i="68" s="1"/>
  <c r="J4" i="68"/>
  <c r="J2" i="68"/>
  <c r="K2" i="68" s="1"/>
  <c r="L2" i="68" s="1"/>
  <c r="K4" i="68"/>
  <c r="L4" i="68" s="1"/>
  <c r="I25" i="68"/>
  <c r="I22" i="68"/>
  <c r="I27" i="68"/>
  <c r="I17" i="68"/>
  <c r="I12" i="68"/>
  <c r="I5" i="68"/>
  <c r="A3" i="3" s="1"/>
  <c r="C40" i="39" s="1"/>
  <c r="I47" i="68"/>
  <c r="P24" i="68"/>
  <c r="P23" i="68"/>
  <c r="P16" i="68"/>
  <c r="P15" i="68"/>
  <c r="P4" i="68"/>
  <c r="P11" i="68"/>
  <c r="P14" i="68"/>
  <c r="P13" i="68"/>
  <c r="P10" i="68"/>
  <c r="P9" i="68"/>
  <c r="P8" i="68"/>
  <c r="P7" i="68"/>
  <c r="P6" i="68"/>
  <c r="P20" i="68"/>
  <c r="P19" i="68"/>
  <c r="P21" i="68"/>
  <c r="P26" i="68"/>
  <c r="P18" i="68"/>
  <c r="P3" i="68"/>
  <c r="P2" i="68"/>
  <c r="J17" i="68" l="1"/>
  <c r="J22" i="68"/>
  <c r="J25" i="68"/>
  <c r="L3" i="68"/>
  <c r="L5" i="68" s="1"/>
  <c r="K13" i="3" s="1"/>
  <c r="F20" i="6" s="1"/>
  <c r="K13" i="68"/>
  <c r="K17" i="68" s="1"/>
  <c r="K18" i="68"/>
  <c r="K22" i="68" s="1"/>
  <c r="K23" i="68"/>
  <c r="K25" i="68" s="1"/>
  <c r="K26" i="68"/>
  <c r="L26" i="68" s="1"/>
  <c r="L27" i="68" s="1"/>
  <c r="K28" i="68"/>
  <c r="K6" i="68"/>
  <c r="K12" i="68" s="1"/>
  <c r="L23" i="68"/>
  <c r="L25" i="68" s="1"/>
  <c r="J5" i="68"/>
  <c r="L28" i="68"/>
  <c r="K29" i="68"/>
  <c r="K30" i="68" s="1"/>
  <c r="J27" i="68"/>
  <c r="K5" i="68"/>
  <c r="J12" i="68"/>
  <c r="K27" i="68"/>
  <c r="I33" i="68"/>
  <c r="L18" i="68"/>
  <c r="L22" i="68" s="1"/>
  <c r="L13" i="68"/>
  <c r="L17" i="68" s="1"/>
  <c r="L6" i="68" l="1"/>
  <c r="L12" i="68" s="1"/>
  <c r="L29" i="68"/>
  <c r="L30" i="68"/>
  <c r="K33" i="68"/>
  <c r="I13" i="3"/>
  <c r="F19" i="6" s="1"/>
  <c r="J33" i="68"/>
  <c r="L33" i="68"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0" i="67"/>
  <c r="B9" i="67"/>
  <c r="E14" i="67"/>
  <c r="B13" i="67"/>
  <c r="E8" i="67"/>
  <c r="F9" i="67"/>
  <c r="E12" i="67"/>
  <c r="B10" i="67"/>
  <c r="E9" i="67"/>
  <c r="B8" i="67"/>
  <c r="F12" i="67"/>
  <c r="B11" i="67"/>
  <c r="F11" i="67"/>
  <c r="B12" i="67"/>
  <c r="F13" i="67"/>
  <c r="E13" i="67"/>
  <c r="E11" i="67"/>
  <c r="B14" i="67"/>
  <c r="F10" i="67"/>
  <c r="F8"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N4" i="65"/>
  <c r="N5" i="65"/>
  <c r="I4" i="65"/>
  <c r="N3" i="65"/>
  <c r="E20" i="46" l="1"/>
  <c r="C4" i="65"/>
  <c r="B39" i="1" s="1"/>
  <c r="J3" i="65"/>
  <c r="I6" i="65"/>
  <c r="I3" i="65"/>
  <c r="J7" i="65"/>
  <c r="I5" i="65"/>
  <c r="J5" i="65"/>
  <c r="J4" i="65"/>
  <c r="I7" i="65"/>
  <c r="J6"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O16" i="59"/>
  <c r="N16" i="59"/>
  <c r="X16" i="59" s="1"/>
  <c r="Q15" i="59"/>
  <c r="P15" i="59"/>
  <c r="AA15" i="59" s="1"/>
  <c r="O15" i="59"/>
  <c r="N15" i="59"/>
  <c r="X15" i="59" s="1"/>
  <c r="Q14" i="59"/>
  <c r="P14" i="59"/>
  <c r="AA14" i="59" s="1"/>
  <c r="O14" i="59"/>
  <c r="N14" i="59"/>
  <c r="X14" i="59" s="1"/>
  <c r="Q13" i="59"/>
  <c r="P13" i="59"/>
  <c r="O13" i="59"/>
  <c r="N13" i="59"/>
  <c r="D13" i="59"/>
  <c r="Q12" i="59"/>
  <c r="P12" i="59"/>
  <c r="O12" i="59"/>
  <c r="N12" i="59"/>
  <c r="Q11" i="59"/>
  <c r="P11" i="59"/>
  <c r="O11" i="59"/>
  <c r="Y11" i="59" s="1"/>
  <c r="Z11" i="59" s="1"/>
  <c r="N11" i="59"/>
  <c r="Q10" i="59"/>
  <c r="AB10" i="59" s="1"/>
  <c r="P10" i="59"/>
  <c r="O10" i="59"/>
  <c r="Y10" i="59" s="1"/>
  <c r="Z10" i="59" s="1"/>
  <c r="N10" i="59"/>
  <c r="Q9" i="59"/>
  <c r="P9" i="59"/>
  <c r="O9" i="59"/>
  <c r="N9" i="59"/>
  <c r="D9" i="59"/>
  <c r="AA9" i="59" l="1"/>
  <c r="X10" i="59"/>
  <c r="AA10" i="59"/>
  <c r="X11" i="59"/>
  <c r="AA11" i="59"/>
  <c r="X12" i="59"/>
  <c r="AA12" i="59"/>
  <c r="Y14" i="59"/>
  <c r="Z14" i="59" s="1"/>
  <c r="AB14" i="59"/>
  <c r="Y15" i="59"/>
  <c r="Z15" i="59" s="1"/>
  <c r="AB15" i="59"/>
  <c r="Y16" i="59"/>
  <c r="Z16" i="59" s="1"/>
  <c r="AB16" i="59"/>
  <c r="AB11" i="59"/>
  <c r="C14" i="59"/>
  <c r="C15" i="59" s="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C11" i="59" s="1"/>
  <c r="Y9" i="59"/>
  <c r="Z9" i="59" s="1"/>
  <c r="F10" i="59"/>
  <c r="F11" i="59" s="1"/>
  <c r="F12" i="59" s="1"/>
  <c r="V12" i="59" s="1"/>
  <c r="AB9" i="59"/>
  <c r="Y12" i="59"/>
  <c r="Z12" i="59" s="1"/>
  <c r="AB12" i="59"/>
  <c r="B14" i="59"/>
  <c r="B15" i="59" s="1"/>
  <c r="B16" i="59" s="1"/>
  <c r="S16" i="59" s="1"/>
  <c r="X13" i="59"/>
  <c r="E14" i="59"/>
  <c r="E15" i="59" s="1"/>
  <c r="E16" i="59" s="1"/>
  <c r="U16" i="59" s="1"/>
  <c r="AA13"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5" i="59"/>
  <c r="F16" i="59" s="1"/>
  <c r="V16" i="59" s="1"/>
  <c r="F19" i="59"/>
  <c r="F20" i="59" s="1"/>
  <c r="V20" i="59" s="1"/>
  <c r="F23" i="59"/>
  <c r="F24" i="59" s="1"/>
  <c r="V24" i="59" s="1"/>
  <c r="F27" i="59"/>
  <c r="F28" i="59" s="1"/>
  <c r="V28" i="59" s="1"/>
  <c r="F35" i="59"/>
  <c r="F36" i="59" s="1"/>
  <c r="V36" i="59" s="1"/>
  <c r="F39" i="59"/>
  <c r="F40" i="59" s="1"/>
  <c r="V40" i="59" s="1"/>
  <c r="F43" i="59"/>
  <c r="F44" i="59" s="1"/>
  <c r="V44" i="59" s="1"/>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U31" i="21" s="1"/>
  <c r="B96" i="21"/>
  <c r="B94" i="21"/>
  <c r="J29" i="21" s="1"/>
  <c r="AC29" i="21" s="1"/>
  <c r="B92" i="21"/>
  <c r="B90" i="21"/>
  <c r="J27" i="21" s="1"/>
  <c r="W27" i="21" s="1"/>
  <c r="B74" i="2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AB8" i="21" s="1"/>
  <c r="H9" i="21"/>
  <c r="AB9" i="21" s="1"/>
  <c r="H10" i="21"/>
  <c r="U10" i="21" s="1"/>
  <c r="J34" i="21"/>
  <c r="W34" i="21" s="1"/>
  <c r="H36" i="21"/>
  <c r="U36" i="21" s="1"/>
  <c r="F35" i="21"/>
  <c r="AA35" i="21" s="1"/>
  <c r="J10" i="21"/>
  <c r="AC10" i="21" s="1"/>
  <c r="H26" i="21"/>
  <c r="U26" i="21" s="1"/>
  <c r="H19" i="21"/>
  <c r="AB19" i="21" s="1"/>
  <c r="J12" i="21"/>
  <c r="W12" i="21" s="1"/>
  <c r="H12" i="21"/>
  <c r="U12" i="21" s="1"/>
  <c r="J26" i="21"/>
  <c r="W26" i="21" s="1"/>
  <c r="F26" i="21"/>
  <c r="AA26" i="21" s="1"/>
  <c r="AB41" i="21"/>
  <c r="AA41" i="21"/>
  <c r="W41" i="21"/>
  <c r="S10" i="39"/>
  <c r="U30" i="37"/>
  <c r="E103" i="37"/>
  <c r="F103" i="37" s="1"/>
  <c r="F39" i="37"/>
  <c r="S39" i="37" s="1"/>
  <c r="F29" i="36"/>
  <c r="AA29" i="36" s="1"/>
  <c r="F16" i="36"/>
  <c r="AA16" i="36" s="1"/>
  <c r="U22" i="36"/>
  <c r="W22" i="36"/>
  <c r="U26" i="36"/>
  <c r="AC31" i="36"/>
  <c r="J33" i="36"/>
  <c r="W33" i="36" s="1"/>
  <c r="AC27" i="35"/>
  <c r="U31" i="35"/>
  <c r="S31" i="35"/>
  <c r="W31" i="35"/>
  <c r="F36" i="34"/>
  <c r="S36" i="34" s="1"/>
  <c r="S34" i="34"/>
  <c r="W39" i="34"/>
  <c r="H39" i="33"/>
  <c r="AB39" i="33" s="1"/>
  <c r="F26" i="33"/>
  <c r="AA26" i="33" s="1"/>
  <c r="U33" i="33"/>
  <c r="S40" i="33"/>
  <c r="S33" i="33"/>
  <c r="W33" i="33"/>
  <c r="U38" i="33"/>
  <c r="H39" i="37"/>
  <c r="AB39" i="37" s="1"/>
  <c r="AB27" i="35"/>
  <c r="S10" i="40"/>
  <c r="W10" i="40"/>
  <c r="S11" i="40"/>
  <c r="U11" i="40"/>
  <c r="S36" i="40"/>
  <c r="U36" i="40"/>
  <c r="S40" i="39"/>
  <c r="S36" i="39"/>
  <c r="C29" i="39"/>
  <c r="C23" i="39"/>
  <c r="U36"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S46" i="21"/>
  <c r="W30" i="21"/>
  <c r="AB14" i="21"/>
  <c r="W31" i="34"/>
  <c r="S46" i="33"/>
  <c r="U36" i="37"/>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U39" i="37"/>
  <c r="AC8" i="37"/>
  <c r="AC36" i="34"/>
  <c r="AB8" i="34"/>
  <c r="AC37" i="33"/>
  <c r="AC45" i="33"/>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I59" i="40"/>
  <c r="C59" i="40" s="1"/>
  <c r="I60" i="40"/>
  <c r="C60"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BL123" i="3"/>
  <c r="AZ123" i="3"/>
  <c r="G124" i="3"/>
  <c r="BA126" i="3"/>
  <c r="BL127" i="3"/>
  <c r="G128" i="3"/>
  <c r="BA130" i="3"/>
  <c r="AZ130" i="3" s="1"/>
  <c r="BL131" i="3"/>
  <c r="G132" i="3"/>
  <c r="BA134" i="3"/>
  <c r="AZ134" i="3" s="1"/>
  <c r="BL135" i="3"/>
  <c r="AZ135" i="3" s="1"/>
  <c r="G136" i="3"/>
  <c r="BA138" i="3"/>
  <c r="AZ138" i="3" s="1"/>
  <c r="BL139" i="3"/>
  <c r="AZ139" i="3" s="1"/>
  <c r="G140" i="3"/>
  <c r="BA142" i="3"/>
  <c r="BL143" i="3"/>
  <c r="AZ143" i="3" s="1"/>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s="1"/>
  <c r="BL170" i="3"/>
  <c r="G171" i="3"/>
  <c r="BA173" i="3"/>
  <c r="AZ173" i="3" s="1"/>
  <c r="BL174" i="3"/>
  <c r="G175" i="3"/>
  <c r="BA178" i="3"/>
  <c r="BL179" i="3"/>
  <c r="G180" i="3"/>
  <c r="AZ35" i="3"/>
  <c r="AZ51" i="3"/>
  <c r="G537" i="3"/>
  <c r="BL181" i="3"/>
  <c r="AZ181" i="3" s="1"/>
  <c r="G182" i="3"/>
  <c r="BA184" i="3"/>
  <c r="AZ184" i="3" s="1"/>
  <c r="BL185" i="3"/>
  <c r="G186" i="3"/>
  <c r="BA188" i="3"/>
  <c r="BL189" i="3"/>
  <c r="AZ189" i="3" s="1"/>
  <c r="G190" i="3"/>
  <c r="BA192" i="3"/>
  <c r="BL193" i="3"/>
  <c r="AZ193" i="3" s="1"/>
  <c r="G194" i="3"/>
  <c r="BA196" i="3"/>
  <c r="BL197" i="3"/>
  <c r="AZ197" i="3" s="1"/>
  <c r="G198" i="3"/>
  <c r="BA200" i="3"/>
  <c r="BL201" i="3"/>
  <c r="AZ201" i="3" s="1"/>
  <c r="AZ70" i="3"/>
  <c r="AZ185" i="3"/>
  <c r="AZ94" i="3"/>
  <c r="AZ110" i="3"/>
  <c r="G491" i="3"/>
  <c r="BA298" i="3"/>
  <c r="BA299" i="3"/>
  <c r="AZ299" i="3" s="1"/>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BA358" i="3"/>
  <c r="AZ358" i="3" s="1"/>
  <c r="BA359" i="3"/>
  <c r="BL359" i="3"/>
  <c r="G360" i="3"/>
  <c r="G361" i="3"/>
  <c r="BL362" i="3"/>
  <c r="BA364" i="3"/>
  <c r="AZ364" i="3" s="1"/>
  <c r="BA365" i="3"/>
  <c r="AZ365" i="3" s="1"/>
  <c r="BL365" i="3"/>
  <c r="G366" i="3"/>
  <c r="G369" i="3"/>
  <c r="BL370" i="3"/>
  <c r="BA372" i="3"/>
  <c r="AZ372" i="3" s="1"/>
  <c r="BA373" i="3"/>
  <c r="BL373" i="3"/>
  <c r="G374" i="3"/>
  <c r="G377" i="3"/>
  <c r="BL378" i="3"/>
  <c r="BA380" i="3"/>
  <c r="BA381" i="3"/>
  <c r="AZ381" i="3" s="1"/>
  <c r="BL381" i="3"/>
  <c r="G382" i="3"/>
  <c r="G385" i="3"/>
  <c r="AZ154" i="3"/>
  <c r="AZ170" i="3"/>
  <c r="AZ183" i="3"/>
  <c r="AZ187" i="3"/>
  <c r="G523" i="3"/>
  <c r="BL297" i="3"/>
  <c r="G298" i="3"/>
  <c r="BA300" i="3"/>
  <c r="BL301" i="3"/>
  <c r="G302" i="3"/>
  <c r="BA304" i="3"/>
  <c r="BL305" i="3"/>
  <c r="G306" i="3"/>
  <c r="BA308" i="3"/>
  <c r="AZ308" i="3" s="1"/>
  <c r="BL309" i="3"/>
  <c r="G310" i="3"/>
  <c r="BA310" i="3"/>
  <c r="AZ310" i="3" s="1"/>
  <c r="BL311" i="3"/>
  <c r="AZ311" i="3" s="1"/>
  <c r="G312" i="3"/>
  <c r="BA312" i="3"/>
  <c r="BL313" i="3"/>
  <c r="G314" i="3"/>
  <c r="BA314" i="3"/>
  <c r="AZ314" i="3" s="1"/>
  <c r="BL315" i="3"/>
  <c r="G316" i="3"/>
  <c r="BA316" i="3"/>
  <c r="BL317" i="3"/>
  <c r="G318" i="3"/>
  <c r="BA320" i="3"/>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BL349" i="3"/>
  <c r="AZ349" i="3" s="1"/>
  <c r="G350" i="3"/>
  <c r="BA352" i="3"/>
  <c r="AZ352" i="3" s="1"/>
  <c r="BL353" i="3"/>
  <c r="G354" i="3"/>
  <c r="BA356" i="3"/>
  <c r="AZ356" i="3" s="1"/>
  <c r="BL357" i="3"/>
  <c r="G358" i="3"/>
  <c r="BA362" i="3"/>
  <c r="BL363" i="3"/>
  <c r="G364" i="3"/>
  <c r="BA366" i="3"/>
  <c r="BL367" i="3"/>
  <c r="AZ205" i="3"/>
  <c r="AZ209" i="3"/>
  <c r="AZ225" i="3"/>
  <c r="AZ309" i="3"/>
  <c r="AZ333" i="3"/>
  <c r="AZ363" i="3"/>
  <c r="G368" i="3"/>
  <c r="BA370" i="3"/>
  <c r="AZ370" i="3" s="1"/>
  <c r="BL371" i="3"/>
  <c r="AZ371" i="3" s="1"/>
  <c r="G372" i="3"/>
  <c r="BA374" i="3"/>
  <c r="AZ374" i="3"/>
  <c r="BL375" i="3"/>
  <c r="G376" i="3"/>
  <c r="BA378" i="3"/>
  <c r="AZ378" i="3"/>
  <c r="BL379" i="3"/>
  <c r="AZ379" i="3"/>
  <c r="G380" i="3"/>
  <c r="BA382" i="3"/>
  <c r="AZ382" i="3" s="1"/>
  <c r="BL383" i="3"/>
  <c r="G384" i="3"/>
  <c r="AZ261" i="3"/>
  <c r="AZ265" i="3"/>
  <c r="AZ375" i="3"/>
  <c r="AZ282" i="3"/>
  <c r="AZ286" i="3"/>
  <c r="AZ313" i="3"/>
  <c r="AZ331" i="3"/>
  <c r="AZ351" i="3"/>
  <c r="AZ418" i="3"/>
  <c r="AZ446"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1" i="37"/>
  <c r="AB11" i="37" s="1"/>
  <c r="AA30" i="33"/>
  <c r="AA36" i="37"/>
  <c r="S42" i="33"/>
  <c r="U32" i="33"/>
  <c r="AB17" i="37"/>
  <c r="AZ488" i="3"/>
  <c r="AZ508" i="3"/>
  <c r="AC29" i="33"/>
  <c r="AA45" i="33"/>
  <c r="AC10" i="36"/>
  <c r="AC14" i="37"/>
  <c r="S25" i="35"/>
  <c r="AC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43" i="39"/>
  <c r="S43" i="39" s="1"/>
  <c r="H43" i="39"/>
  <c r="U43" i="39" s="1"/>
  <c r="J43" i="39"/>
  <c r="W43" i="39" s="1"/>
  <c r="AC27" i="37"/>
  <c r="U25" i="35"/>
  <c r="S45" i="34"/>
  <c r="U31" i="34"/>
  <c r="AC40" i="37"/>
  <c r="W40" i="37"/>
  <c r="W27" i="33"/>
  <c r="S28" i="33"/>
  <c r="S14" i="21"/>
  <c r="AA44" i="34"/>
  <c r="AB29" i="35"/>
  <c r="U29" i="35"/>
  <c r="AC19" i="33"/>
  <c r="W19" i="33"/>
  <c r="U43" i="34"/>
  <c r="AB43" i="34"/>
  <c r="AC34" i="37"/>
  <c r="S35" i="37"/>
  <c r="AA35" i="37"/>
  <c r="AB10" i="35"/>
  <c r="U38" i="21"/>
  <c r="AB34" i="21"/>
  <c r="BL571" i="3"/>
  <c r="BA571" i="3"/>
  <c r="AZ571" i="3" s="1"/>
  <c r="BL570"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21" i="39"/>
  <c r="S21" i="39" s="1"/>
  <c r="H21" i="39"/>
  <c r="U21" i="39" s="1"/>
  <c r="J21" i="39"/>
  <c r="W21" i="39" s="1"/>
  <c r="F33" i="39"/>
  <c r="S33" i="39" s="1"/>
  <c r="J33" i="39"/>
  <c r="W33" i="39" s="1"/>
  <c r="E128" i="39"/>
  <c r="F44" i="39" s="1"/>
  <c r="S44"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BL522" i="3"/>
  <c r="AZ522" i="3" s="1"/>
  <c r="BA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AZ507" i="3" s="1"/>
  <c r="BA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AZ494" i="3" s="1"/>
  <c r="BA494" i="3"/>
  <c r="G494" i="3"/>
  <c r="BA491" i="3"/>
  <c r="AZ491" i="3" s="1"/>
  <c r="BL490" i="3"/>
  <c r="BA490" i="3"/>
  <c r="AZ490" i="3" s="1"/>
  <c r="BL489" i="3"/>
  <c r="BA489" i="3"/>
  <c r="BL487" i="3"/>
  <c r="AZ487" i="3" s="1"/>
  <c r="BL486" i="3"/>
  <c r="AZ486" i="3" s="1"/>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S35" i="21"/>
  <c r="U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J15" i="39"/>
  <c r="AC15" i="39" s="1"/>
  <c r="H25" i="39"/>
  <c r="U25" i="39" s="1"/>
  <c r="J25" i="39"/>
  <c r="AC25" i="39" s="1"/>
  <c r="F25" i="39"/>
  <c r="AA25" i="39" s="1"/>
  <c r="F45" i="39"/>
  <c r="AA45" i="39" s="1"/>
  <c r="H45" i="39"/>
  <c r="U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27" i="43" s="1"/>
  <c r="J42" i="40"/>
  <c r="AC42" i="40" s="1"/>
  <c r="J40" i="40"/>
  <c r="AC40" i="40" s="1"/>
  <c r="J34" i="40"/>
  <c r="AC34" i="40" s="1"/>
  <c r="H16" i="40"/>
  <c r="AB16" i="40" s="1"/>
  <c r="H14" i="40"/>
  <c r="U14" i="40" s="1"/>
  <c r="F32" i="40"/>
  <c r="AA32" i="40" s="1"/>
  <c r="AZ444" i="3"/>
  <c r="AZ449" i="3"/>
  <c r="M1" i="46"/>
  <c r="M6" i="46"/>
  <c r="M10" i="46"/>
  <c r="N2" i="46"/>
  <c r="N5" i="46"/>
  <c r="F58" i="46" s="1"/>
  <c r="F47" i="46"/>
  <c r="H49" i="46" s="1"/>
  <c r="N7" i="46"/>
  <c r="AZ466" i="3"/>
  <c r="AZ469" i="3"/>
  <c r="AZ388" i="3"/>
  <c r="AZ207" i="3"/>
  <c r="AZ260" i="3"/>
  <c r="AZ263" i="3"/>
  <c r="AZ281" i="3"/>
  <c r="AZ284" i="3"/>
  <c r="AZ137" i="3"/>
  <c r="M7" i="46"/>
  <c r="M11" i="46"/>
  <c r="N3" i="46"/>
  <c r="N6" i="46"/>
  <c r="N10" i="46"/>
  <c r="AZ167" i="3"/>
  <c r="AZ180" i="3"/>
  <c r="AZ63" i="3"/>
  <c r="AZ91" i="3"/>
  <c r="AZ107" i="3"/>
  <c r="AZ112" i="3"/>
  <c r="J13" i="40"/>
  <c r="W13" i="40" s="1"/>
  <c r="W40" i="40"/>
  <c r="F34" i="44"/>
  <c r="F66" i="9"/>
  <c r="P72" i="9" s="1"/>
  <c r="F72" i="9"/>
  <c r="S33" i="40"/>
  <c r="AB37" i="34"/>
  <c r="W41" i="40"/>
  <c r="J23" i="40"/>
  <c r="AC23" i="40" s="1"/>
  <c r="F23" i="40"/>
  <c r="S23" i="40" s="1"/>
  <c r="AC15" i="40"/>
  <c r="U23" i="35"/>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AB21" i="39"/>
  <c r="AB33" i="36"/>
  <c r="AA11" i="36"/>
  <c r="AA14" i="35"/>
  <c r="S14" i="35"/>
  <c r="U46" i="34"/>
  <c r="AC30" i="34"/>
  <c r="AA14" i="34"/>
  <c r="W12" i="34"/>
  <c r="U29" i="33"/>
  <c r="AC13" i="33"/>
  <c r="U17" i="34"/>
  <c r="W32" i="33"/>
  <c r="H15" i="33"/>
  <c r="U15" i="33" s="1"/>
  <c r="AA11" i="33"/>
  <c r="AA40" i="21"/>
  <c r="U16" i="40"/>
  <c r="AB34" i="40"/>
  <c r="U42" i="40"/>
  <c r="H25" i="40"/>
  <c r="AB25" i="40" s="1"/>
  <c r="J37" i="34"/>
  <c r="AC37" i="34" s="1"/>
  <c r="J36" i="33"/>
  <c r="W36" i="33" s="1"/>
  <c r="S41" i="40"/>
  <c r="J23" i="39"/>
  <c r="AC23" i="39" s="1"/>
  <c r="S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H11" i="33"/>
  <c r="U11" i="33" s="1"/>
  <c r="H10" i="33"/>
  <c r="U10" i="33" s="1"/>
  <c r="I66" i="33"/>
  <c r="J10" i="33"/>
  <c r="AC10" i="33" s="1"/>
  <c r="U11" i="37"/>
  <c r="AC16" i="35"/>
  <c r="AC13" i="40"/>
  <c r="J11" i="34"/>
  <c r="W11" i="34" s="1"/>
  <c r="AC36" i="33"/>
  <c r="F25" i="40"/>
  <c r="AA25" i="40" s="1"/>
  <c r="J11" i="33"/>
  <c r="W11" i="33" s="1"/>
  <c r="H33" i="37"/>
  <c r="AB33" i="37" s="1"/>
  <c r="W15" i="34"/>
  <c r="U20" i="35"/>
  <c r="W23" i="40"/>
  <c r="D73" i="9"/>
  <c r="N73" i="9" s="1"/>
  <c r="AP11" i="1"/>
  <c r="B11" i="1"/>
  <c r="E11" i="1" s="1"/>
  <c r="K11" i="1"/>
  <c r="M11" i="1" s="1"/>
  <c r="B9" i="1"/>
  <c r="E9" i="1" s="1"/>
  <c r="K9" i="1"/>
  <c r="M9" i="1" s="1"/>
  <c r="B7" i="1"/>
  <c r="E7" i="1" s="1"/>
  <c r="K7" i="1"/>
  <c r="M7" i="1" s="1"/>
  <c r="O7" i="1" s="1"/>
  <c r="P7" i="1" s="1"/>
  <c r="C20" i="43"/>
  <c r="E2" i="65"/>
  <c r="F15" i="39" l="1"/>
  <c r="AA15" i="39" s="1"/>
  <c r="AC23" i="35"/>
  <c r="W23" i="35"/>
  <c r="AZ572" i="3"/>
  <c r="W45" i="21"/>
  <c r="AC45" i="21"/>
  <c r="AC24" i="35"/>
  <c r="W24" i="35"/>
  <c r="K143" i="21"/>
  <c r="K141" i="21"/>
  <c r="K144" i="21"/>
  <c r="AZ526" i="3"/>
  <c r="AC15" i="33"/>
  <c r="AB13" i="33"/>
  <c r="AC14" i="34"/>
  <c r="U32" i="34"/>
  <c r="AA33" i="39"/>
  <c r="AA37" i="39"/>
  <c r="S16" i="39"/>
  <c r="AB23" i="40"/>
  <c r="AC16" i="40"/>
  <c r="W34" i="40"/>
  <c r="AA11" i="34"/>
  <c r="U39" i="39"/>
  <c r="H47" i="46"/>
  <c r="AZ534" i="3"/>
  <c r="AZ539" i="3"/>
  <c r="AZ564" i="3"/>
  <c r="W44" i="33"/>
  <c r="AB35" i="35"/>
  <c r="AB45" i="34"/>
  <c r="AC11" i="36"/>
  <c r="W37" i="37"/>
  <c r="AA36" i="35"/>
  <c r="AZ362" i="3"/>
  <c r="AZ304" i="3"/>
  <c r="AZ373" i="3"/>
  <c r="AZ359" i="3"/>
  <c r="AZ298" i="3"/>
  <c r="AZ343" i="3"/>
  <c r="AA13" i="33"/>
  <c r="S27" i="37"/>
  <c r="AC33" i="36"/>
  <c r="AB43" i="33"/>
  <c r="AC28" i="34"/>
  <c r="AZ484" i="3"/>
  <c r="AZ502" i="3"/>
  <c r="AZ550" i="3"/>
  <c r="AZ551" i="3"/>
  <c r="AZ557" i="3"/>
  <c r="AZ569" i="3"/>
  <c r="S45" i="21"/>
  <c r="AC14" i="21"/>
  <c r="S28" i="21"/>
  <c r="U46" i="21"/>
  <c r="W46" i="33"/>
  <c r="H45" i="21"/>
  <c r="U45" i="21" s="1"/>
  <c r="F29" i="21"/>
  <c r="S29" i="21" s="1"/>
  <c r="F13" i="21"/>
  <c r="AA13" i="21" s="1"/>
  <c r="W40" i="33"/>
  <c r="S38" i="33"/>
  <c r="W38" i="33"/>
  <c r="W9" i="34"/>
  <c r="U34" i="35"/>
  <c r="F34" i="35"/>
  <c r="J9" i="36"/>
  <c r="AC9" i="36" s="1"/>
  <c r="J23" i="36"/>
  <c r="J25" i="37"/>
  <c r="G568" i="3"/>
  <c r="G567" i="3"/>
  <c r="G563" i="3"/>
  <c r="G541" i="3"/>
  <c r="G540" i="3"/>
  <c r="G532" i="3"/>
  <c r="G531" i="3"/>
  <c r="G519" i="3"/>
  <c r="G516" i="3"/>
  <c r="G505" i="3"/>
  <c r="G504" i="3"/>
  <c r="G489" i="3"/>
  <c r="G487" i="3"/>
  <c r="AZ366" i="3"/>
  <c r="AZ315" i="3"/>
  <c r="BA389" i="3"/>
  <c r="AZ389" i="3" s="1"/>
  <c r="BA390" i="3"/>
  <c r="AZ390" i="3" s="1"/>
  <c r="BA391" i="3"/>
  <c r="AZ391" i="3" s="1"/>
  <c r="BL393" i="3"/>
  <c r="G394" i="3"/>
  <c r="BA395" i="3"/>
  <c r="BL395" i="3"/>
  <c r="G396" i="3"/>
  <c r="BL398" i="3"/>
  <c r="G399" i="3"/>
  <c r="BA400" i="3"/>
  <c r="BL400" i="3"/>
  <c r="BL402" i="3"/>
  <c r="G403" i="3"/>
  <c r="BA404" i="3"/>
  <c r="AZ404" i="3" s="1"/>
  <c r="BL404" i="3"/>
  <c r="BA405" i="3"/>
  <c r="AZ405" i="3" s="1"/>
  <c r="BA407" i="3"/>
  <c r="BL407" i="3"/>
  <c r="BA408" i="3"/>
  <c r="AZ408" i="3" s="1"/>
  <c r="BA410" i="3"/>
  <c r="AZ410" i="3" s="1"/>
  <c r="BL410" i="3"/>
  <c r="BA411" i="3"/>
  <c r="AZ411" i="3" s="1"/>
  <c r="BL413" i="3"/>
  <c r="G414" i="3"/>
  <c r="BL415" i="3"/>
  <c r="G416" i="3"/>
  <c r="G420" i="3"/>
  <c r="BA421" i="3"/>
  <c r="AZ421" i="3" s="1"/>
  <c r="BL421" i="3"/>
  <c r="BA423" i="3"/>
  <c r="AZ423" i="3" s="1"/>
  <c r="BL423" i="3"/>
  <c r="BA424" i="3"/>
  <c r="AZ424" i="3" s="1"/>
  <c r="BA426" i="3"/>
  <c r="BL426" i="3"/>
  <c r="BA427" i="3"/>
  <c r="AZ427" i="3" s="1"/>
  <c r="BA428" i="3"/>
  <c r="AZ428" i="3" s="1"/>
  <c r="BA430" i="3"/>
  <c r="BL430" i="3"/>
  <c r="BL432" i="3"/>
  <c r="G446" i="3"/>
  <c r="G449" i="3"/>
  <c r="G433" i="3"/>
  <c r="BL434" i="3"/>
  <c r="G435" i="3"/>
  <c r="G437" i="3"/>
  <c r="BL438" i="3"/>
  <c r="G439" i="3"/>
  <c r="BA440" i="3"/>
  <c r="AZ440" i="3" s="1"/>
  <c r="BL440" i="3"/>
  <c r="BA442" i="3"/>
  <c r="AZ442" i="3" s="1"/>
  <c r="BL442" i="3"/>
  <c r="G452" i="3"/>
  <c r="BA453" i="3"/>
  <c r="BL453" i="3"/>
  <c r="BA455" i="3"/>
  <c r="BL455" i="3"/>
  <c r="BL457" i="3"/>
  <c r="G458" i="3"/>
  <c r="BL459" i="3"/>
  <c r="G460" i="3"/>
  <c r="G462" i="3"/>
  <c r="BL463" i="3"/>
  <c r="G464" i="3"/>
  <c r="G469" i="3"/>
  <c r="G473" i="3"/>
  <c r="BL474" i="3"/>
  <c r="G475" i="3"/>
  <c r="BA476" i="3"/>
  <c r="AZ476" i="3" s="1"/>
  <c r="BL476" i="3"/>
  <c r="BL478" i="3"/>
  <c r="G479" i="3"/>
  <c r="BA480" i="3"/>
  <c r="AZ480" i="3" s="1"/>
  <c r="BL480" i="3"/>
  <c r="G301" i="3"/>
  <c r="BL302" i="3"/>
  <c r="AZ302" i="3" s="1"/>
  <c r="BL312" i="3"/>
  <c r="AZ312" i="3" s="1"/>
  <c r="BA315" i="3"/>
  <c r="BA317" i="3"/>
  <c r="AZ317" i="3" s="1"/>
  <c r="BA319" i="3"/>
  <c r="BL319" i="3"/>
  <c r="G325" i="3"/>
  <c r="BL326" i="3"/>
  <c r="AZ326" i="3" s="1"/>
  <c r="G336" i="3"/>
  <c r="BA337" i="3"/>
  <c r="AZ337" i="3" s="1"/>
  <c r="BA341" i="3"/>
  <c r="AZ341" i="3" s="1"/>
  <c r="G349" i="3"/>
  <c r="BL350" i="3"/>
  <c r="BA357" i="3"/>
  <c r="AZ357" i="3" s="1"/>
  <c r="BL366" i="3"/>
  <c r="G367" i="3"/>
  <c r="BA369" i="3"/>
  <c r="AZ369" i="3" s="1"/>
  <c r="G375" i="3"/>
  <c r="BL380" i="3"/>
  <c r="AZ380" i="3" s="1"/>
  <c r="G381" i="3"/>
  <c r="BA383" i="3"/>
  <c r="AZ383" i="3" s="1"/>
  <c r="BL385" i="3"/>
  <c r="G386" i="3"/>
  <c r="G207" i="3"/>
  <c r="G211" i="3"/>
  <c r="BL212" i="3"/>
  <c r="G213" i="3"/>
  <c r="BA214" i="3"/>
  <c r="AZ214" i="3" s="1"/>
  <c r="BL214" i="3"/>
  <c r="BL216" i="3"/>
  <c r="G217" i="3"/>
  <c r="BA218" i="3"/>
  <c r="AZ218" i="3" s="1"/>
  <c r="BL218" i="3"/>
  <c r="BA219" i="3"/>
  <c r="AZ219" i="3" s="1"/>
  <c r="BA220" i="3"/>
  <c r="AZ220" i="3" s="1"/>
  <c r="BA221" i="3"/>
  <c r="AZ221" i="3" s="1"/>
  <c r="BA223" i="3"/>
  <c r="BL223" i="3"/>
  <c r="BA224" i="3"/>
  <c r="BL224" i="3"/>
  <c r="G225" i="3"/>
  <c r="BL227" i="3"/>
  <c r="G228" i="3"/>
  <c r="BL229" i="3"/>
  <c r="G230" i="3"/>
  <c r="G232" i="3"/>
  <c r="BL233" i="3"/>
  <c r="G234" i="3"/>
  <c r="BL236" i="3"/>
  <c r="G237" i="3"/>
  <c r="BA238" i="3"/>
  <c r="BL238" i="3"/>
  <c r="BL240" i="3"/>
  <c r="G241" i="3"/>
  <c r="BA242" i="3"/>
  <c r="BL242" i="3"/>
  <c r="BA243" i="3"/>
  <c r="AZ243" i="3" s="1"/>
  <c r="BA244" i="3"/>
  <c r="AZ244" i="3" s="1"/>
  <c r="BA245" i="3"/>
  <c r="AZ245" i="3" s="1"/>
  <c r="BA247" i="3"/>
  <c r="AZ247" i="3" s="1"/>
  <c r="BL247" i="3"/>
  <c r="BA248" i="3"/>
  <c r="AZ248" i="3" s="1"/>
  <c r="BA249" i="3"/>
  <c r="AZ249" i="3" s="1"/>
  <c r="BL251" i="3"/>
  <c r="G252" i="3"/>
  <c r="BL253" i="3"/>
  <c r="G254" i="3"/>
  <c r="G256" i="3"/>
  <c r="BL257" i="3"/>
  <c r="G258" i="3"/>
  <c r="G263" i="3"/>
  <c r="G267" i="3"/>
  <c r="BL268" i="3"/>
  <c r="G269" i="3"/>
  <c r="G271" i="3"/>
  <c r="BA272" i="3"/>
  <c r="BL272" i="3"/>
  <c r="G273" i="3"/>
  <c r="BL274" i="3"/>
  <c r="G275" i="3"/>
  <c r="G277" i="3"/>
  <c r="BL278" i="3"/>
  <c r="G279" i="3"/>
  <c r="G284" i="3"/>
  <c r="G288" i="3"/>
  <c r="BL289" i="3"/>
  <c r="G290" i="3"/>
  <c r="BA291" i="3"/>
  <c r="BL291" i="3"/>
  <c r="BL293" i="3"/>
  <c r="G294" i="3"/>
  <c r="G296" i="3"/>
  <c r="BA113" i="3"/>
  <c r="BL113" i="3"/>
  <c r="BA115" i="3"/>
  <c r="AZ115" i="3" s="1"/>
  <c r="BA120" i="3"/>
  <c r="AZ120" i="3" s="1"/>
  <c r="BA121" i="3"/>
  <c r="AZ121" i="3" s="1"/>
  <c r="BL122" i="3"/>
  <c r="AZ122" i="3" s="1"/>
  <c r="BL125" i="3"/>
  <c r="G126" i="3"/>
  <c r="BA127" i="3"/>
  <c r="AZ127" i="3" s="1"/>
  <c r="BA129" i="3"/>
  <c r="BL129" i="3"/>
  <c r="BA131" i="3"/>
  <c r="AZ131" i="3" s="1"/>
  <c r="G141" i="3"/>
  <c r="G143" i="3"/>
  <c r="BL144" i="3"/>
  <c r="G145" i="3"/>
  <c r="BA148" i="3"/>
  <c r="BL148" i="3"/>
  <c r="BA149" i="3"/>
  <c r="AZ149" i="3" s="1"/>
  <c r="BL150" i="3"/>
  <c r="AZ150" i="3" s="1"/>
  <c r="BA152" i="3"/>
  <c r="AZ152" i="3" s="1"/>
  <c r="BL153" i="3"/>
  <c r="AZ153" i="3" s="1"/>
  <c r="BA155" i="3"/>
  <c r="AZ155" i="3" s="1"/>
  <c r="BL157" i="3"/>
  <c r="AZ157" i="3" s="1"/>
  <c r="G158" i="3"/>
  <c r="BL160" i="3"/>
  <c r="G161" i="3"/>
  <c r="BA162" i="3"/>
  <c r="AZ162" i="3" s="1"/>
  <c r="BL164" i="3"/>
  <c r="G165" i="3"/>
  <c r="BA166" i="3"/>
  <c r="AZ166" i="3" s="1"/>
  <c r="G173" i="3"/>
  <c r="G176" i="3"/>
  <c r="BL177" i="3"/>
  <c r="G178" i="3"/>
  <c r="BA179" i="3"/>
  <c r="AZ179" i="3" s="1"/>
  <c r="G189" i="3"/>
  <c r="BL190" i="3"/>
  <c r="G191" i="3"/>
  <c r="G193" i="3"/>
  <c r="BL194" i="3"/>
  <c r="G195" i="3"/>
  <c r="G197" i="3"/>
  <c r="BL198" i="3"/>
  <c r="G199" i="3"/>
  <c r="G201" i="3"/>
  <c r="BA202" i="3"/>
  <c r="BL202" i="3"/>
  <c r="G21" i="3"/>
  <c r="BA22" i="3"/>
  <c r="BL22" i="3"/>
  <c r="BA24" i="3"/>
  <c r="AZ24" i="3" s="1"/>
  <c r="BL24" i="3"/>
  <c r="BA25" i="3"/>
  <c r="AZ25" i="3" s="1"/>
  <c r="BA27" i="3"/>
  <c r="BL27" i="3"/>
  <c r="BA28" i="3"/>
  <c r="AZ28" i="3" s="1"/>
  <c r="BL30" i="3"/>
  <c r="G31" i="3"/>
  <c r="BL32" i="3"/>
  <c r="G33" i="3"/>
  <c r="G37" i="3"/>
  <c r="BA38" i="3"/>
  <c r="BL38" i="3"/>
  <c r="BA40" i="3"/>
  <c r="BL40" i="3"/>
  <c r="BA41" i="3"/>
  <c r="AZ41" i="3" s="1"/>
  <c r="BA43" i="3"/>
  <c r="AZ43" i="3" s="1"/>
  <c r="BL43" i="3"/>
  <c r="BA44" i="3"/>
  <c r="AZ44" i="3" s="1"/>
  <c r="BL46" i="3"/>
  <c r="G47" i="3"/>
  <c r="BL48" i="3"/>
  <c r="G49" i="3"/>
  <c r="G53" i="3"/>
  <c r="BA54" i="3"/>
  <c r="AZ54" i="3" s="1"/>
  <c r="BL54" i="3"/>
  <c r="BA56" i="3"/>
  <c r="G57" i="3"/>
  <c r="BA58" i="3"/>
  <c r="BL58" i="3"/>
  <c r="BL60" i="3"/>
  <c r="G61" i="3"/>
  <c r="G65" i="3"/>
  <c r="BL66" i="3"/>
  <c r="G67" i="3"/>
  <c r="G70" i="3"/>
  <c r="G72" i="3"/>
  <c r="BA73" i="3"/>
  <c r="BL73" i="3"/>
  <c r="BA75" i="3"/>
  <c r="AZ75" i="3" s="1"/>
  <c r="BA77" i="3"/>
  <c r="AZ77" i="3" s="1"/>
  <c r="BA78" i="3"/>
  <c r="AZ78" i="3" s="1"/>
  <c r="BA79" i="3"/>
  <c r="AZ79" i="3" s="1"/>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AA31" i="33"/>
  <c r="S31" i="33"/>
  <c r="W24" i="36"/>
  <c r="AC24" i="36"/>
  <c r="U14" i="37"/>
  <c r="AB14" i="37"/>
  <c r="AC39" i="37"/>
  <c r="W39" i="37"/>
  <c r="J17" i="40"/>
  <c r="F86" i="40"/>
  <c r="G86" i="40" s="1"/>
  <c r="AC12" i="36"/>
  <c r="W12" i="36"/>
  <c r="AB34" i="36"/>
  <c r="U34" i="36"/>
  <c r="S17" i="34"/>
  <c r="U41" i="40"/>
  <c r="AC14" i="40"/>
  <c r="AZ482" i="3"/>
  <c r="AZ489" i="3"/>
  <c r="AZ513" i="3"/>
  <c r="AZ523" i="3"/>
  <c r="AZ567" i="3"/>
  <c r="AZ336" i="3"/>
  <c r="AZ328" i="3"/>
  <c r="AZ320" i="3"/>
  <c r="AZ355" i="3"/>
  <c r="AZ307" i="3"/>
  <c r="AZ377" i="3"/>
  <c r="AA23" i="37"/>
  <c r="S39" i="33"/>
  <c r="AZ492" i="3"/>
  <c r="AZ520" i="3"/>
  <c r="AZ544" i="3"/>
  <c r="AZ493" i="3"/>
  <c r="AA27" i="33"/>
  <c r="AB31" i="21"/>
  <c r="AB40" i="37"/>
  <c r="W35" i="35"/>
  <c r="AA39" i="37"/>
  <c r="G571" i="3"/>
  <c r="BF5" i="3"/>
  <c r="J35" i="21"/>
  <c r="W35" i="21" s="1"/>
  <c r="H9" i="33"/>
  <c r="F12" i="33"/>
  <c r="F12" i="35"/>
  <c r="H12" i="36"/>
  <c r="U12" i="36" s="1"/>
  <c r="H24" i="36"/>
  <c r="F25" i="37"/>
  <c r="G569" i="3"/>
  <c r="G564" i="3"/>
  <c r="G555" i="3"/>
  <c r="G543" i="3"/>
  <c r="G535" i="3"/>
  <c r="G528" i="3"/>
  <c r="G520" i="3"/>
  <c r="G511" i="3"/>
  <c r="G500" i="3"/>
  <c r="G490" i="3"/>
  <c r="G482" i="3"/>
  <c r="K145" i="21"/>
  <c r="G390" i="3"/>
  <c r="G391" i="3"/>
  <c r="G392" i="3"/>
  <c r="BL392" i="3"/>
  <c r="BA393" i="3"/>
  <c r="AZ393" i="3" s="1"/>
  <c r="BA394" i="3"/>
  <c r="AZ394" i="3" s="1"/>
  <c r="BA397" i="3"/>
  <c r="AZ397" i="3" s="1"/>
  <c r="BA398" i="3"/>
  <c r="AZ398" i="3" s="1"/>
  <c r="BA399" i="3"/>
  <c r="AZ399" i="3" s="1"/>
  <c r="BL401" i="3"/>
  <c r="AZ401" i="3" s="1"/>
  <c r="BA402" i="3"/>
  <c r="AZ402" i="3" s="1"/>
  <c r="BA403" i="3"/>
  <c r="AZ403" i="3" s="1"/>
  <c r="G406" i="3"/>
  <c r="BL406" i="3"/>
  <c r="AZ406" i="3" s="1"/>
  <c r="G409" i="3"/>
  <c r="AZ165" i="3"/>
  <c r="AZ562" i="3"/>
  <c r="BA570" i="3"/>
  <c r="AZ570" i="3" s="1"/>
  <c r="BG5" i="3"/>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AZ224" i="3"/>
  <c r="BA235" i="3"/>
  <c r="AZ235" i="3" s="1"/>
  <c r="BL409" i="3"/>
  <c r="G412" i="3"/>
  <c r="BL412" i="3"/>
  <c r="AZ412" i="3" s="1"/>
  <c r="BA413" i="3"/>
  <c r="AZ413" i="3" s="1"/>
  <c r="BA414" i="3"/>
  <c r="AZ414" i="3" s="1"/>
  <c r="BA415" i="3"/>
  <c r="AZ415" i="3" s="1"/>
  <c r="G418" i="3"/>
  <c r="G419" i="3"/>
  <c r="BL419" i="3"/>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AZ368" i="3"/>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BL222" i="3"/>
  <c r="BL226" i="3"/>
  <c r="BA227" i="3"/>
  <c r="AZ227" i="3" s="1"/>
  <c r="BA228" i="3"/>
  <c r="AZ228" i="3" s="1"/>
  <c r="BA229" i="3"/>
  <c r="AZ229" i="3" s="1"/>
  <c r="BL231" i="3"/>
  <c r="AZ231" i="3" s="1"/>
  <c r="BA232" i="3"/>
  <c r="AZ232" i="3" s="1"/>
  <c r="BA233" i="3"/>
  <c r="AZ233"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G169" i="3"/>
  <c r="G172" i="3"/>
  <c r="BL172" i="3"/>
  <c r="AZ172" i="3" s="1"/>
  <c r="BA174" i="3"/>
  <c r="AZ174" i="3" s="1"/>
  <c r="BL175" i="3"/>
  <c r="BA176" i="3"/>
  <c r="AZ176" i="3" s="1"/>
  <c r="BA177" i="3"/>
  <c r="AZ177" i="3" s="1"/>
  <c r="BL178" i="3"/>
  <c r="AZ178" i="3" s="1"/>
  <c r="G183" i="3"/>
  <c r="G184" i="3"/>
  <c r="G187" i="3"/>
  <c r="AZ246" i="3"/>
  <c r="AZ250" i="3"/>
  <c r="AZ266" i="3"/>
  <c r="AZ287" i="3"/>
  <c r="AZ175"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BL56" i="3"/>
  <c r="AZ56"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AZ83" i="3" s="1"/>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AZ87" i="3"/>
  <c r="AZ93" i="3"/>
  <c r="AZ96" i="3"/>
  <c r="AZ103" i="3"/>
  <c r="AZ109" i="3"/>
  <c r="E26" i="57"/>
  <c r="I10" i="57"/>
  <c r="W32" i="40"/>
  <c r="W35" i="40"/>
  <c r="AB14" i="40"/>
  <c r="F128" i="39"/>
  <c r="G128" i="39" s="1"/>
  <c r="H128" i="39" s="1"/>
  <c r="I128" i="39" s="1"/>
  <c r="J128" i="39" s="1"/>
  <c r="K128" i="39" s="1"/>
  <c r="L128" i="39" s="1"/>
  <c r="M128" i="39" s="1"/>
  <c r="J44" i="39"/>
  <c r="W44" i="39" s="1"/>
  <c r="AB12" i="37"/>
  <c r="U12" i="37"/>
  <c r="S28" i="34"/>
  <c r="AA28" i="34"/>
  <c r="U45" i="33"/>
  <c r="AB45" i="33"/>
  <c r="U27" i="37"/>
  <c r="AB27" i="37"/>
  <c r="AZ392" i="3"/>
  <c r="AZ345" i="3"/>
  <c r="AZ329" i="3"/>
  <c r="AZ305" i="3"/>
  <c r="S12" i="21"/>
  <c r="AA12" i="21"/>
  <c r="U27" i="33"/>
  <c r="AB27" i="33"/>
  <c r="H5" i="3"/>
  <c r="H23" i="39"/>
  <c r="AB23" i="39" s="1"/>
  <c r="A14" i="55"/>
  <c r="B65" i="63" s="1"/>
  <c r="AZ396" i="3"/>
  <c r="AZ400" i="3"/>
  <c r="AZ409" i="3"/>
  <c r="AZ419" i="3"/>
  <c r="AZ429" i="3"/>
  <c r="AZ445" i="3"/>
  <c r="AZ448" i="3"/>
  <c r="AZ472" i="3"/>
  <c r="AZ206" i="3"/>
  <c r="AZ210" i="3"/>
  <c r="AZ222" i="3"/>
  <c r="AZ226" i="3"/>
  <c r="AZ238" i="3"/>
  <c r="AZ242" i="3"/>
  <c r="AZ254" i="3"/>
  <c r="AZ258" i="3"/>
  <c r="AZ269" i="3"/>
  <c r="AZ272" i="3"/>
  <c r="AC23" i="37"/>
  <c r="AC41" i="34"/>
  <c r="AB31" i="33"/>
  <c r="AC13" i="36"/>
  <c r="AB13" i="21"/>
  <c r="U30" i="33"/>
  <c r="AB13" i="35"/>
  <c r="AA38" i="37"/>
  <c r="W8" i="21"/>
  <c r="BI5" i="3"/>
  <c r="F9" i="33"/>
  <c r="AA9" i="33" s="1"/>
  <c r="J12" i="35"/>
  <c r="J36" i="35"/>
  <c r="F26" i="37"/>
  <c r="AA26" i="37" s="1"/>
  <c r="G15" i="3"/>
  <c r="G14" i="3"/>
  <c r="C92" i="9"/>
  <c r="F9" i="1"/>
  <c r="AZ275" i="3"/>
  <c r="AZ279" i="3"/>
  <c r="AZ291" i="3"/>
  <c r="AZ294" i="3"/>
  <c r="AZ113" i="3"/>
  <c r="AZ116" i="3"/>
  <c r="AZ129" i="3"/>
  <c r="AZ132" i="3"/>
  <c r="AZ145" i="3"/>
  <c r="AZ148" i="3"/>
  <c r="AZ26" i="3"/>
  <c r="AZ29" i="3"/>
  <c r="AZ36" i="3"/>
  <c r="AZ42" i="3"/>
  <c r="AZ45" i="3"/>
  <c r="AZ52" i="3"/>
  <c r="AZ58" i="3"/>
  <c r="AZ61" i="3"/>
  <c r="AZ22" i="3"/>
  <c r="AZ89" i="3"/>
  <c r="AZ100" i="3"/>
  <c r="AZ105" i="3"/>
  <c r="G22" i="3"/>
  <c r="AZ76" i="3"/>
  <c r="AZ80" i="3"/>
  <c r="I21" i="57"/>
  <c r="K12" i="1"/>
  <c r="M12" i="1" s="1"/>
  <c r="AB32" i="40"/>
  <c r="J19" i="21"/>
  <c r="W19" i="21" s="1"/>
  <c r="F19" i="21"/>
  <c r="G10" i="1"/>
  <c r="G13" i="1"/>
  <c r="W15" i="39"/>
  <c r="W14" i="39"/>
  <c r="F91" i="39"/>
  <c r="H17" i="39"/>
  <c r="U17" i="39" s="1"/>
  <c r="J17" i="39"/>
  <c r="W17" i="39" s="1"/>
  <c r="AA47" i="39"/>
  <c r="S47" i="39"/>
  <c r="AB46" i="39"/>
  <c r="U47" i="39"/>
  <c r="J47" i="39"/>
  <c r="S9" i="21"/>
  <c r="AA9" i="21"/>
  <c r="F123" i="21"/>
  <c r="G123" i="21" s="1"/>
  <c r="H123" i="21" s="1"/>
  <c r="I123" i="21" s="1"/>
  <c r="J123" i="21" s="1"/>
  <c r="K123" i="21" s="1"/>
  <c r="L123" i="21" s="1"/>
  <c r="M123" i="21" s="1"/>
  <c r="H42" i="21"/>
  <c r="AB42" i="21" s="1"/>
  <c r="J42" i="21"/>
  <c r="AC42" i="21" s="1"/>
  <c r="F42" i="21"/>
  <c r="AA42" i="21" s="1"/>
  <c r="U40" i="21"/>
  <c r="U17" i="21"/>
  <c r="AB10" i="21"/>
  <c r="AB30" i="21"/>
  <c r="S8" i="21"/>
  <c r="U42" i="21"/>
  <c r="W42" i="21"/>
  <c r="H44" i="39"/>
  <c r="U44" i="39" s="1"/>
  <c r="J42" i="39"/>
  <c r="AC42" i="39" s="1"/>
  <c r="F42" i="39"/>
  <c r="AA42" i="39" s="1"/>
  <c r="H42" i="39"/>
  <c r="AB42" i="39" s="1"/>
  <c r="F117" i="21"/>
  <c r="G117" i="21" s="1"/>
  <c r="J39" i="21" s="1"/>
  <c r="F39" i="21"/>
  <c r="AA39" i="21" s="1"/>
  <c r="AA38" i="21"/>
  <c r="AB36" i="21"/>
  <c r="AA36" i="21"/>
  <c r="AC35" i="21"/>
  <c r="AA32" i="21"/>
  <c r="U43" i="21"/>
  <c r="AC40" i="21"/>
  <c r="F103" i="39"/>
  <c r="H29" i="39"/>
  <c r="U29" i="39" s="1"/>
  <c r="J29" i="39"/>
  <c r="AC29" i="39" s="1"/>
  <c r="U19" i="21"/>
  <c r="W9" i="21"/>
  <c r="U9" i="21"/>
  <c r="S26" i="21"/>
  <c r="C18" i="9"/>
  <c r="A30" i="51"/>
  <c r="A30" i="64"/>
  <c r="U34" i="39"/>
  <c r="AB44" i="39"/>
  <c r="AC43" i="39"/>
  <c r="S42" i="39"/>
  <c r="U27" i="39"/>
  <c r="W27" i="39"/>
  <c r="AB25" i="39"/>
  <c r="F97" i="39"/>
  <c r="G97" i="39" s="1"/>
  <c r="S23" i="39"/>
  <c r="AB19" i="39"/>
  <c r="AA19" i="39"/>
  <c r="AB17" i="39"/>
  <c r="AC33" i="39"/>
  <c r="AB16" i="39"/>
  <c r="F71" i="9"/>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44"/>
  <c r="M10" i="44"/>
  <c r="L47" i="15"/>
  <c r="F11" i="44"/>
  <c r="L48" i="44"/>
  <c r="M8" i="44"/>
  <c r="M26" i="44"/>
  <c r="F10" i="44"/>
  <c r="F8" i="44"/>
  <c r="L49" i="44"/>
  <c r="F40" i="44"/>
  <c r="M28" i="15"/>
  <c r="J17" i="44"/>
  <c r="M11" i="44"/>
  <c r="M29" i="15"/>
  <c r="M28" i="44"/>
  <c r="M30" i="44"/>
  <c r="F42" i="15"/>
  <c r="M25" i="44"/>
  <c r="F18" i="44"/>
  <c r="M29" i="44"/>
  <c r="M8" i="15"/>
  <c r="F9" i="44"/>
  <c r="F13" i="15"/>
  <c r="F39" i="44"/>
  <c r="F38" i="44"/>
  <c r="M31" i="44"/>
  <c r="F45" i="44"/>
  <c r="J36" i="15"/>
  <c r="F15" i="44"/>
  <c r="F9" i="15"/>
  <c r="F28" i="44"/>
  <c r="F38" i="15"/>
  <c r="M24" i="44"/>
  <c r="AC39" i="21" l="1"/>
  <c r="W39" i="21"/>
  <c r="D1" i="57"/>
  <c r="E10" i="57" s="1"/>
  <c r="W25" i="37"/>
  <c r="AC25" i="37"/>
  <c r="H39" i="21"/>
  <c r="AZ84" i="3"/>
  <c r="AZ73" i="3"/>
  <c r="AZ40" i="3"/>
  <c r="AZ38" i="3"/>
  <c r="AZ27" i="3"/>
  <c r="AZ202" i="3"/>
  <c r="AZ223" i="3"/>
  <c r="AZ319" i="3"/>
  <c r="AZ455" i="3"/>
  <c r="AZ453" i="3"/>
  <c r="AZ430" i="3"/>
  <c r="AZ426" i="3"/>
  <c r="AZ407" i="3"/>
  <c r="AZ395" i="3"/>
  <c r="AC23" i="36"/>
  <c r="W23" i="36"/>
  <c r="AA34" i="35"/>
  <c r="S34" i="35"/>
  <c r="AA25" i="37"/>
  <c r="S25" i="37"/>
  <c r="S12" i="33"/>
  <c r="AA12" i="33"/>
  <c r="H73" i="46"/>
  <c r="AB24" i="36"/>
  <c r="U24" i="36"/>
  <c r="AA12" i="35"/>
  <c r="S12" i="35"/>
  <c r="AB9" i="33"/>
  <c r="U9" i="33"/>
  <c r="AB11" i="46"/>
  <c r="AB13" i="46" s="1"/>
  <c r="W12" i="35"/>
  <c r="AC12" i="35"/>
  <c r="H76" i="46"/>
  <c r="AC36" i="35"/>
  <c r="W36" i="35"/>
  <c r="E413" i="3"/>
  <c r="C33" i="21"/>
  <c r="AA19" i="21"/>
  <c r="S19" i="21"/>
  <c r="C15" i="43"/>
  <c r="H69" i="46"/>
  <c r="H77" i="46"/>
  <c r="C7" i="46"/>
  <c r="G91" i="39"/>
  <c r="F17" i="39"/>
  <c r="W47" i="39"/>
  <c r="AC47" i="39"/>
  <c r="AC23" i="21"/>
  <c r="G103" i="39"/>
  <c r="F29" i="39"/>
  <c r="AB29" i="39"/>
  <c r="AA15" i="21"/>
  <c r="G6" i="1"/>
  <c r="G16" i="1" s="1"/>
  <c r="J12" i="40" s="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C13" i="39" s="1"/>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Q72" i="15"/>
  <c r="F65" i="15"/>
  <c r="G66" i="36"/>
  <c r="J18" i="36"/>
  <c r="AE8" i="1"/>
  <c r="AE6" i="1"/>
  <c r="F33" i="44"/>
  <c r="F58" i="15"/>
  <c r="F31" i="15"/>
  <c r="M19" i="44"/>
  <c r="M17" i="15"/>
  <c r="M23" i="15"/>
  <c r="F7" i="15"/>
  <c r="F36" i="15"/>
  <c r="M27" i="15"/>
  <c r="F8" i="15"/>
  <c r="M9" i="15"/>
  <c r="M24" i="15"/>
  <c r="M6" i="15"/>
  <c r="F43" i="15"/>
  <c r="F40" i="15"/>
  <c r="F6" i="15"/>
  <c r="F26" i="15"/>
  <c r="M22" i="15"/>
  <c r="F37" i="15"/>
  <c r="M26" i="15"/>
  <c r="J15" i="15"/>
  <c r="F46" i="44"/>
  <c r="F16" i="15"/>
  <c r="C18" i="44"/>
  <c r="L48" i="15"/>
  <c r="C27" i="15" l="1"/>
  <c r="F64" i="15"/>
  <c r="F63" i="15"/>
  <c r="I54" i="15"/>
  <c r="L58" i="15"/>
  <c r="Q74" i="15" s="1"/>
  <c r="J53" i="15"/>
  <c r="F1" i="15" s="1"/>
  <c r="J57" i="15"/>
  <c r="J55" i="15" s="1"/>
  <c r="J58" i="15" s="1"/>
  <c r="Q51" i="15" s="1"/>
  <c r="L56" i="15"/>
  <c r="AB39" i="21"/>
  <c r="U39" i="21"/>
  <c r="F67" i="15"/>
  <c r="F70" i="15"/>
  <c r="F49" i="15"/>
  <c r="M7" i="15"/>
  <c r="J6" i="15" s="1"/>
  <c r="J5" i="15" s="1"/>
  <c r="J18" i="15" s="1"/>
  <c r="C10" i="15"/>
  <c r="F50" i="15"/>
  <c r="C6" i="15"/>
  <c r="C11" i="21"/>
  <c r="H13" i="39"/>
  <c r="J13" i="39"/>
  <c r="F13" i="39"/>
  <c r="J33" i="21"/>
  <c r="F33" i="21"/>
  <c r="H33" i="21"/>
  <c r="AA17" i="39"/>
  <c r="S17" i="39"/>
  <c r="AA29" i="39"/>
  <c r="S29"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Q61" i="15"/>
  <c r="Q62" i="15"/>
  <c r="AB12" i="39"/>
  <c r="C20" i="11"/>
  <c r="C21" i="11" s="1"/>
  <c r="C22" i="11" s="1"/>
  <c r="C23" i="11" s="1"/>
  <c r="B2" i="11" s="1"/>
  <c r="AC12" i="40"/>
  <c r="W12" i="40"/>
  <c r="E46" i="37"/>
  <c r="F46" i="37" s="1"/>
  <c r="C48" i="33"/>
  <c r="C49" i="33"/>
  <c r="B3" i="33" s="1"/>
  <c r="B2" i="33" s="1"/>
  <c r="C16" i="15"/>
  <c r="L52" i="44"/>
  <c r="AE7" i="1"/>
  <c r="F7" i="67"/>
  <c r="C5" i="15" l="1"/>
  <c r="C38" i="15" s="1"/>
  <c r="Q53" i="15"/>
  <c r="C48" i="15"/>
  <c r="M23" i="6"/>
  <c r="I23" i="6" s="1"/>
  <c r="S23" i="6" s="1"/>
  <c r="S10" i="1"/>
  <c r="U33" i="21"/>
  <c r="AB33" i="21"/>
  <c r="W33" i="21"/>
  <c r="AC33" i="21"/>
  <c r="AC13" i="39"/>
  <c r="W13" i="39"/>
  <c r="H11" i="21"/>
  <c r="J11" i="21"/>
  <c r="F11" i="21"/>
  <c r="I53" i="34"/>
  <c r="J53" i="34" s="1"/>
  <c r="S33" i="21"/>
  <c r="AA33" i="21"/>
  <c r="S13" i="39"/>
  <c r="AA13" i="39"/>
  <c r="AB13" i="39"/>
  <c r="U13"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C17" i="15"/>
  <c r="E7" i="67"/>
  <c r="F41" i="15"/>
  <c r="C32" i="15" l="1"/>
  <c r="F68" i="15"/>
  <c r="S11" i="21"/>
  <c r="AA11" i="21"/>
  <c r="U11" i="21"/>
  <c r="AB11" i="21"/>
  <c r="R48" i="21"/>
  <c r="T48" i="21"/>
  <c r="G48" i="21" s="1"/>
  <c r="W11" i="21"/>
  <c r="AC11" i="21"/>
  <c r="V48" i="21"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E48" i="21"/>
  <c r="G52" i="21"/>
  <c r="H52" i="21" s="1"/>
  <c r="G67" i="40"/>
  <c r="H65" i="40"/>
  <c r="G72" i="39"/>
  <c r="H70" i="39"/>
  <c r="B7" i="67"/>
  <c r="I48" i="21" l="1"/>
  <c r="R49"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I52" i="21" l="1"/>
  <c r="J52" i="21" s="1"/>
  <c r="G53" i="21"/>
  <c r="H53" i="21" s="1"/>
  <c r="B2" i="21"/>
  <c r="C10" i="12" s="1"/>
  <c r="C8" i="12"/>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21" i="44" l="1"/>
  <c r="C22" i="44" s="1"/>
  <c r="C25" i="44" s="1"/>
  <c r="C19" i="15"/>
  <c r="J20" i="15"/>
  <c r="C36" i="44"/>
  <c r="C34" i="15"/>
  <c r="F62" i="15"/>
  <c r="C61" i="15" s="1"/>
  <c r="J22" i="44"/>
  <c r="C20" i="15"/>
  <c r="C23" i="15" s="1"/>
  <c r="C18" i="12"/>
  <c r="R16" i="1"/>
  <c r="D31" i="6"/>
  <c r="I6" i="6" s="1"/>
  <c r="I7"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19" i="9"/>
  <c r="D21" i="9"/>
  <c r="B5" i="12" l="1"/>
  <c r="B3" i="12"/>
  <c r="L44" i="9"/>
  <c r="D22" i="9"/>
  <c r="G19" i="9"/>
  <c r="G21" i="9"/>
  <c r="D7" i="66"/>
  <c r="C7" i="66"/>
  <c r="D20" i="9"/>
  <c r="H3" i="69" l="1"/>
  <c r="J3" i="69" s="1"/>
  <c r="H5" i="69"/>
  <c r="H4" i="69"/>
  <c r="G20" i="9"/>
  <c r="C32" i="9"/>
  <c r="G22" i="9"/>
  <c r="N43" i="9"/>
  <c r="D45" i="9"/>
  <c r="E45" i="9"/>
  <c r="O40" i="9"/>
  <c r="F45" i="9"/>
  <c r="I4" i="69" l="1"/>
  <c r="J4" i="69"/>
  <c r="I5" i="69"/>
  <c r="J5" i="69"/>
  <c r="I3" i="69"/>
  <c r="H6" i="69"/>
  <c r="O38" i="9"/>
  <c r="C33" i="9"/>
  <c r="C35" i="9"/>
  <c r="F42" i="9" s="1"/>
  <c r="O43" i="9"/>
  <c r="C42" i="9"/>
  <c r="C34" i="9"/>
  <c r="K31" i="9"/>
  <c r="K32" i="9" s="1"/>
  <c r="R7" i="54"/>
  <c r="B52" i="63" s="1"/>
  <c r="I6" i="69" l="1"/>
  <c r="J6" i="69"/>
  <c r="C44" i="9"/>
  <c r="R5" i="54"/>
  <c r="B48" i="63" s="1"/>
  <c r="D14" i="66"/>
  <c r="N68" i="9"/>
  <c r="D63" i="9"/>
  <c r="K25" i="9"/>
  <c r="K26" i="9"/>
  <c r="E42" i="9"/>
  <c r="P5" i="54" s="1"/>
  <c r="B46" i="63" s="1"/>
  <c r="M38" i="9"/>
  <c r="K27" i="9" s="1"/>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M84" i="9" l="1"/>
  <c r="N84" i="9" s="1"/>
  <c r="M87" i="9"/>
  <c r="N87" i="9" s="1"/>
  <c r="M83" i="9"/>
  <c r="N83" i="9" s="1"/>
  <c r="M86" i="9"/>
  <c r="N86" i="9" s="1"/>
  <c r="M88" i="9"/>
  <c r="N88" i="9" s="1"/>
  <c r="M85" i="9"/>
  <c r="N85" i="9" s="1"/>
  <c r="K29" i="9"/>
  <c r="K30" i="9" s="1"/>
  <c r="R6" i="54"/>
  <c r="B50" i="63" s="1"/>
  <c r="C97" i="9"/>
  <c r="C6" i="66"/>
  <c r="D6" i="66"/>
  <c r="C5" i="66"/>
  <c r="D5" i="66"/>
  <c r="C113" i="9"/>
  <c r="N76" i="9"/>
  <c r="N89" i="9" l="1"/>
  <c r="O89" i="9" s="1"/>
  <c r="C98" i="9"/>
  <c r="E98" i="9" s="1"/>
  <c r="E99" i="9" s="1"/>
  <c r="C114" i="9"/>
  <c r="E114" i="9" s="1"/>
  <c r="E115" i="9" s="1"/>
  <c r="C99" i="9" l="1"/>
  <c r="C115" i="9"/>
  <c r="D76" i="9" s="1"/>
  <c r="D74" i="9" s="1"/>
  <c r="N74" i="9" s="1"/>
  <c r="O77" i="9" s="1"/>
  <c r="O78" i="9" l="1"/>
  <c r="O79" i="9"/>
  <c r="Q77" i="9"/>
  <c r="C46" i="9" l="1"/>
  <c r="O80" i="9"/>
  <c r="O81" i="9"/>
  <c r="K33" i="9" l="1"/>
  <c r="K34" i="9" s="1"/>
  <c r="F46" i="9"/>
  <c r="I14" i="66"/>
  <c r="B8" i="66" s="1"/>
  <c r="D46" i="9"/>
  <c r="O41" i="9"/>
  <c r="R8" i="54" s="1"/>
  <c r="B54" i="63" s="1"/>
  <c r="E46" i="9"/>
  <c r="C8" i="66" l="1"/>
  <c r="D8" i="66"/>
  <c r="H19" i="69" l="1"/>
  <c r="H20" i="69"/>
  <c r="H22" i="69"/>
  <c r="H21" i="69"/>
  <c r="H23" i="69"/>
  <c r="I21" i="69" l="1"/>
  <c r="J21" i="69"/>
  <c r="I20" i="69"/>
  <c r="J20" i="69"/>
  <c r="I23" i="69"/>
  <c r="J23" i="69"/>
  <c r="I22" i="69"/>
  <c r="J22" i="69"/>
  <c r="I19" i="69"/>
  <c r="J19"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<sst xmlns="http://schemas.openxmlformats.org/spreadsheetml/2006/main" count="7736" uniqueCount="3515">
  <si>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</si>
  <si>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</si>
  <si>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</si>
  <si>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</si>
  <si>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</si>
  <si>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</si>
  <si>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</si>
  <si>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</si>
  <si>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</si>
  <si>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</si>
  <si>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</si>
  <si>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</si>
  <si>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</si>
  <si>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</si>
  <si>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</si>
  <si>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</si>
  <si>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</si>
  <si>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</si>
  <si>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</si>
  <si>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</si>
  <si>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</si>
  <si>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</si>
  <si>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</si>
  <si>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</si>
  <si>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</si>
  <si>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</si>
  <si>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</si>
  <si>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</si>
  <si>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</si>
  <si>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</si>
  <si>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</si>
  <si>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</si>
  <si>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</si>
  <si>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</si>
  <si>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</si>
  <si>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</si>
  <si>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</si>
  <si>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</si>
  <si>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</si>
  <si>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</si>
  <si>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</si>
  <si>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</si>
  <si>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</si>
  <si>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</si>
  <si>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</si>
  <si>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</si>
  <si>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</si>
  <si>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</si>
  <si>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</si>
  <si>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</si>
  <si>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</si>
  <si>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</si>
  <si>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</si>
  <si>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</si>
  <si>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</si>
  <si>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</si>
  <si>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</si>
  <si>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</si>
  <si>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</si>
  <si>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</si>
  <si>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</si>
  <si>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</si>
  <si>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</si>
  <si>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</si>
  <si>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</si>
  <si>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</si>
  <si>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</si>
  <si>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</si>
  <si>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</si>
  <si>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</si>
  <si>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</si>
  <si>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</si>
  <si>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</si>
  <si>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</si>
  <si>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</si>
  <si>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</si>
  <si>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</si>
  <si>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</si>
  <si>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</si>
  <si>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</si>
  <si>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</si>
  <si>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</si>
  <si>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</si>
  <si>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</si>
  <si>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</si>
  <si>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</si>
  <si>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</si>
  <si>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</si>
  <si>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</si>
  <si>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</si>
  <si>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</si>
  <si>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</si>
  <si>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</si>
  <si>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</si>
  <si>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</si>
  <si>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</si>
  <si>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</si>
  <si>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</si>
  <si>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</si>
  <si>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</si>
  <si>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</si>
  <si>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</si>
  <si>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</si>
  <si>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</si>
  <si>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</si>
  <si>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</si>
  <si>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</si>
  <si>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</si>
  <si>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</si>
  <si>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</si>
  <si>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</si>
  <si>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</si>
  <si>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</si>
  <si>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</si>
  <si>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</si>
  <si>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</si>
  <si>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</si>
  <si>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</si>
  <si>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</si>
  <si>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</si>
  <si>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</si>
  <si>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</si>
  <si>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</si>
  <si>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</si>
  <si>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</si>
  <si>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</si>
  <si>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</si>
  <si>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</si>
  <si>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</si>
  <si>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</si>
  <si>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</si>
  <si>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</si>
  <si>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</si>
  <si>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</si>
  <si>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</si>
  <si>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</si>
  <si>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</si>
  <si>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</si>
  <si>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</si>
  <si>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</si>
  <si>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</si>
  <si>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</si>
  <si>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</si>
  <si>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</si>
  <si>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</si>
  <si>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</si>
  <si>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</si>
  <si>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</si>
  <si>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</si>
  <si>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</si>
  <si>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</si>
  <si>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</si>
  <si>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</si>
  <si>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</si>
  <si>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</si>
  <si>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</si>
  <si>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</si>
  <si>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</si>
  <si>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</si>
  <si>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</si>
  <si>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</si>
  <si>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</si>
  <si>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</si>
  <si>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</si>
  <si>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</si>
  <si>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</si>
  <si>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</si>
  <si>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</si>
  <si>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</si>
  <si>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</si>
  <si>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</si>
  <si>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</si>
  <si>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</si>
  <si>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</si>
  <si>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</si>
  <si>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</si>
  <si>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</si>
  <si>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</si>
  <si>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</si>
  <si>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</si>
  <si>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</si>
  <si>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</si>
  <si>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</si>
  <si>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</si>
  <si>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</si>
  <si>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</si>
  <si>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</si>
  <si>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</si>
  <si>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</si>
  <si>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</si>
  <si>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</si>
  <si>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</si>
  <si>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</si>
  <si>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</si>
  <si>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</si>
  <si>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</si>
  <si>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</si>
  <si>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</si>
  <si>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</si>
  <si>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</si>
  <si>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</si>
  <si>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</si>
  <si>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</si>
  <si>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</si>
  <si>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</si>
  <si>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</si>
  <si>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</si>
  <si>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</si>
  <si>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</si>
  <si>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</si>
  <si>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</si>
  <si>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</si>
  <si>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</si>
  <si>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</si>
  <si>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</si>
  <si>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</si>
  <si>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</si>
  <si>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</si>
  <si>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</si>
  <si>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</si>
  <si>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</si>
  <si>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</si>
  <si>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</si>
  <si>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</si>
  <si>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</si>
  <si>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</si>
  <si>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</si>
  <si>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</si>
  <si>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</si>
  <si>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</si>
  <si>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</si>
  <si>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</si>
  <si>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</si>
  <si>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</si>
  <si>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</si>
  <si>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</si>
  <si>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</si>
  <si>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</si>
  <si>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</si>
  <si>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</si>
  <si>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</si>
  <si>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</si>
  <si>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</si>
  <si>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</si>
  <si>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</si>
  <si>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</si>
  <si>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</si>
  <si>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</si>
  <si>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</si>
  <si>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</si>
  <si>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</si>
  <si>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</si>
  <si>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</si>
  <si>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</si>
  <si>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</si>
  <si>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</si>
  <si>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</si>
  <si>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</si>
  <si>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</si>
  <si>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</si>
  <si>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</si>
  <si>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</si>
  <si>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</si>
  <si>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</si>
  <si>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</si>
  <si>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</si>
  <si>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</si>
  <si>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</si>
  <si>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</si>
  <si>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</si>
  <si>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</si>
  <si>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</si>
  <si>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</si>
  <si>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</si>
  <si>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</si>
  <si>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</si>
  <si>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</si>
  <si>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</si>
  <si>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</si>
  <si>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</si>
  <si>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</si>
  <si>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</si>
  <si>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</si>
  <si>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</si>
  <si>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</si>
  <si>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</si>
  <si>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</si>
  <si>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</si>
  <si>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</si>
  <si>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</si>
  <si>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</si>
  <si>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</si>
  <si>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</si>
  <si>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</si>
  <si>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</si>
  <si>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</si>
  <si>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</si>
  <si>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</si>
  <si>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</si>
  <si>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</si>
  <si>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</si>
  <si>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</si>
  <si>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</si>
  <si>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</si>
  <si>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</si>
  <si>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</si>
  <si>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</si>
  <si>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</si>
  <si>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</si>
  <si>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</si>
  <si>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</si>
  <si>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</si>
  <si>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</si>
  <si>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</si>
  <si>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</si>
  <si>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</si>
  <si>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</si>
  <si>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</si>
  <si>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</si>
  <si>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</si>
  <si>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</si>
  <si>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</si>
  <si>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</si>
  <si>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</si>
  <si>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</si>
  <si>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</si>
  <si>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</si>
  <si>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</si>
  <si>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</si>
  <si>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</si>
  <si>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</si>
  <si>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</si>
  <si>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</si>
  <si>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</si>
  <si>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</si>
  <si>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</si>
  <si>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</si>
  <si>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</si>
  <si>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</si>
  <si>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</si>
  <si>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</si>
  <si>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</si>
  <si>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</si>
  <si>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</si>
  <si>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</si>
  <si>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</si>
  <si>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</si>
  <si>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</si>
  <si>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</si>
  <si>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</si>
  <si>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</si>
  <si>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</si>
  <si>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</si>
  <si>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</si>
  <si>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</si>
  <si>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</si>
  <si>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</si>
  <si>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</si>
  <si>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</si>
  <si>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</si>
  <si>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</si>
  <si>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</si>
  <si>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</si>
  <si>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</si>
  <si>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</si>
  <si>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</si>
  <si>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</si>
  <si>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</si>
  <si>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</si>
  <si>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</si>
  <si>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</si>
  <si>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</si>
  <si>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</si>
  <si>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</si>
  <si>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</si>
  <si>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</si>
  <si>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</si>
  <si>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</si>
  <si>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</si>
  <si>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</si>
  <si>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</si>
  <si>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</si>
  <si>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</si>
  <si>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</si>
  <si>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</si>
  <si>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</si>
  <si>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</si>
  <si>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</si>
  <si>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</si>
  <si>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</si>
  <si>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</si>
  <si>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</si>
  <si>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</si>
  <si>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</si>
  <si>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</si>
  <si>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</si>
  <si>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</si>
  <si>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</si>
  <si>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</si>
  <si>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</si>
  <si>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</si>
  <si>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</si>
  <si>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</si>
  <si>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</si>
  <si>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</si>
  <si>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</si>
  <si>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</si>
  <si>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</si>
  <si>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</si>
  <si>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</si>
  <si>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</si>
  <si>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</si>
  <si>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</si>
  <si>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</si>
  <si>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</si>
  <si>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</si>
  <si>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</si>
  <si>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</si>
  <si>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</si>
  <si>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</si>
  <si>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</si>
  <si>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</si>
  <si>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</si>
  <si>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</si>
  <si>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</si>
  <si>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</si>
  <si>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</si>
  <si>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</si>
  <si>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</si>
  <si>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</si>
  <si>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</si>
  <si>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</si>
  <si>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</si>
  <si>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</si>
  <si>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</si>
  <si>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</si>
  <si>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</si>
  <si>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</si>
  <si>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</si>
  <si>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</si>
  <si>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</si>
  <si>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</si>
  <si>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</si>
  <si>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</si>
  <si>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</si>
  <si>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</si>
  <si>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</si>
  <si>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</si>
  <si>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</si>
  <si>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</si>
  <si>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</si>
  <si>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</si>
  <si>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</si>
  <si>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</si>
  <si>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</si>
  <si>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</si>
  <si>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</si>
  <si>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</si>
  <si>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</si>
  <si>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</si>
  <si>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</si>
  <si>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</si>
  <si>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</si>
  <si>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</si>
  <si>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</si>
  <si>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</si>
  <si>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</si>
  <si>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</si>
  <si>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</si>
  <si>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</si>
  <si>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</si>
  <si>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</si>
  <si>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</si>
  <si>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</si>
  <si>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</si>
  <si>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</si>
  <si>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</si>
  <si>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</si>
  <si>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</si>
  <si>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</si>
  <si>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</si>
  <si>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</si>
  <si>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</si>
  <si>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</si>
  <si>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</si>
  <si>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</si>
  <si>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</si>
  <si>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</si>
  <si>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</si>
  <si>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</si>
  <si>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</si>
  <si>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</si>
  <si>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</si>
  <si>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</si>
  <si>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</si>
  <si>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</si>
  <si>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</si>
  <si>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</si>
  <si>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</si>
  <si>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</si>
  <si>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</si>
  <si>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</si>
  <si>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</si>
  <si>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</si>
  <si>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</si>
  <si>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</si>
  <si>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</si>
  <si>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</si>
  <si>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</si>
  <si>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</si>
  <si>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</si>
  <si>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</si>
  <si>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</si>
  <si>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</si>
  <si>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</si>
  <si>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</si>
  <si>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</si>
  <si>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</si>
  <si>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</si>
  <si>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</si>
  <si>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</si>
  <si>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</si>
  <si>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</si>
  <si>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</si>
  <si>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</si>
  <si>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</si>
  <si>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</si>
  <si>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</si>
  <si>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</si>
  <si>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</si>
  <si>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</si>
  <si>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</si>
  <si>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</si>
  <si>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</si>
  <si>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</si>
  <si>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</si>
  <si>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</si>
  <si>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</si>
  <si>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</si>
  <si>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</si>
  <si>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</si>
  <si>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</si>
  <si>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</si>
  <si>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</si>
  <si>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</si>
  <si>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</si>
  <si>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</si>
  <si>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</si>
  <si>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</si>
  <si>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</si>
  <si>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</si>
  <si>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</si>
  <si>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</si>
  <si>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</si>
  <si>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</si>
  <si>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</si>
  <si>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</si>
  <si>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</si>
  <si>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</si>
  <si>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</si>
  <si>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</si>
  <si>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</si>
  <si>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</si>
  <si>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</si>
  <si>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</si>
  <si>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</si>
  <si>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</si>
  <si>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</si>
  <si>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</si>
  <si>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</si>
  <si>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</si>
  <si>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</si>
  <si>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</si>
  <si>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</si>
  <si>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</si>
  <si>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</si>
  <si>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</si>
  <si>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</si>
  <si>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</si>
  <si>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</si>
  <si>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</si>
  <si>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</si>
  <si>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</si>
  <si>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</si>
  <si>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</si>
  <si>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</si>
  <si>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</si>
  <si>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</si>
  <si>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</si>
  <si>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</si>
  <si>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</si>
  <si>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</si>
  <si>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</si>
  <si>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</si>
  <si>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</si>
  <si>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</si>
  <si>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</si>
  <si>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</si>
  <si>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</si>
  <si>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</si>
  <si>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</si>
  <si>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</si>
  <si>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</si>
  <si>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</si>
  <si>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</si>
  <si>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</si>
  <si>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</si>
  <si>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</si>
  <si>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</si>
  <si>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</si>
  <si>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</si>
  <si>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</si>
  <si>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</si>
  <si>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</si>
  <si>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</si>
  <si>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</si>
  <si>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</si>
  <si>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</si>
  <si>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</si>
  <si>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</si>
  <si>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</si>
  <si>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</si>
  <si>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</si>
  <si>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</si>
  <si>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</si>
  <si>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</si>
  <si>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</si>
  <si>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</si>
  <si>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</si>
  <si>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</si>
  <si>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</si>
  <si>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</si>
  <si>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</si>
  <si>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</si>
  <si>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</si>
  <si>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</si>
  <si>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</si>
  <si>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</si>
  <si>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</si>
  <si>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</si>
  <si>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</si>
  <si>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</si>
  <si>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</si>
  <si>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</si>
  <si>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</si>
  <si>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</si>
  <si>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</si>
  <si>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</si>
  <si>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</si>
  <si>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</si>
  <si>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</si>
  <si>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</si>
  <si>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</si>
  <si>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</si>
  <si>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</si>
  <si>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</si>
  <si>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</si>
  <si>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</si>
  <si>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</si>
  <si>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</si>
  <si>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</si>
  <si>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</si>
  <si>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</si>
  <si>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</si>
  <si>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</si>
  <si>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</si>
  <si>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</si>
  <si>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</si>
  <si>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</si>
  <si>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</si>
  <si>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</si>
  <si>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</si>
  <si>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</si>
  <si>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</si>
  <si>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</si>
  <si>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</si>
  <si>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</si>
  <si>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</si>
  <si>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</si>
  <si>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</si>
  <si>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</si>
  <si>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</si>
  <si>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</si>
  <si>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</si>
  <si>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</si>
  <si>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</si>
  <si>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</si>
  <si>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</si>
  <si>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</si>
  <si>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</si>
  <si>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</si>
  <si>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</si>
  <si>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</si>
  <si>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</si>
  <si>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</si>
  <si>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</si>
  <si>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</si>
  <si>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</si>
  <si>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</si>
  <si>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</si>
  <si>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</si>
  <si>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</si>
  <si>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</si>
  <si>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</si>
  <si>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</si>
  <si>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</si>
  <si>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</si>
  <si>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</si>
  <si>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</si>
  <si>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</si>
  <si>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</si>
  <si>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</si>
  <si>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</si>
  <si>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</si>
  <si>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</si>
  <si>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</si>
  <si>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</si>
  <si>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</si>
  <si>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</si>
  <si>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</si>
  <si>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</si>
  <si>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</si>
  <si>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</si>
  <si>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</si>
  <si>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</si>
  <si>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</si>
  <si>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</si>
  <si>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</si>
  <si>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</si>
  <si>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</si>
  <si>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</si>
  <si>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</si>
  <si>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</si>
  <si>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</si>
  <si>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</si>
  <si>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</si>
  <si>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</si>
  <si>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</si>
  <si>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</si>
  <si>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</si>
  <si>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</si>
  <si>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</si>
  <si>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</si>
  <si>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</si>
  <si>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</si>
  <si>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</si>
  <si>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</si>
  <si>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</si>
  <si>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</si>
  <si>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</si>
  <si>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</si>
  <si>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</si>
  <si>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</si>
  <si>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</si>
  <si>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</si>
  <si>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</si>
  <si>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</si>
  <si>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</si>
  <si>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</si>
  <si>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</si>
  <si>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</si>
  <si>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</si>
  <si>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</si>
  <si>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</si>
  <si>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</si>
  <si>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</si>
  <si>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</si>
  <si>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</si>
  <si>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</si>
  <si>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</si>
  <si>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</si>
  <si>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</si>
  <si>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</si>
  <si>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</si>
  <si>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</si>
  <si>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</si>
  <si>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</si>
  <si>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</si>
  <si>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</si>
  <si>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</si>
  <si>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</si>
  <si>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</si>
  <si>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</si>
  <si>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</si>
  <si>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</si>
  <si>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</si>
  <si>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</si>
  <si>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</si>
  <si>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</si>
  <si>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</si>
  <si>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</si>
  <si>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</si>
  <si>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</si>
  <si>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</si>
  <si>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</si>
  <si>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</si>
  <si>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</si>
  <si>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</si>
  <si>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</si>
  <si>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</si>
  <si>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</si>
  <si>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</si>
  <si>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</si>
  <si>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</si>
  <si>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</si>
  <si>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</si>
  <si>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</si>
  <si>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</si>
  <si>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</si>
  <si>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</si>
  <si>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</si>
  <si>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</si>
  <si>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</si>
  <si>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</si>
  <si>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</si>
  <si>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</si>
  <si>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</si>
  <si>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</si>
  <si>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</si>
  <si>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</si>
  <si>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</si>
  <si>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</si>
  <si>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</si>
  <si>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</si>
  <si>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</si>
  <si>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</si>
  <si>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</si>
  <si>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</si>
  <si>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</si>
  <si>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</si>
  <si>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</si>
  <si>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</si>
  <si>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</si>
  <si>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</si>
  <si>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</si>
  <si>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</si>
  <si>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</si>
  <si>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</si>
  <si>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</si>
  <si>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</si>
  <si>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</si>
  <si>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</si>
  <si>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</si>
  <si>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</si>
  <si>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</si>
  <si>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</si>
  <si>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</si>
  <si>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</si>
  <si>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</si>
  <si>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</si>
  <si>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</si>
  <si>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</si>
  <si>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</si>
  <si>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</si>
  <si>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</si>
  <si>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</si>
  <si>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</si>
  <si>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</si>
  <si>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</si>
  <si>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</si>
  <si>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</si>
  <si>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</si>
  <si>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</si>
  <si>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</si>
  <si>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</si>
  <si>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</si>
  <si>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</si>
  <si>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</si>
  <si>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</si>
  <si>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</si>
  <si>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</si>
  <si>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</si>
  <si>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</si>
  <si>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</si>
  <si>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</si>
  <si>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</si>
  <si>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</si>
  <si>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</si>
  <si>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</si>
  <si>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</si>
  <si>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</si>
  <si>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</si>
  <si>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</si>
  <si>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</si>
  <si>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</si>
  <si>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</si>
  <si>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</si>
  <si>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</si>
  <si>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</si>
  <si>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</si>
  <si>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</si>
  <si>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</si>
  <si>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</si>
  <si>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</si>
  <si>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</si>
  <si>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</si>
  <si>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</si>
  <si>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</si>
  <si>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</si>
  <si>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</si>
  <si>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</si>
  <si>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</si>
  <si>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</si>
  <si>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</si>
  <si>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</si>
  <si>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</si>
  <si>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</si>
  <si>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</si>
  <si>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</si>
  <si>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</si>
  <si>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</si>
  <si>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</si>
  <si>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</si>
  <si>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</si>
  <si>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</si>
  <si>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</si>
  <si>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</si>
  <si>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</si>
  <si>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</si>
  <si>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</si>
  <si>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</si>
  <si>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</si>
  <si>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</si>
  <si>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</si>
  <si>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</si>
  <si>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</si>
  <si>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</si>
  <si>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</si>
  <si>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</si>
  <si>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</si>
  <si>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</si>
  <si>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</si>
  <si>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</si>
  <si>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</si>
  <si>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</si>
  <si>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</si>
  <si>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</si>
  <si>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</si>
  <si>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</si>
  <si>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</si>
  <si>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</si>
  <si>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</si>
  <si>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</si>
  <si>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</si>
  <si>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</si>
  <si>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</si>
  <si>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</si>
  <si>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</si>
  <si>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</si>
  <si>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</si>
  <si>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</si>
  <si>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</si>
  <si>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</si>
  <si>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</si>
  <si>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</si>
  <si>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</si>
  <si>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</si>
  <si>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</si>
  <si>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</si>
  <si>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</si>
  <si>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</si>
  <si>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</si>
  <si>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</si>
  <si>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</si>
  <si>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</si>
  <si>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</si>
  <si>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</si>
  <si>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</si>
  <si>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</si>
  <si>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</si>
  <si>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</si>
  <si>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</si>
  <si>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</si>
  <si>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</si>
  <si>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</si>
  <si>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</si>
  <si>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</si>
  <si>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</si>
  <si>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</si>
  <si>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</si>
  <si>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</si>
  <si>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</si>
  <si>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</si>
  <si>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</si>
  <si>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</si>
  <si>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</si>
  <si>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</si>
  <si>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</si>
  <si>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</si>
  <si>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</si>
  <si>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</si>
  <si>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</si>
  <si>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</si>
  <si>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</si>
  <si>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</si>
  <si>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</si>
  <si>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</si>
  <si>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</si>
  <si>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</si>
  <si>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</si>
  <si>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</si>
  <si>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</si>
  <si>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</si>
  <si>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</si>
  <si>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</si>
  <si>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</si>
  <si>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</si>
  <si>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</si>
  <si>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</si>
  <si>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</si>
  <si>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</si>
  <si>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</si>
  <si>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</si>
  <si>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</si>
  <si>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</si>
  <si>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</si>
  <si>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</si>
  <si>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</si>
  <si>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</si>
  <si>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</si>
  <si>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</si>
  <si>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</si>
  <si>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</si>
  <si>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</si>
  <si>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</si>
  <si>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</si>
  <si>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</si>
  <si>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</si>
  <si>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</si>
  <si>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</si>
  <si>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</si>
  <si>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</si>
  <si>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</si>
  <si>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</si>
  <si>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</si>
  <si>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</si>
  <si>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</si>
  <si>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</si>
  <si>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</si>
  <si>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</si>
  <si>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</si>
  <si>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</si>
  <si>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</si>
  <si>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</si>
  <si>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</si>
  <si>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</si>
  <si>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</si>
  <si>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</si>
  <si>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</si>
  <si>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</si>
  <si>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</si>
  <si>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</si>
  <si>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</si>
  <si>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</si>
  <si>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</si>
  <si>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</si>
  <si>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</si>
  <si>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</si>
  <si>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</si>
  <si>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</si>
  <si>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</si>
  <si>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</si>
  <si>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</si>
  <si>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</si>
  <si>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</si>
  <si>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</si>
  <si>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</si>
  <si>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</si>
  <si>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</si>
  <si>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</si>
  <si>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</si>
  <si>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</si>
  <si>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</si>
  <si>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</si>
  <si>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</si>
  <si>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</si>
  <si>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</si>
  <si>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</si>
  <si>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</si>
  <si>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</si>
  <si>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</si>
  <si>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</si>
  <si>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</si>
  <si>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</si>
  <si>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</si>
  <si>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</si>
  <si>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</si>
  <si>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</si>
  <si>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</si>
  <si>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</si>
  <si>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</si>
  <si>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</si>
  <si>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</si>
  <si>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</si>
  <si>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</si>
  <si>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</si>
  <si>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</si>
  <si>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</si>
  <si>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</si>
  <si>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</si>
  <si>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</si>
  <si>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</si>
  <si>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</si>
  <si>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</si>
  <si>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</si>
  <si>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</si>
  <si>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</si>
  <si>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</si>
  <si>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</si>
  <si>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</si>
  <si>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</si>
  <si>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</si>
  <si>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</si>
  <si>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</si>
  <si>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</si>
  <si>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</si>
  <si>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</si>
  <si>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</si>
  <si>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</si>
  <si>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</si>
  <si>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</si>
  <si>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</si>
  <si>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</si>
  <si>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</si>
  <si>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</si>
  <si>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</si>
  <si>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</si>
  <si>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</si>
  <si>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</si>
  <si>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</si>
  <si>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</si>
  <si>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</si>
  <si>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</si>
  <si>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</si>
  <si>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</si>
  <si>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</si>
  <si>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</si>
  <si>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</si>
  <si>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</si>
  <si>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</si>
  <si>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</si>
  <si>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</si>
  <si>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</si>
  <si>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</si>
  <si>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</si>
  <si>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</si>
  <si>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</si>
  <si>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</si>
  <si>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</si>
  <si>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</si>
  <si>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</si>
  <si>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</si>
  <si>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</si>
  <si>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</si>
  <si>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</si>
  <si>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</si>
  <si>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</si>
  <si>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</si>
  <si>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</si>
  <si>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</si>
  <si>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</si>
  <si>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</si>
  <si>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</si>
  <si>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</si>
  <si>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</si>
  <si>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</si>
  <si>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</si>
  <si>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</si>
  <si>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</si>
  <si>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</si>
  <si>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</si>
  <si>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</si>
  <si>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</si>
  <si>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</si>
  <si>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</si>
  <si>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</si>
  <si>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</si>
  <si>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</si>
  <si>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</si>
  <si>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</si>
  <si>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</si>
  <si>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</si>
  <si>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</si>
  <si>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</si>
  <si>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</si>
  <si>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</si>
  <si>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</si>
  <si>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</si>
  <si>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</si>
  <si>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</si>
  <si>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</si>
  <si>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</si>
  <si>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</si>
  <si>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</si>
  <si>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</si>
  <si>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</si>
  <si>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</si>
  <si>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</si>
  <si>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</si>
  <si>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</si>
  <si>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</si>
  <si>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</si>
  <si>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</si>
  <si>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</si>
  <si>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</si>
  <si>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</si>
  <si>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</si>
  <si>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</si>
  <si>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</si>
  <si>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</si>
  <si>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</si>
  <si>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</si>
  <si>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</si>
  <si>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</si>
  <si>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</si>
  <si>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</si>
  <si>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</si>
  <si>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</si>
  <si>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</si>
  <si>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</si>
  <si>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</si>
  <si>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</si>
  <si>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</si>
  <si>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</si>
  <si>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</si>
  <si>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</si>
  <si>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</si>
  <si>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</si>
  <si>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</si>
  <si>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</si>
  <si>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</si>
  <si>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</si>
  <si>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</si>
  <si>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</si>
  <si>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</si>
  <si>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</si>
  <si>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</si>
  <si>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</si>
  <si>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</si>
  <si>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</si>
  <si>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</si>
  <si>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</si>
  <si>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</si>
  <si>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</si>
  <si>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</si>
  <si>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</si>
  <si>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</si>
  <si>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</si>
  <si>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</si>
  <si>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</si>
  <si>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</si>
  <si>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</si>
  <si>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</si>
  <si>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</si>
  <si>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</si>
  <si>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</si>
  <si>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</si>
  <si>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</si>
  <si>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</si>
  <si>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</si>
  <si>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</si>
  <si>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</si>
  <si>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</si>
  <si>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</si>
  <si>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</si>
  <si>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</si>
  <si>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</si>
  <si>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</si>
  <si>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</si>
  <si>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</si>
  <si>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</si>
  <si>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</si>
  <si>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</si>
  <si>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</si>
  <si>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</si>
  <si>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</si>
  <si>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</si>
  <si>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</si>
  <si>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</si>
  <si>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</si>
  <si>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</si>
  <si>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</si>
  <si>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</si>
  <si>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</si>
  <si>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</si>
  <si>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</si>
  <si>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</si>
  <si>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</si>
  <si>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</si>
  <si>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</si>
  <si>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</si>
  <si>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</si>
  <si>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</si>
  <si>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</si>
  <si>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</si>
  <si>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</si>
  <si>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</si>
  <si>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</si>
  <si>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</si>
  <si>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</si>
  <si>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</si>
  <si>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</si>
  <si>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</si>
  <si>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</si>
  <si>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</si>
  <si>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</si>
  <si>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</si>
  <si>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</si>
  <si>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</si>
  <si>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</si>
  <si>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</si>
  <si>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</si>
  <si>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</si>
  <si>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</si>
  <si>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</si>
  <si>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</si>
  <si>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</si>
  <si>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</si>
  <si>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</si>
  <si>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</si>
  <si>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</si>
  <si>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</si>
  <si>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</si>
  <si>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</si>
  <si>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</si>
  <si>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</si>
  <si>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</si>
  <si>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</si>
  <si>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</si>
  <si>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</si>
  <si>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</si>
  <si>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</si>
  <si>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</si>
  <si>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</si>
  <si>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</si>
  <si>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</si>
  <si>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</si>
  <si>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</si>
  <si>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</si>
  <si>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</si>
  <si>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</si>
  <si>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</si>
  <si>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</si>
  <si>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</si>
  <si>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</si>
  <si>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</si>
  <si>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</si>
  <si>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</si>
  <si>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</si>
  <si>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</si>
  <si>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</si>
  <si>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</si>
  <si>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</si>
  <si>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</si>
  <si>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</si>
  <si>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</si>
  <si>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</si>
  <si>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</si>
  <si>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</si>
  <si>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</si>
  <si>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</si>
  <si>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</si>
  <si>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</si>
  <si>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</si>
  <si>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</si>
  <si>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</si>
  <si>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</si>
  <si>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</si>
  <si>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</si>
  <si>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</si>
  <si>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</si>
  <si>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</si>
  <si>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</si>
  <si>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</si>
  <si>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</si>
  <si>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</si>
  <si>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</si>
  <si>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</si>
  <si>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</si>
  <si>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</si>
  <si>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</si>
  <si>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</si>
  <si>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</si>
  <si>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</si>
  <si>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</si>
  <si>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</si>
  <si>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</si>
  <si>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</si>
  <si>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</si>
  <si>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</si>
  <si>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</si>
  <si>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</si>
  <si>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</si>
  <si>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</si>
  <si>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</si>
  <si>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</si>
  <si>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</si>
  <si>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</si>
  <si>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</si>
  <si>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</si>
  <si>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</si>
  <si>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</si>
  <si>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</si>
  <si>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</si>
  <si>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</si>
  <si>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</si>
  <si>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</si>
  <si>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</si>
  <si>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</si>
  <si>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</si>
  <si>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</si>
  <si>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</si>
  <si>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</si>
  <si>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</si>
  <si>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</si>
  <si>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</si>
  <si>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</si>
  <si>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</si>
  <si>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</si>
  <si>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</si>
  <si>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</si>
  <si>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</si>
  <si>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</si>
  <si>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</si>
  <si>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</si>
  <si>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</si>
  <si>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</si>
  <si>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</si>
  <si>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</si>
  <si>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</si>
  <si>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</si>
  <si>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</si>
  <si>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</si>
  <si>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</si>
  <si>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</si>
  <si>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</si>
  <si>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</si>
  <si>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</si>
  <si>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</si>
  <si>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</si>
  <si>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</si>
  <si>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</si>
  <si>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</si>
  <si>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</si>
  <si>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</si>
  <si>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</si>
  <si>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</si>
  <si>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</si>
  <si>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</si>
  <si>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</si>
  <si>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</si>
  <si>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</si>
  <si>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</si>
  <si>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</si>
  <si>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</si>
  <si>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</si>
  <si>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</si>
  <si>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</si>
  <si>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</si>
  <si>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</si>
  <si>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</si>
  <si>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</si>
  <si>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</si>
  <si>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</si>
  <si>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</si>
  <si>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</si>
  <si>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</si>
  <si>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</si>
  <si>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</si>
  <si>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</si>
  <si>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</si>
  <si>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</si>
  <si>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</si>
  <si>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</si>
  <si>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</si>
  <si>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</si>
  <si>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</si>
  <si>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</si>
  <si>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</si>
  <si>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</si>
  <si>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</si>
  <si>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</si>
  <si>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</si>
  <si>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</si>
  <si>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</si>
  <si>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</si>
  <si>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</si>
  <si>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</si>
  <si>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</si>
  <si>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</si>
  <si>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</si>
  <si>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</si>
  <si>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</si>
  <si>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</si>
  <si>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</si>
  <si>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</si>
  <si>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</si>
  <si>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</si>
  <si>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</si>
  <si>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</si>
  <si>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</si>
  <si>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</si>
  <si>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</si>
  <si>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</si>
  <si>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</si>
  <si>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</si>
  <si>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</si>
  <si>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</si>
  <si>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</si>
  <si>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</si>
  <si>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</si>
  <si>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</si>
  <si>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</si>
  <si>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</si>
  <si>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</si>
  <si>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</si>
  <si>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</si>
  <si>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</si>
  <si>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</si>
  <si>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</si>
  <si>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</si>
  <si>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</si>
  <si>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</si>
  <si>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</si>
  <si>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</si>
  <si>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</si>
  <si>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</si>
  <si>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</si>
  <si>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</si>
  <si>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</si>
  <si>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</si>
  <si>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</si>
  <si>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</si>
  <si>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</si>
  <si>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</si>
  <si>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</si>
  <si>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</si>
  <si>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</si>
  <si>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</si>
  <si>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</si>
  <si>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</si>
  <si>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</si>
  <si>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</si>
  <si>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</si>
  <si>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</si>
  <si>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</si>
  <si>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</si>
  <si>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</si>
  <si>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</si>
  <si>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</si>
  <si>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</si>
  <si>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</si>
  <si>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</si>
  <si>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</si>
  <si>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</si>
  <si>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</si>
  <si>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</si>
  <si>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</si>
  <si>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</si>
  <si>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</si>
  <si>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</si>
  <si>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</si>
  <si>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</si>
  <si>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</si>
  <si>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</si>
  <si>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</si>
  <si>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</si>
  <si>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</si>
  <si>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</si>
  <si>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</si>
  <si>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</si>
  <si>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</si>
  <si>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</si>
  <si>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</si>
  <si>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</si>
  <si>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</si>
  <si>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</si>
  <si>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</si>
  <si>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</si>
  <si>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</si>
  <si>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</si>
  <si>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</si>
  <si>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</si>
  <si>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</si>
  <si>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</si>
  <si>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</si>
  <si>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</si>
  <si>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</si>
  <si>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</si>
  <si>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</si>
  <si>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</si>
  <si>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</si>
  <si>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</si>
  <si>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</si>
  <si>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</si>
  <si>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</si>
  <si>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</si>
  <si>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</si>
  <si>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</si>
  <si>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</si>
  <si>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</si>
  <si>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</si>
  <si>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</si>
  <si>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</si>
  <si>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</si>
  <si>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</si>
  <si>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</si>
  <si>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</si>
  <si>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</si>
  <si>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</si>
  <si>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</si>
  <si>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</si>
  <si>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</si>
  <si>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</si>
  <si>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</si>
  <si>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</si>
  <si>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</si>
  <si>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</si>
  <si>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</si>
  <si>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</si>
  <si>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</si>
  <si>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</si>
  <si>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</si>
  <si>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</si>
  <si>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</si>
  <si>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</si>
  <si>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</si>
  <si>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</si>
  <si>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</si>
  <si>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</si>
  <si>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</si>
  <si>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</si>
  <si>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</si>
  <si>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</si>
  <si>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</si>
  <si>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</si>
  <si>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</si>
  <si>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</si>
  <si>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</si>
  <si>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</si>
  <si>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</si>
  <si>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</si>
  <si>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</si>
  <si>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</si>
  <si>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</si>
  <si>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</si>
  <si>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</si>
  <si>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</si>
  <si>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</si>
  <si>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</si>
  <si>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</si>
  <si>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</si>
  <si>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</si>
  <si>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</si>
  <si>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</si>
  <si>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</si>
  <si>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</si>
  <si>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</si>
  <si>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</si>
  <si>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</si>
  <si>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</si>
  <si>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</si>
  <si>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</si>
  <si>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</si>
  <si>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</si>
  <si>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</si>
  <si>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</si>
  <si>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</si>
  <si>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</si>
  <si>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</si>
  <si>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</si>
  <si>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</si>
  <si>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</si>
  <si>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</si>
  <si>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</si>
  <si>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</si>
  <si>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</si>
  <si>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</si>
  <si>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</si>
  <si>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</si>
  <si>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</si>
  <si>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</si>
  <si>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</si>
  <si>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</si>
  <si>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</si>
  <si>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</si>
  <si>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</si>
  <si>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</si>
  <si>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</si>
  <si>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</si>
  <si>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</si>
  <si>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</si>
  <si>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</si>
  <si>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</si>
  <si>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</si>
  <si>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</si>
  <si>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</si>
  <si>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</si>
  <si>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</si>
  <si>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</si>
  <si>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</si>
  <si>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</si>
  <si>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</si>
  <si>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</si>
  <si>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</si>
  <si>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</si>
  <si>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</si>
  <si>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</si>
  <si>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</si>
  <si>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</si>
  <si>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</si>
  <si>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</si>
  <si>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</si>
  <si>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</si>
  <si>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</si>
  <si>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</si>
  <si>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</si>
  <si>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</si>
  <si>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</si>
  <si>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</si>
  <si>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</si>
  <si>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</si>
  <si>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</si>
  <si>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</si>
  <si>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</si>
  <si>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</si>
  <si>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</si>
  <si>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</si>
  <si>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</si>
  <si>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</si>
  <si>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</si>
  <si>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</si>
  <si>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</si>
  <si>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</si>
  <si>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</si>
  <si>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</si>
  <si>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</si>
  <si>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</si>
  <si>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</si>
  <si>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</si>
  <si>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</si>
  <si>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</si>
  <si>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</si>
  <si>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</si>
  <si>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</si>
  <si>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</si>
  <si>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</si>
  <si>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</si>
  <si>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</si>
  <si>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</si>
  <si>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</si>
  <si>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</si>
  <si>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</si>
  <si>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</si>
  <si>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</si>
  <si>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</si>
  <si>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</si>
  <si>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</si>
  <si>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</si>
  <si>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</si>
  <si>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</si>
  <si>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</si>
  <si>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</si>
  <si>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</si>
  <si>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</si>
  <si>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</si>
  <si>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</si>
  <si>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</si>
  <si>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</si>
  <si>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</si>
  <si>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</si>
  <si>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</si>
  <si>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</si>
  <si>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</si>
  <si>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</si>
  <si>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</si>
  <si>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</si>
  <si>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</si>
  <si>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</si>
  <si>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</si>
  <si>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</si>
  <si>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</si>
  <si>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</si>
  <si>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</si>
  <si>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</si>
  <si>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</si>
  <si>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</si>
  <si>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</si>
  <si>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</si>
  <si>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</si>
  <si>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</si>
  <si>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</si>
  <si>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</si>
  <si>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</si>
  <si>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</si>
  <si>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</si>
  <si>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</si>
  <si>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</si>
  <si>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</si>
  <si>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</si>
  <si>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</si>
  <si>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</si>
  <si>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</si>
  <si>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</si>
  <si>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</si>
  <si>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</si>
  <si>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</si>
  <si>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</si>
  <si>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</si>
  <si>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</si>
  <si>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</si>
  <si>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</si>
  <si>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</si>
  <si>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</si>
  <si>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</si>
  <si>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</si>
  <si>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</si>
  <si>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</si>
  <si>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</si>
  <si>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</si>
  <si>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</si>
  <si>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</si>
  <si>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</si>
  <si>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</si>
  <si>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</si>
  <si>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</si>
  <si>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</si>
  <si>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</si>
  <si>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</si>
  <si>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</si>
  <si>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</si>
  <si>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</si>
  <si>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</si>
  <si>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</si>
  <si>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</si>
  <si>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</si>
  <si>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</si>
  <si>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</si>
  <si>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</si>
  <si>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</si>
  <si>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</si>
  <si>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</si>
  <si>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</si>
  <si>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</si>
  <si>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</si>
  <si>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</si>
  <si>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</si>
  <si>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</si>
  <si>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</si>
  <si>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</si>
  <si>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</si>
  <si>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</si>
  <si>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</si>
  <si>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</si>
  <si>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</si>
  <si>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</si>
  <si>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</si>
  <si>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</si>
  <si>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</si>
  <si>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</si>
  <si>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</si>
  <si>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</si>
  <si>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</si>
  <si>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</si>
  <si>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</si>
  <si>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</si>
  <si>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</si>
  <si>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</si>
  <si>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</si>
  <si>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</si>
  <si>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</si>
  <si>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</si>
  <si>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</si>
  <si>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</si>
  <si>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</si>
  <si>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</si>
  <si>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</si>
  <si>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</si>
  <si>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</si>
  <si>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</si>
  <si>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</si>
  <si>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</si>
  <si>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</si>
  <si>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</si>
  <si>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</si>
  <si>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</si>
  <si>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</si>
  <si>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</si>
  <si>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</si>
  <si>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</si>
  <si>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</si>
  <si>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</si>
  <si>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</si>
  <si>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</si>
  <si>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</si>
  <si>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</si>
  <si>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</si>
  <si>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</si>
  <si>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</si>
  <si>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</si>
  <si>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</si>
  <si>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</si>
  <si>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</si>
  <si>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</si>
  <si>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</si>
  <si>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</si>
  <si>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</si>
  <si>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</si>
  <si>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</si>
  <si>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</si>
  <si>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</si>
  <si>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</si>
  <si>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</si>
  <si>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</si>
  <si>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</si>
  <si>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</si>
  <si>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</si>
  <si>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</si>
  <si>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</si>
  <si>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</si>
  <si>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</si>
  <si>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</si>
  <si>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</si>
  <si>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</si>
  <si>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</si>
  <si>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</si>
  <si>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</si>
  <si>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</si>
  <si>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</si>
  <si>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</si>
  <si>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</si>
  <si>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</si>
  <si>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</si>
  <si>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</si>
  <si>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</si>
  <si>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</si>
  <si>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</si>
  <si>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</si>
  <si>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</si>
  <si>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</si>
  <si>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</si>
  <si>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</si>
  <si>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</si>
  <si>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</si>
  <si>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</si>
  <si>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</si>
  <si>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</si>
  <si>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</si>
  <si>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</si>
  <si>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</si>
  <si>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</si>
  <si>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</si>
  <si>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</si>
  <si>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</si>
  <si>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</si>
  <si>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</si>
  <si>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</si>
  <si>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</si>
  <si>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</si>
  <si>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</si>
  <si>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</si>
  <si>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</si>
  <si>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</si>
  <si>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</si>
  <si>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</si>
  <si>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</si>
  <si>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</si>
  <si>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</si>
  <si>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</si>
  <si>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</si>
  <si>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</si>
  <si>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</si>
  <si>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</si>
  <si>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</si>
  <si>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</si>
  <si>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</si>
  <si>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</si>
  <si>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</si>
  <si>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</si>
  <si>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</si>
  <si>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</si>
  <si>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</si>
  <si>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</si>
  <si>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</si>
  <si>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</si>
  <si>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</si>
  <si>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</si>
  <si>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</si>
  <si>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</si>
  <si>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</si>
  <si>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</si>
  <si>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</si>
  <si>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</si>
  <si>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</si>
  <si>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</si>
  <si>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</si>
  <si>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</si>
  <si>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</si>
  <si>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</si>
  <si>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</si>
  <si>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</si>
  <si>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</si>
  <si>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</si>
  <si>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</si>
  <si>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</si>
  <si>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</si>
  <si>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</si>
  <si>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</si>
  <si>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</si>
  <si>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</si>
  <si>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</si>
  <si>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</si>
  <si>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</si>
  <si>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</si>
  <si>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</si>
  <si>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</si>
  <si>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</si>
  <si>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</si>
  <si>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</si>
  <si>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</si>
  <si>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</si>
  <si>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</si>
  <si>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</si>
  <si>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</si>
  <si>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</si>
  <si>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</si>
  <si>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</si>
  <si>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</si>
  <si>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</si>
  <si>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</si>
  <si>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</si>
  <si>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</si>
  <si>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</si>
  <si>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</si>
  <si>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</si>
  <si>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</si>
  <si>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</si>
  <si>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</si>
  <si>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</si>
  <si>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</si>
  <si>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</si>
  <si>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</si>
  <si>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</si>
  <si>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</si>
  <si>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</si>
  <si>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</si>
  <si>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</si>
  <si>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</si>
  <si>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</si>
  <si>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</si>
  <si>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</si>
  <si>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</si>
  <si>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</si>
  <si>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</si>
  <si>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</si>
  <si>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</si>
  <si>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</si>
  <si>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</si>
  <si>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</si>
  <si>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</si>
  <si>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</si>
  <si>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</si>
  <si>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</si>
  <si>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</si>
  <si>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</si>
  <si>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</si>
  <si>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</si>
  <si>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</si>
  <si>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</si>
  <si>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</si>
  <si>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</si>
  <si>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</si>
  <si>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</si>
  <si>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</si>
  <si>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</si>
  <si>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</si>
  <si>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</si>
  <si>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</si>
  <si>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</si>
  <si>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</si>
  <si>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</si>
  <si>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</si>
  <si>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</si>
  <si>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</si>
  <si>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</si>
  <si>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</si>
  <si>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</si>
  <si>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</si>
  <si>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</si>
  <si>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</si>
  <si>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</si>
  <si>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</si>
  <si>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</si>
  <si>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</si>
  <si>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</si>
  <si>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</si>
  <si>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</si>
  <si>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</si>
  <si>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</si>
  <si>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</si>
  <si>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</si>
  <si>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</si>
  <si>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</si>
  <si>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</si>
  <si>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</si>
  <si>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</si>
  <si>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</si>
  <si>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</si>
  <si>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</si>
  <si>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</si>
  <si>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</si>
  <si>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</si>
  <si>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</si>
  <si>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</si>
  <si>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</si>
  <si>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</si>
  <si>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</si>
  <si>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</si>
  <si>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</si>
  <si>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</si>
  <si>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</si>
  <si>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</si>
  <si>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</si>
  <si>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</si>
  <si>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</si>
  <si>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</si>
  <si>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</si>
  <si>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</si>
  <si>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</si>
  <si>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</si>
  <si>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</si>
  <si>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</si>
  <si>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</si>
  <si>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</si>
  <si>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</si>
  <si>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</si>
  <si>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</si>
  <si>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</si>
  <si>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</si>
  <si>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</si>
  <si>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</si>
  <si>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</si>
  <si>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</si>
  <si>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</si>
  <si>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</si>
  <si>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</si>
  <si>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</si>
  <si>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</si>
  <si>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</si>
  <si>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</si>
  <si>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</si>
  <si>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</si>
  <si>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</si>
  <si>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</si>
  <si>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</si>
  <si>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</si>
  <si>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</si>
  <si>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</si>
  <si>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</si>
  <si>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</si>
  <si>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</si>
  <si>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</si>
  <si>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</si>
  <si>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</si>
  <si>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</si>
  <si>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</si>
  <si>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</si>
  <si>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</si>
  <si>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</si>
  <si>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</si>
  <si>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</si>
  <si>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</si>
  <si>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</si>
  <si>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</si>
  <si>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</si>
  <si>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</si>
  <si>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</si>
  <si>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</si>
  <si>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</si>
  <si>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</si>
  <si>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</si>
  <si>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</si>
  <si>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</si>
  <si>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</si>
  <si>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</si>
  <si>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</si>
  <si>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</si>
  <si>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</si>
  <si>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</si>
  <si>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</si>
  <si>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</si>
  <si>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</si>
  <si>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</si>
  <si>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</si>
  <si>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</si>
  <si>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</si>
  <si>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</si>
  <si>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</si>
  <si>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</si>
  <si>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</si>
  <si>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</si>
  <si>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</si>
  <si>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</si>
  <si>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</si>
  <si>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</si>
  <si>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</si>
  <si>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</si>
  <si>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</si>
  <si>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</si>
  <si>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</si>
  <si>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</si>
  <si>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</si>
  <si>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</si>
  <si>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</si>
  <si>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</si>
  <si>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</si>
  <si>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</si>
  <si>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</si>
  <si>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</si>
  <si>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</si>
  <si>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</si>
  <si>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</si>
  <si>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</si>
  <si>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</si>
  <si>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</si>
  <si>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</si>
  <si>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</si>
  <si>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</si>
  <si>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</si>
  <si>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</si>
  <si>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</si>
  <si>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</si>
  <si>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</si>
  <si>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</si>
  <si>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</si>
  <si>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</si>
  <si>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</si>
  <si>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</si>
  <si>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</si>
  <si>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</si>
  <si>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</si>
  <si>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</si>
  <si>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</si>
  <si>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</si>
  <si>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</si>
  <si>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</si>
  <si>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</si>
  <si>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</si>
  <si>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</si>
  <si>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</si>
  <si>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</si>
  <si>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</si>
  <si>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</si>
  <si>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</si>
  <si>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</si>
  <si>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</si>
  <si>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</si>
  <si>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</si>
  <si>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</si>
  <si>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</si>
  <si>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</si>
  <si>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</si>
  <si>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</si>
  <si>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</si>
  <si>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</si>
  <si>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</si>
  <si>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</si>
  <si>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</si>
  <si>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</si>
  <si>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</si>
  <si>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</si>
  <si>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</si>
  <si>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</si>
  <si>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</si>
  <si>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</si>
  <si>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</si>
  <si>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</si>
  <si>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</si>
  <si>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</si>
  <si>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</si>
  <si>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</si>
  <si>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</si>
  <si>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</si>
  <si>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</si>
  <si>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</si>
  <si>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</si>
  <si>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</si>
  <si>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</si>
  <si>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</si>
  <si>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</si>
  <si>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</si>
  <si>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</si>
  <si>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</si>
  <si>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</si>
  <si>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</si>
  <si>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</si>
  <si>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</si>
  <si>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</si>
  <si>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</si>
  <si>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</si>
  <si>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</si>
  <si>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</si>
  <si>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</si>
  <si>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</si>
  <si>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</si>
  <si>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</si>
  <si>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</si>
  <si>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</si>
  <si>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</si>
  <si>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</si>
  <si>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</si>
  <si>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</si>
  <si>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</si>
  <si>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</si>
  <si>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</si>
  <si>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</si>
  <si>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</si>
  <si>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</si>
  <si>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</si>
  <si>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</si>
  <si>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</si>
  <si>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</si>
  <si>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</si>
  <si>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</si>
  <si>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</si>
  <si>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</si>
  <si>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</si>
  <si>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</si>
  <si>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</si>
  <si>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</si>
  <si>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</si>
  <si>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</si>
  <si>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</si>
  <si>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</si>
  <si>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</si>
  <si>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</si>
  <si>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</si>
  <si>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</si>
  <si>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</si>
  <si>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</si>
  <si>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</si>
  <si>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</si>
  <si>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</si>
  <si>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</si>
  <si>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</si>
  <si>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</si>
  <si>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</si>
  <si>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</si>
  <si>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</si>
  <si>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</si>
  <si>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</si>
  <si>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</si>
  <si>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</si>
  <si>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</si>
  <si>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</si>
  <si>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</si>
  <si>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</si>
  <si>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</si>
  <si>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</si>
  <si>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</si>
  <si>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</si>
  <si>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</si>
  <si>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</si>
  <si>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</si>
  <si>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</si>
  <si>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</si>
  <si>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</si>
  <si>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</si>
  <si>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</si>
  <si>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</si>
  <si>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</si>
  <si>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</si>
  <si>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</si>
  <si>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</si>
  <si>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</si>
  <si>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</si>
  <si>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</si>
  <si>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</si>
  <si>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</si>
  <si>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</si>
  <si>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</si>
  <si>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</si>
  <si>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</si>
  <si>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</si>
  <si>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</si>
  <si>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</si>
  <si>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</si>
  <si>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</si>
  <si>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</si>
  <si>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</si>
  <si>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</si>
  <si>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</si>
  <si>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</si>
  <si>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</si>
  <si>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</si>
  <si>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</si>
  <si>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</si>
  <si>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</si>
  <si>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</si>
  <si>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</si>
  <si>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</si>
  <si>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</si>
  <si>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</si>
  <si>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</si>
  <si>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</si>
  <si>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</si>
  <si>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</si>
  <si>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</si>
  <si>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</si>
  <si>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</si>
  <si>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</si>
  <si>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</si>
  <si>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</si>
  <si>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</si>
  <si>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</si>
  <si>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</si>
  <si>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</si>
  <si>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</si>
  <si>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</si>
  <si>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</si>
  <si>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</si>
  <si>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</si>
  <si>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</si>
  <si>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</si>
  <si>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</si>
  <si>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</si>
  <si>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</si>
  <si>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</si>
  <si>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</si>
  <si>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</si>
  <si>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</si>
  <si>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</si>
  <si>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</si>
  <si>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</si>
  <si>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</si>
  <si>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</si>
  <si>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</si>
  <si>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</si>
  <si>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</si>
  <si>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</si>
  <si>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</si>
  <si>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</si>
  <si>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</si>
  <si>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</si>
  <si>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</si>
  <si>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</si>
  <si>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</si>
  <si>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</si>
  <si>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</si>
  <si>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</si>
  <si>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</si>
  <si>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</si>
  <si>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</si>
  <si>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</si>
  <si>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</si>
  <si>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</si>
  <si>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</si>
  <si>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</si>
  <si>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</si>
  <si>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</si>
  <si>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</si>
  <si>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</si>
  <si>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</si>
  <si>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</si>
  <si>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</si>
  <si>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</si>
  <si>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</si>
  <si>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</si>
  <si>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</si>
  <si>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</si>
  <si>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</si>
  <si>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</si>
  <si>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</si>
  <si>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</si>
  <si>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</si>
  <si>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</si>
  <si>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</si>
  <si>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</si>
  <si>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</si>
  <si>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</si>
  <si>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</si>
  <si>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</si>
  <si>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</si>
  <si>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</si>
  <si>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</si>
  <si>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</si>
  <si>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</si>
  <si>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</si>
  <si>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</si>
  <si>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</si>
  <si>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</si>
  <si>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</si>
  <si>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</si>
  <si>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</si>
  <si>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</si>
  <si>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</si>
  <si>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</si>
  <si>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</si>
  <si>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</si>
  <si>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</si>
  <si>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</si>
  <si>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</si>
  <si>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</si>
  <si>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</si>
  <si>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</si>
  <si>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</si>
  <si>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</si>
  <si>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</si>
  <si>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</si>
  <si>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</si>
  <si>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</si>
  <si>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</si>
  <si>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</si>
  <si>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</si>
  <si>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</si>
  <si>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</si>
  <si>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</si>
  <si>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</si>
  <si>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</si>
  <si>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</si>
  <si>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</si>
  <si>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</si>
  <si>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</si>
  <si>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</si>
  <si>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</si>
  <si>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</si>
  <si>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</si>
  <si>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</si>
  <si>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</si>
  <si>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</si>
  <si>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</si>
  <si>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</si>
  <si>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</si>
  <si>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</si>
  <si>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</si>
  <si>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</si>
  <si>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</si>
  <si>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</si>
  <si>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</si>
  <si>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</si>
  <si>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</si>
  <si>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</si>
  <si>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</si>
  <si>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</si>
  <si>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</si>
  <si>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</si>
  <si>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</si>
  <si>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</si>
  <si>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</si>
  <si>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</si>
  <si>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</si>
  <si>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</si>
  <si>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</si>
  <si>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</si>
  <si>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</si>
  <si>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</si>
  <si>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</si>
  <si>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</si>
  <si>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</si>
  <si>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</si>
  <si>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</si>
  <si>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</si>
  <si>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</si>
  <si>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</si>
  <si>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</si>
  <si>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</si>
  <si>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</si>
  <si>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</si>
  <si>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</si>
  <si>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</si>
  <si>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</si>
  <si>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</si>
  <si>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</si>
  <si>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</si>
  <si>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</si>
  <si>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</si>
  <si>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</si>
  <si>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</si>
  <si>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</si>
  <si>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</si>
  <si>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</si>
  <si>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</si>
  <si>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</si>
  <si>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</si>
  <si>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</si>
  <si>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</si>
  <si>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</si>
  <si>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</si>
  <si>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</si>
  <si>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</si>
  <si>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</si>
  <si>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</si>
  <si>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</si>
  <si>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</si>
  <si>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</si>
  <si>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</si>
  <si>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</si>
  <si>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</si>
  <si>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</si>
  <si>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</si>
  <si>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</si>
  <si>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</si>
  <si>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</si>
  <si>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</si>
  <si>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</si>
  <si>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</si>
  <si>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</si>
  <si>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</si>
  <si>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</si>
  <si>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</si>
  <si>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</si>
  <si>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</si>
  <si>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</si>
  <si>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</si>
  <si>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</si>
  <si>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</si>
  <si>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</si>
  <si>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</si>
  <si>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</si>
  <si>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</si>
  <si>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</si>
  <si>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</si>
  <si>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</si>
  <si>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</si>
  <si>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</si>
  <si>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</si>
  <si>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</si>
  <si>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</si>
  <si>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</si>
  <si>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</si>
  <si>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</si>
  <si>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</si>
  <si>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</si>
  <si>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</si>
  <si>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</si>
  <si>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</si>
  <si>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</si>
  <si>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</si>
  <si>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</si>
  <si>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</si>
  <si>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</si>
  <si>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</si>
  <si>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</si>
  <si>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</si>
  <si>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</si>
  <si>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</si>
  <si>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</si>
  <si>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</si>
  <si>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</si>
  <si>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</si>
  <si>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</si>
  <si>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</si>
  <si>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</si>
  <si>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</si>
  <si>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</si>
  <si>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</si>
  <si>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</si>
  <si>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</si>
  <si>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</si>
  <si>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</si>
  <si>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</si>
  <si>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</si>
  <si>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</si>
  <si>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</si>
  <si>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</si>
  <si>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</si>
  <si>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</si>
  <si>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</si>
  <si>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</si>
  <si>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</si>
  <si>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</si>
  <si>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</si>
  <si>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</si>
  <si>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</si>
  <si>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</si>
  <si>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</si>
  <si>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</si>
  <si>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</si>
  <si>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</si>
  <si>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</si>
  <si>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</si>
  <si>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</si>
  <si>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</si>
  <si>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</si>
  <si>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</si>
  <si>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</si>
  <si>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</si>
  <si>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</si>
  <si>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</si>
  <si>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</si>
  <si>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</si>
  <si>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</si>
  <si>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</si>
  <si>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</si>
  <si>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</si>
  <si>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</si>
  <si>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</si>
  <si>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</si>
  <si>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</si>
  <si>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</si>
  <si>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</si>
  <si>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</si>
  <si>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</si>
  <si>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</si>
  <si>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</si>
  <si>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</si>
  <si>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</si>
  <si>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</si>
  <si>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</si>
  <si>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</si>
  <si>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</si>
  <si>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</si>
  <si>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</si>
  <si>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</si>
  <si>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</si>
  <si>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</si>
  <si>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</si>
  <si>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</si>
  <si>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</si>
  <si>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</si>
  <si>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</si>
  <si>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</si>
  <si>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</si>
  <si>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</si>
  <si>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</si>
  <si>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</si>
  <si>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</si>
  <si>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</si>
  <si>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</si>
  <si>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</si>
  <si>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</si>
  <si>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</si>
  <si>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</si>
  <si>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</si>
  <si>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</si>
  <si>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</si>
  <si>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</si>
  <si>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</si>
  <si>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</si>
  <si>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</si>
  <si>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</si>
  <si>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</si>
  <si>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</si>
  <si>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</si>
  <si>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</si>
  <si>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</si>
  <si>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</si>
  <si>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</si>
  <si>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</si>
  <si>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</si>
  <si>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</si>
  <si>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</si>
  <si>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</si>
  <si>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</si>
  <si>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</si>
  <si>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</si>
  <si>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</si>
  <si>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</si>
  <si>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</si>
  <si>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</si>
  <si>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</si>
  <si>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</si>
  <si>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</si>
  <si>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</si>
  <si>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</si>
  <si>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</si>
  <si>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</si>
  <si>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</si>
  <si>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</si>
  <si>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</si>
  <si>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</si>
  <si>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</si>
  <si>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</si>
  <si>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</si>
  <si>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</si>
  <si>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</si>
  <si>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</si>
  <si>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</si>
  <si>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</si>
  <si>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</si>
  <si>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</si>
  <si>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</si>
  <si>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</si>
  <si>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</si>
  <si>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</si>
  <si>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</si>
  <si>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</si>
  <si>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</si>
  <si>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</si>
  <si>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</si>
  <si>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</si>
  <si>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</si>
  <si>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</si>
  <si>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</si>
  <si>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</si>
  <si>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</si>
  <si>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</si>
  <si>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</si>
  <si>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</si>
  <si>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</si>
  <si>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</si>
  <si>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</si>
  <si>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</si>
  <si>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</si>
  <si>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</si>
  <si>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</si>
  <si>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</si>
  <si>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</si>
  <si>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</si>
  <si>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</si>
  <si>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</si>
  <si>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</si>
  <si>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</si>
  <si>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</si>
  <si>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</si>
  <si>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</si>
  <si>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</si>
  <si>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</si>
  <si>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</si>
  <si>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</si>
  <si>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</si>
  <si>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</si>
  <si>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</si>
  <si>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</si>
  <si>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</si>
  <si>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</si>
  <si>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</si>
  <si>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</si>
  <si>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</si>
  <si>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</si>
  <si>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</si>
  <si>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</si>
  <si>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</si>
  <si>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</si>
  <si>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</si>
  <si>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</si>
  <si>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</si>
  <si>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</si>
  <si>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</si>
  <si>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</si>
  <si>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</si>
  <si>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</si>
  <si>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</si>
  <si>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</si>
  <si>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</si>
  <si>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</si>
  <si>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</si>
  <si>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</si>
  <si>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</si>
  <si>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</si>
  <si>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</si>
  <si>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</si>
  <si>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</si>
  <si>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</si>
  <si>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</si>
  <si>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</si>
  <si>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</si>
  <si>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</si>
  <si>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</si>
  <si>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</si>
  <si>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</si>
  <si>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</si>
  <si>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</si>
  <si>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</si>
  <si>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</si>
  <si>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</si>
  <si>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</si>
  <si>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</si>
  <si>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</si>
  <si>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</si>
  <si>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</si>
  <si>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</si>
  <si>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</si>
  <si>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</si>
  <si>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</si>
  <si>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</si>
  <si>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</si>
  <si>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</si>
  <si>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</si>
  <si>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</si>
  <si>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</si>
  <si>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</si>
  <si>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</si>
  <si>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</si>
  <si>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</si>
  <si>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</si>
  <si>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</si>
  <si>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</si>
  <si>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</si>
  <si>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</si>
  <si>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</si>
  <si>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</si>
  <si>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</si>
  <si>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</si>
  <si>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</si>
  <si>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</si>
  <si>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</si>
  <si>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</si>
  <si>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</si>
  <si>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</si>
  <si>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</si>
  <si>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</si>
  <si>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</si>
  <si>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</si>
  <si>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</si>
  <si>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</si>
  <si>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</si>
  <si>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</si>
  <si>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</si>
  <si>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</si>
  <si>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</si>
  <si>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</si>
  <si>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</si>
  <si>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</si>
  <si>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</si>
  <si>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</si>
  <si>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</si>
  <si>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</si>
  <si>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</si>
  <si>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</si>
  <si>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</si>
  <si>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</si>
  <si>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</si>
  <si>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</si>
  <si>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</si>
  <si>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</si>
  <si>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</si>
  <si>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</si>
  <si>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</si>
  <si>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</si>
  <si>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</si>
  <si>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</si>
  <si>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</si>
  <si>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</si>
  <si>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</si>
  <si>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</si>
  <si>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</si>
  <si>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</si>
  <si>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</si>
  <si>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</si>
  <si>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</si>
  <si>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</si>
  <si>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</si>
  <si>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</si>
  <si>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</si>
  <si>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</si>
  <si>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</si>
  <si>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</si>
  <si>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</si>
  <si>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</si>
  <si>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</si>
  <si>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</si>
  <si>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</si>
  <si>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</si>
  <si>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</si>
  <si>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</si>
  <si>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</si>
  <si>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</si>
  <si>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</si>
  <si>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</si>
  <si>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</si>
  <si>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</si>
  <si>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</si>
  <si>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</si>
  <si>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</si>
  <si>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</si>
  <si>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</si>
  <si>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</si>
  <si>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</si>
  <si>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</si>
  <si>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</si>
  <si>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</si>
  <si>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</si>
  <si>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</si>
  <si>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</si>
  <si>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</si>
  <si>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出让合同</t>
    <phoneticPr fontId="233" type="noConversion"/>
  </si>
  <si>
    <t>土地使用权人</t>
    <phoneticPr fontId="233" type="noConversion"/>
  </si>
  <si>
    <t>土地证号</t>
    <phoneticPr fontId="233" type="noConversion"/>
  </si>
  <si>
    <t>坐落</t>
    <phoneticPr fontId="233" type="noConversion"/>
  </si>
  <si>
    <t>地号</t>
    <phoneticPr fontId="233" type="noConversion"/>
  </si>
  <si>
    <t>地类用途</t>
    <phoneticPr fontId="233" type="noConversion"/>
  </si>
  <si>
    <t>使用权面积</t>
    <phoneticPr fontId="233" type="noConversion"/>
  </si>
  <si>
    <t>终止日期</t>
    <phoneticPr fontId="233" type="noConversion"/>
  </si>
  <si>
    <t>容积率</t>
    <phoneticPr fontId="233" type="noConversion"/>
  </si>
  <si>
    <t>建筑密度</t>
    <phoneticPr fontId="233" type="noConversion"/>
  </si>
  <si>
    <t>楼层</t>
    <phoneticPr fontId="233" type="noConversion"/>
  </si>
  <si>
    <t>住宅占比</t>
    <phoneticPr fontId="233" type="noConversion"/>
  </si>
  <si>
    <t>四川德胜集团文化旅游投资发展有限公司</t>
    <phoneticPr fontId="233" type="noConversion"/>
  </si>
  <si>
    <t>商住</t>
    <phoneticPr fontId="233" type="noConversion"/>
  </si>
  <si>
    <t>商业2054/5/23、住宅2084/5/23</t>
    <phoneticPr fontId="233" type="noConversion"/>
  </si>
  <si>
    <t>峨眉山市川主乡顺河村3、6、7组</t>
    <phoneticPr fontId="233" type="noConversion"/>
  </si>
  <si>
    <t>N-23</t>
    <phoneticPr fontId="233" type="noConversion"/>
  </si>
  <si>
    <t>电子监管号：5111812014B00039</t>
    <phoneticPr fontId="233" type="noConversion"/>
  </si>
  <si>
    <t>峨眉国用（2014）第73371号</t>
    <phoneticPr fontId="233" type="noConversion"/>
  </si>
  <si>
    <t>峨眉山市川主乡顺河村4、6组</t>
    <phoneticPr fontId="233" type="noConversion"/>
  </si>
  <si>
    <t>N-24</t>
    <phoneticPr fontId="233" type="noConversion"/>
  </si>
  <si>
    <t>电子监管号：5111812014B00047</t>
    <phoneticPr fontId="233" type="noConversion"/>
  </si>
  <si>
    <t>峨眉国用（2014）第73363号</t>
    <phoneticPr fontId="233" type="noConversion"/>
  </si>
  <si>
    <t>峨眉山市川主乡顺河村四、六组</t>
    <phoneticPr fontId="233" type="noConversion"/>
  </si>
  <si>
    <t>N-25</t>
    <phoneticPr fontId="233" type="noConversion"/>
  </si>
  <si>
    <t>电子监管号：5111812014B00057</t>
    <phoneticPr fontId="233" type="noConversion"/>
  </si>
  <si>
    <t>峨眉国用（2014）第73365号</t>
    <phoneticPr fontId="233" type="noConversion"/>
  </si>
  <si>
    <t>峨眉山市川主乡顺河村四组</t>
    <phoneticPr fontId="233" type="noConversion"/>
  </si>
  <si>
    <t>N-26</t>
    <phoneticPr fontId="233" type="noConversion"/>
  </si>
  <si>
    <t>峨眉山市川主乡顺河村2、3、4、组</t>
    <phoneticPr fontId="233" type="noConversion"/>
  </si>
  <si>
    <t>电子监管号：5111812014B00075</t>
    <phoneticPr fontId="233" type="noConversion"/>
  </si>
  <si>
    <t>峨眉国用（2014）第73367号</t>
    <phoneticPr fontId="233" type="noConversion"/>
  </si>
  <si>
    <t>N-28</t>
    <phoneticPr fontId="233" type="noConversion"/>
  </si>
  <si>
    <t>电子监管号：5111812014B00085</t>
    <phoneticPr fontId="233" type="noConversion"/>
  </si>
  <si>
    <t>峨眉国用（2014）第73366号</t>
    <phoneticPr fontId="233" type="noConversion"/>
  </si>
  <si>
    <t>峨眉山市川主乡顺河村3、4、5、6组、黄湾乡张坝村6组</t>
    <phoneticPr fontId="233" type="noConversion"/>
  </si>
  <si>
    <t>N-29</t>
    <phoneticPr fontId="233" type="noConversion"/>
  </si>
  <si>
    <t>电子监管号：5111812014B00115</t>
    <phoneticPr fontId="233" type="noConversion"/>
  </si>
  <si>
    <t>峨眉国用（2014）第72326号</t>
    <phoneticPr fontId="233" type="noConversion"/>
  </si>
  <si>
    <t>峨眉山市川主乡高河村1、5组、赵河村8组</t>
    <phoneticPr fontId="233" type="noConversion"/>
  </si>
  <si>
    <t>N-32</t>
    <phoneticPr fontId="233" type="noConversion"/>
  </si>
  <si>
    <t>住宅用地（城镇住宅用地）、商服用地（餐饮住宿用地）</t>
    <phoneticPr fontId="233" type="noConversion"/>
  </si>
  <si>
    <t>商业2054/5/24、住宅2084/5/24</t>
    <phoneticPr fontId="233" type="noConversion"/>
  </si>
  <si>
    <t>电子监管号：5111812014B00125</t>
    <phoneticPr fontId="233" type="noConversion"/>
  </si>
  <si>
    <t>四川德胜集团文化旅游投资发展有限公司</t>
    <phoneticPr fontId="233" type="noConversion"/>
  </si>
  <si>
    <t>峨眉国用（2014）第73370号</t>
    <phoneticPr fontId="233" type="noConversion"/>
  </si>
  <si>
    <t>峨眉山市川主乡顺河村2组</t>
    <phoneticPr fontId="233" type="noConversion"/>
  </si>
  <si>
    <t>N-33</t>
    <phoneticPr fontId="233" type="noConversion"/>
  </si>
  <si>
    <t>商住</t>
    <phoneticPr fontId="233" type="noConversion"/>
  </si>
  <si>
    <t>商业2054/5/23、住宅2084/5/23</t>
    <phoneticPr fontId="233" type="noConversion"/>
  </si>
  <si>
    <t>电子监管号：5111812014B00139</t>
    <phoneticPr fontId="233" type="noConversion"/>
  </si>
  <si>
    <t>四川德胜集团文化旅游投资发展有限公司</t>
    <phoneticPr fontId="233" type="noConversion"/>
  </si>
  <si>
    <t>峨眉国用（2014）第73372号</t>
    <phoneticPr fontId="233" type="noConversion"/>
  </si>
  <si>
    <t>峨眉山市川主乡顺河村2、5组、高河村5组</t>
    <phoneticPr fontId="233" type="noConversion"/>
  </si>
  <si>
    <t>N-34</t>
    <phoneticPr fontId="233" type="noConversion"/>
  </si>
  <si>
    <t>商住</t>
    <phoneticPr fontId="233" type="noConversion"/>
  </si>
  <si>
    <t>商业2054/5/23、住宅2084/5/23</t>
    <phoneticPr fontId="233" type="noConversion"/>
  </si>
  <si>
    <t>电子监管号：5111812014B00145</t>
    <phoneticPr fontId="233" type="noConversion"/>
  </si>
  <si>
    <t>峨眉国用（2014）第73364号</t>
    <phoneticPr fontId="233" type="noConversion"/>
  </si>
  <si>
    <t>峨眉山市川主乡顺河村二、五组</t>
    <phoneticPr fontId="233" type="noConversion"/>
  </si>
  <si>
    <t>N-35</t>
    <phoneticPr fontId="233" type="noConversion"/>
  </si>
  <si>
    <t>峨眉山市川主乡顺河村二组</t>
    <phoneticPr fontId="233" type="noConversion"/>
  </si>
  <si>
    <t>电子监管号：5111812016B01324</t>
    <phoneticPr fontId="233" type="noConversion"/>
  </si>
  <si>
    <t>峨眉国用（2016）第86594号</t>
    <phoneticPr fontId="233" type="noConversion"/>
  </si>
  <si>
    <t>N-37</t>
  </si>
  <si>
    <t>住宅（城镇住宅用地）、商服（批发零售用地）</t>
    <phoneticPr fontId="233" type="noConversion"/>
  </si>
  <si>
    <t>商服2056/6/22、住宅2086/6/22</t>
    <phoneticPr fontId="233" type="noConversion"/>
  </si>
  <si>
    <t>≥95%</t>
    <phoneticPr fontId="233" type="noConversion"/>
  </si>
  <si>
    <t>电子监管号：5111812016B01206</t>
    <phoneticPr fontId="233" type="noConversion"/>
  </si>
  <si>
    <t>峨眉国用（2016）第86598号</t>
    <phoneticPr fontId="233" type="noConversion"/>
  </si>
  <si>
    <t>峨眉山市川主乡高河村五组</t>
    <phoneticPr fontId="233" type="noConversion"/>
  </si>
  <si>
    <t>N-39</t>
  </si>
  <si>
    <t>≥51%</t>
    <phoneticPr fontId="233" type="noConversion"/>
  </si>
  <si>
    <t>电子监管号：5111812016B01300</t>
    <phoneticPr fontId="233" type="noConversion"/>
  </si>
  <si>
    <t>峨眉国用（2016）第86596号</t>
    <phoneticPr fontId="233" type="noConversion"/>
  </si>
  <si>
    <t>N-40</t>
  </si>
  <si>
    <t>电子监管号：5111812016B01068</t>
    <phoneticPr fontId="233" type="noConversion"/>
  </si>
  <si>
    <t>峨眉国用（2016）第86599号</t>
    <phoneticPr fontId="233" type="noConversion"/>
  </si>
  <si>
    <t>峨眉山市川主乡高河村五组；顺河村二组</t>
    <phoneticPr fontId="233" type="noConversion"/>
  </si>
  <si>
    <t>N-41</t>
  </si>
  <si>
    <t>峨眉山市川主乡顺河村三、六组</t>
    <phoneticPr fontId="233" type="noConversion"/>
  </si>
  <si>
    <t>N-42</t>
  </si>
  <si>
    <t>电子监管号：5111812016B01298</t>
    <phoneticPr fontId="233" type="noConversion"/>
  </si>
  <si>
    <t>峨眉国用（2016）第86589号</t>
    <phoneticPr fontId="233" type="noConversion"/>
  </si>
  <si>
    <t>N-43</t>
  </si>
  <si>
    <t>电子监管号：5111812016B01160</t>
    <phoneticPr fontId="233" type="noConversion"/>
  </si>
  <si>
    <t>峨眉国用（2016）第86587号</t>
    <phoneticPr fontId="233" type="noConversion"/>
  </si>
  <si>
    <t>峨眉山市川主乡高河村5组</t>
    <phoneticPr fontId="233" type="noConversion"/>
  </si>
  <si>
    <t>N-44</t>
  </si>
  <si>
    <t>电子监管号：5111812016B01264</t>
    <phoneticPr fontId="233" type="noConversion"/>
  </si>
  <si>
    <t>峨眉国用（2016）第86588号</t>
    <phoneticPr fontId="233" type="noConversion"/>
  </si>
  <si>
    <t>峨眉山市川主乡顺河村四组</t>
    <phoneticPr fontId="233" type="noConversion"/>
  </si>
  <si>
    <t>N-45</t>
  </si>
  <si>
    <t>住宅（城镇住宅用地）、商服（住宿餐饮用地）</t>
    <phoneticPr fontId="233" type="noConversion"/>
  </si>
  <si>
    <t>电子监管号：5111812016B01150</t>
    <phoneticPr fontId="233" type="noConversion"/>
  </si>
  <si>
    <t>峨眉国用（2016）第86593号</t>
    <phoneticPr fontId="233" type="noConversion"/>
  </si>
  <si>
    <t>峨眉山市黄湾乡张坝村6组、川主乡顺河村四组</t>
    <phoneticPr fontId="233" type="noConversion"/>
  </si>
  <si>
    <t>N-46</t>
  </si>
  <si>
    <t>四川峨眉山宏远实业有限公司</t>
    <phoneticPr fontId="233" type="noConversion"/>
  </si>
  <si>
    <t>峨眉国用（2012）第57823号</t>
    <phoneticPr fontId="233" type="noConversion"/>
  </si>
  <si>
    <t>峨眉山市峨山镇保宁村</t>
    <phoneticPr fontId="233" type="noConversion"/>
  </si>
  <si>
    <t>L-153-2</t>
    <phoneticPr fontId="233" type="noConversion"/>
  </si>
  <si>
    <t>绿化（兼容商住、旅游服务用地）</t>
    <phoneticPr fontId="233" type="noConversion"/>
  </si>
  <si>
    <t>商服2050-1-15、住宅2080-1-15</t>
    <phoneticPr fontId="233" type="noConversion"/>
  </si>
  <si>
    <t>峨眉国用（2012）第57824号</t>
    <phoneticPr fontId="233" type="noConversion"/>
  </si>
  <si>
    <t>L-153-1</t>
    <phoneticPr fontId="233" type="noConversion"/>
  </si>
  <si>
    <t>商住（兼容旅游服务用地）</t>
    <phoneticPr fontId="233" type="noConversion"/>
  </si>
  <si>
    <t>含住宅用途汇总</t>
    <phoneticPr fontId="233" type="noConversion"/>
  </si>
  <si>
    <t>估价对象</t>
    <phoneticPr fontId="233" type="noConversion"/>
  </si>
  <si>
    <t>小计</t>
    <phoneticPr fontId="233" type="noConversion"/>
  </si>
  <si>
    <t>住宅规划建筑面积</t>
    <phoneticPr fontId="233" type="noConversion"/>
  </si>
  <si>
    <t>商业规划建筑面积</t>
    <phoneticPr fontId="233" type="noConversion"/>
  </si>
  <si>
    <t>总规划建筑面积</t>
    <phoneticPr fontId="233" type="noConversion"/>
  </si>
  <si>
    <t>合计</t>
    <phoneticPr fontId="233" type="noConversion"/>
  </si>
  <si>
    <t>王鹏</t>
  </si>
  <si>
    <t>郑燚</t>
  </si>
  <si>
    <t>四川德胜集团文化旅游投资发展有限公司</t>
    <phoneticPr fontId="233" type="noConversion"/>
  </si>
  <si>
    <t>四川德胜集团文化旅游投资发展有限公司</t>
    <phoneticPr fontId="6" type="noConversion"/>
  </si>
  <si>
    <t>大业信托</t>
    <phoneticPr fontId="6" type="noConversion"/>
  </si>
  <si>
    <t>四川德胜集团文化旅游投资发展有限公司</t>
    <phoneticPr fontId="6" type="noConversion"/>
  </si>
  <si>
    <t>抵押</t>
  </si>
  <si>
    <t>抵押价格</t>
  </si>
  <si>
    <t>其他：</t>
  </si>
  <si>
    <t>四川省峨眉山市</t>
    <phoneticPr fontId="6" type="noConversion"/>
  </si>
  <si>
    <t>峨眉山市川主乡顺河村2、3、6、7组</t>
    <phoneticPr fontId="233" type="noConversion"/>
  </si>
  <si>
    <t>川主乡顺河村3宗住宅、商业</t>
    <phoneticPr fontId="6" type="noConversion"/>
  </si>
  <si>
    <t>企业</t>
  </si>
  <si>
    <t>商住</t>
    <phoneticPr fontId="6" type="noConversion"/>
  </si>
  <si>
    <t>住宅、商业</t>
  </si>
  <si>
    <t>住宅、商业</t>
    <phoneticPr fontId="6" type="noConversion"/>
  </si>
  <si>
    <t>峨眉国用（2014）第73369号</t>
    <phoneticPr fontId="233" type="noConversion"/>
  </si>
  <si>
    <t>峨眉国用（2014）第73373号</t>
    <phoneticPr fontId="233" type="noConversion"/>
  </si>
  <si>
    <t>峨眉国用（2016）第86590号</t>
    <phoneticPr fontId="233" type="noConversion"/>
  </si>
  <si>
    <t>《国有土地使用证》[峨眉国用（2014）第73369、73373、86590号]</t>
  </si>
  <si>
    <t>《国有土地使用证》[峨眉国用（2014）第73369、73373、86590号]</t>
    <phoneticPr fontId="6" type="noConversion"/>
  </si>
  <si>
    <t>电子监管号：5111812014B00011</t>
    <phoneticPr fontId="233" type="noConversion"/>
  </si>
  <si>
    <t>电子监管号：5111812014B00023</t>
    <phoneticPr fontId="233" type="noConversion"/>
  </si>
  <si>
    <t>电子监管号：5111812016B01094</t>
    <phoneticPr fontId="233" type="noConversion"/>
  </si>
  <si>
    <t>《国有建设用地使用权出让合同》[电子监管号：5111812014B00011、5111812014B00023、5111812016B01094]及附件</t>
  </si>
  <si>
    <t>《国有建设用地使用权出让合同》[电子监管号：5111812014B00011、5111812014B00023、5111812016B01094]及附件</t>
    <phoneticPr fontId="6" type="noConversion"/>
  </si>
  <si>
    <t>一致</t>
  </si>
  <si>
    <t>符合</t>
  </si>
  <si>
    <t>出让</t>
  </si>
  <si>
    <t>商业</t>
  </si>
  <si>
    <t>住宅66.4年，商业36.4年</t>
    <phoneticPr fontId="6" type="noConversion"/>
  </si>
  <si>
    <t>否</t>
  </si>
  <si>
    <t>居住项目</t>
  </si>
  <si>
    <t>旅游地产</t>
  </si>
  <si>
    <t>场地未平整</t>
  </si>
  <si>
    <t>平整</t>
  </si>
  <si>
    <t>宗地内有需要移除的树木</t>
    <phoneticPr fontId="6" type="noConversion"/>
  </si>
  <si>
    <t>估价结果未扣除树木移除的费用</t>
    <phoneticPr fontId="6" type="noConversion"/>
  </si>
  <si>
    <t>通路</t>
  </si>
  <si>
    <t>通电</t>
  </si>
  <si>
    <t>通讯</t>
  </si>
  <si>
    <t>通上水</t>
  </si>
  <si>
    <t>通下水</t>
  </si>
  <si>
    <t>地上</t>
  </si>
  <si>
    <t>底商</t>
  </si>
  <si>
    <t>商业</t>
    <phoneticPr fontId="7" type="noConversion"/>
  </si>
  <si>
    <t>普通住宅</t>
  </si>
  <si>
    <t>洋房</t>
  </si>
  <si>
    <t>联排</t>
  </si>
  <si>
    <t>独栋</t>
  </si>
  <si>
    <t>洋房</t>
    <phoneticPr fontId="7" type="noConversion"/>
  </si>
  <si>
    <t>小高层</t>
    <phoneticPr fontId="7" type="noConversion"/>
  </si>
  <si>
    <t>联排</t>
    <phoneticPr fontId="7" type="noConversion"/>
  </si>
  <si>
    <t>独栋</t>
    <phoneticPr fontId="7" type="noConversion"/>
  </si>
  <si>
    <t>不动产收益法</t>
  </si>
  <si>
    <t>请录依据文件名称：峨府定〔2009〕57号</t>
    <phoneticPr fontId="3" type="noConversion"/>
  </si>
  <si>
    <t>住宅、商业</t>
    <phoneticPr fontId="26" type="noConversion"/>
  </si>
  <si>
    <t>正常</t>
  </si>
  <si>
    <t>其他普通商品住房用地</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</si>
  <si>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</si>
  <si>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一般</t>
  </si>
  <si>
    <t>较差</t>
  </si>
  <si>
    <t>较好</t>
  </si>
  <si>
    <t>好</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</si>
  <si>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</si>
  <si>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</si>
  <si>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</si>
  <si>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</si>
  <si>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</si>
  <si>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</si>
  <si>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村内道路</t>
  </si>
  <si>
    <t>村内道路</t>
    <phoneticPr fontId="26" type="noConversion"/>
  </si>
  <si>
    <t>规则</t>
    <phoneticPr fontId="26" type="noConversion"/>
  </si>
  <si>
    <t>较规则</t>
  </si>
  <si>
    <t>较规则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</si>
  <si>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</si>
  <si>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</si>
  <si>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</si>
  <si>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</si>
  <si>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</si>
  <si>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</si>
  <si>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</si>
  <si>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</si>
  <si>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</si>
  <si>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</si>
  <si>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</si>
  <si>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</si>
  <si>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</si>
  <si>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</si>
  <si>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单位面积地价</t>
  </si>
  <si>
    <t>土地</t>
  </si>
  <si>
    <t>比较法-住宅、综合</t>
  </si>
  <si>
    <t>售价</t>
  </si>
  <si>
    <t>住宅</t>
    <phoneticPr fontId="21" type="noConversion"/>
  </si>
  <si>
    <t>60-70（含）</t>
  </si>
  <si>
    <t>村内道路</t>
    <phoneticPr fontId="21" type="noConversion"/>
  </si>
  <si>
    <t>主干道</t>
    <phoneticPr fontId="21" type="noConversion"/>
  </si>
  <si>
    <t>独栋别墅</t>
    <phoneticPr fontId="21" type="noConversion"/>
  </si>
  <si>
    <t>联排别墅</t>
    <phoneticPr fontId="21" type="noConversion"/>
  </si>
  <si>
    <t>叠拼别墅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</si>
  <si>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</si>
  <si>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</si>
  <si>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</si>
  <si>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</si>
  <si>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</si>
  <si>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</si>
  <si>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</si>
  <si>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</si>
  <si>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</si>
  <si>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</si>
  <si>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</si>
  <si>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</si>
  <si>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</si>
  <si>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</si>
  <si>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</si>
  <si>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</si>
  <si>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</si>
  <si>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</si>
  <si>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</si>
  <si>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</si>
  <si>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</si>
  <si>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押一</t>
  </si>
  <si>
    <t>土地（套用方法）</t>
  </si>
  <si>
    <t>剩余法-待开发</t>
  </si>
  <si>
    <t>项目局部</t>
  </si>
  <si>
    <t>0-10%</t>
    <phoneticPr fontId="26" type="noConversion"/>
  </si>
  <si>
    <t>10%-30%</t>
    <phoneticPr fontId="26" type="noConversion"/>
  </si>
  <si>
    <t>30%-50%</t>
    <phoneticPr fontId="26" type="noConversion"/>
  </si>
  <si>
    <t>50%-80%</t>
    <phoneticPr fontId="26" type="noConversion"/>
  </si>
  <si>
    <t>80%-100%</t>
    <phoneticPr fontId="26" type="noConversion"/>
  </si>
  <si>
    <t>0-10%</t>
    <phoneticPr fontId="26" type="noConversion"/>
  </si>
  <si>
    <t>洋房</t>
    <phoneticPr fontId="21" type="noConversion"/>
  </si>
  <si>
    <t>小高层住宅</t>
    <phoneticPr fontId="21" type="noConversion"/>
  </si>
  <si>
    <t>高层住宅</t>
    <phoneticPr fontId="21" type="noConversion"/>
  </si>
  <si>
    <t>九宾·湿地</t>
    <phoneticPr fontId="3" type="noConversion"/>
  </si>
  <si>
    <t>峨眉山与湖</t>
    <phoneticPr fontId="3" type="noConversion"/>
  </si>
  <si>
    <t>峨眉山市符溪镇</t>
    <phoneticPr fontId="3" type="noConversion"/>
  </si>
  <si>
    <t>峨眉山市峨眉山风景区（报国寺旁）</t>
    <phoneticPr fontId="3" type="noConversion"/>
  </si>
  <si>
    <t>峨眉山市名山南路天下名山牌坊对面</t>
    <phoneticPr fontId="3" type="noConversion"/>
  </si>
  <si>
    <t>山水峨眉</t>
    <phoneticPr fontId="3" type="noConversion"/>
  </si>
  <si>
    <t>次干道</t>
    <phoneticPr fontId="21" type="noConversion"/>
  </si>
  <si>
    <t>峨府发〔2008〕23号 峨眉山市人民政府关于调整城镇土地使用税税额标准的通告</t>
    <phoneticPr fontId="3" type="noConversion"/>
  </si>
  <si>
    <t>估价对象</t>
  </si>
  <si>
    <t>土地证号</t>
  </si>
  <si>
    <t>地号</t>
  </si>
  <si>
    <t>使用权面积</t>
  </si>
  <si>
    <t>总规划建筑面积</t>
  </si>
  <si>
    <t>住宅规划建筑面积</t>
  </si>
  <si>
    <t>商业规划建筑面积</t>
  </si>
  <si>
    <t>N-22</t>
  </si>
  <si>
    <t>N-23</t>
  </si>
  <si>
    <r>
      <t>峨眉国用（</t>
    </r>
    <r>
      <rPr>
        <sz val="9"/>
        <color theme="1"/>
        <rFont val="Arial"/>
        <family val="2"/>
      </rPr>
      <t>2014</t>
    </r>
    <r>
      <rPr>
        <sz val="9"/>
        <color theme="1"/>
        <rFont val="仿宋_GB2312"/>
        <family val="3"/>
        <charset val="134"/>
      </rPr>
      <t>）第</t>
    </r>
    <r>
      <rPr>
        <sz val="9"/>
        <color theme="1"/>
        <rFont val="Arial"/>
        <family val="2"/>
      </rPr>
      <t>72326</t>
    </r>
    <r>
      <rPr>
        <sz val="9"/>
        <color theme="1"/>
        <rFont val="仿宋_GB2312"/>
        <family val="3"/>
        <charset val="134"/>
      </rPr>
      <t>号</t>
    </r>
  </si>
  <si>
    <t>N-32</t>
  </si>
  <si>
    <r>
      <t>峨眉国用（</t>
    </r>
    <r>
      <rPr>
        <sz val="9"/>
        <color theme="1"/>
        <rFont val="Arial"/>
        <family val="2"/>
      </rPr>
      <t>2014</t>
    </r>
    <r>
      <rPr>
        <sz val="9"/>
        <color theme="1"/>
        <rFont val="仿宋_GB2312"/>
        <family val="3"/>
        <charset val="134"/>
      </rPr>
      <t>）第</t>
    </r>
    <r>
      <rPr>
        <sz val="9"/>
        <color theme="1"/>
        <rFont val="Arial"/>
        <family val="2"/>
      </rPr>
      <t>73370</t>
    </r>
    <r>
      <rPr>
        <sz val="9"/>
        <color theme="1"/>
        <rFont val="仿宋_GB2312"/>
        <family val="3"/>
        <charset val="134"/>
      </rPr>
      <t>号</t>
    </r>
  </si>
  <si>
    <t>N-33</t>
  </si>
  <si>
    <r>
      <t>峨眉国用（</t>
    </r>
    <r>
      <rPr>
        <sz val="9"/>
        <color theme="1"/>
        <rFont val="Arial"/>
        <family val="2"/>
      </rPr>
      <t>2014</t>
    </r>
    <r>
      <rPr>
        <sz val="9"/>
        <color theme="1"/>
        <rFont val="仿宋_GB2312"/>
        <family val="3"/>
        <charset val="134"/>
      </rPr>
      <t>）第</t>
    </r>
    <r>
      <rPr>
        <sz val="9"/>
        <color theme="1"/>
        <rFont val="Arial"/>
        <family val="2"/>
      </rPr>
      <t>73372</t>
    </r>
    <r>
      <rPr>
        <sz val="9"/>
        <color theme="1"/>
        <rFont val="仿宋_GB2312"/>
        <family val="3"/>
        <charset val="134"/>
      </rPr>
      <t>号</t>
    </r>
  </si>
  <si>
    <t>N-34</t>
  </si>
  <si>
    <r>
      <t>峨眉国用（</t>
    </r>
    <r>
      <rPr>
        <sz val="9"/>
        <color theme="1"/>
        <rFont val="Arial"/>
        <family val="2"/>
      </rPr>
      <t>2014</t>
    </r>
    <r>
      <rPr>
        <sz val="9"/>
        <color theme="1"/>
        <rFont val="仿宋_GB2312"/>
        <family val="3"/>
        <charset val="134"/>
      </rPr>
      <t>）第</t>
    </r>
    <r>
      <rPr>
        <sz val="9"/>
        <color theme="1"/>
        <rFont val="Arial"/>
        <family val="2"/>
      </rPr>
      <t>73364</t>
    </r>
    <r>
      <rPr>
        <sz val="9"/>
        <color theme="1"/>
        <rFont val="仿宋_GB2312"/>
        <family val="3"/>
        <charset val="134"/>
      </rPr>
      <t>号</t>
    </r>
  </si>
  <si>
    <t>N-35</t>
  </si>
  <si>
    <r>
      <t>峨眉国用（</t>
    </r>
    <r>
      <rPr>
        <sz val="9"/>
        <color theme="1"/>
        <rFont val="Arial"/>
        <family val="2"/>
      </rPr>
      <t>2016</t>
    </r>
    <r>
      <rPr>
        <sz val="9"/>
        <color theme="1"/>
        <rFont val="仿宋_GB2312"/>
        <family val="3"/>
        <charset val="134"/>
      </rPr>
      <t>）第</t>
    </r>
    <r>
      <rPr>
        <sz val="9"/>
        <color theme="1"/>
        <rFont val="Arial"/>
        <family val="2"/>
      </rPr>
      <t>86594</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</si>
  <si>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86599</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</si>
  <si>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86598</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</si>
  <si>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86596</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</si>
  <si>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86589</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</si>
  <si>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86587</t>
    </r>
    <r>
      <rPr>
        <sz val="9"/>
        <color theme="1"/>
        <rFont val="仿宋_GB2312"/>
        <family val="3"/>
        <charset val="134"/>
      </rPr>
      <t>号</t>
    </r>
  </si>
  <si>
    <r>
      <t>峨眉国用（</t>
    </r>
    <r>
      <rPr>
        <sz val="9"/>
        <color theme="1"/>
        <rFont val="Arial"/>
        <family val="2"/>
      </rPr>
      <t>2014</t>
    </r>
    <r>
      <rPr>
        <sz val="9"/>
        <color theme="1"/>
        <rFont val="仿宋_GB2312"/>
        <family val="3"/>
        <charset val="134"/>
      </rPr>
      <t>）第</t>
    </r>
    <r>
      <rPr>
        <sz val="9"/>
        <color theme="1"/>
        <rFont val="Arial"/>
        <family val="2"/>
      </rPr>
      <t>73371</t>
    </r>
    <r>
      <rPr>
        <sz val="9"/>
        <color theme="1"/>
        <rFont val="仿宋_GB2312"/>
        <family val="3"/>
        <charset val="134"/>
      </rPr>
      <t>号</t>
    </r>
  </si>
  <si>
    <t>N-24</t>
  </si>
  <si>
    <r>
      <t>峨眉国用（</t>
    </r>
    <r>
      <rPr>
        <sz val="9"/>
        <color theme="1"/>
        <rFont val="Arial"/>
        <family val="2"/>
      </rPr>
      <t>2014</t>
    </r>
    <r>
      <rPr>
        <sz val="9"/>
        <color theme="1"/>
        <rFont val="仿宋_GB2312"/>
        <family val="3"/>
        <charset val="134"/>
      </rPr>
      <t>）第</t>
    </r>
    <r>
      <rPr>
        <sz val="9"/>
        <color theme="1"/>
        <rFont val="Arial"/>
        <family val="2"/>
      </rPr>
      <t>73367</t>
    </r>
    <r>
      <rPr>
        <sz val="9"/>
        <color theme="1"/>
        <rFont val="仿宋_GB2312"/>
        <family val="3"/>
        <charset val="134"/>
      </rPr>
      <t>号</t>
    </r>
  </si>
  <si>
    <t>N-28</t>
  </si>
  <si>
    <r>
      <t>峨眉国用（</t>
    </r>
    <r>
      <rPr>
        <sz val="9"/>
        <color theme="1"/>
        <rFont val="Arial"/>
        <family val="2"/>
      </rPr>
      <t>2014</t>
    </r>
    <r>
      <rPr>
        <sz val="9"/>
        <color theme="1"/>
        <rFont val="仿宋_GB2312"/>
        <family val="3"/>
        <charset val="134"/>
      </rPr>
      <t>）第</t>
    </r>
    <r>
      <rPr>
        <sz val="9"/>
        <color theme="1"/>
        <rFont val="Arial"/>
        <family val="2"/>
      </rPr>
      <t>73366</t>
    </r>
    <r>
      <rPr>
        <sz val="9"/>
        <color theme="1"/>
        <rFont val="仿宋_GB2312"/>
        <family val="3"/>
        <charset val="134"/>
      </rPr>
      <t>号</t>
    </r>
  </si>
  <si>
    <t>N-29</t>
  </si>
  <si>
    <r>
      <t>峨眉国用（</t>
    </r>
    <r>
      <rPr>
        <sz val="9"/>
        <color theme="1"/>
        <rFont val="Arial"/>
        <family val="2"/>
      </rPr>
      <t>2014</t>
    </r>
    <r>
      <rPr>
        <sz val="9"/>
        <color theme="1"/>
        <rFont val="仿宋_GB2312"/>
        <family val="3"/>
        <charset val="134"/>
      </rPr>
      <t>）第</t>
    </r>
    <r>
      <rPr>
        <sz val="9"/>
        <color theme="1"/>
        <rFont val="Arial"/>
        <family val="2"/>
      </rPr>
      <t>73365</t>
    </r>
    <r>
      <rPr>
        <sz val="9"/>
        <color theme="1"/>
        <rFont val="仿宋_GB2312"/>
        <family val="3"/>
        <charset val="134"/>
      </rPr>
      <t>号</t>
    </r>
  </si>
  <si>
    <t>N-26</t>
  </si>
  <si>
    <r>
      <t>峨眉国用（</t>
    </r>
    <r>
      <rPr>
        <sz val="9"/>
        <color theme="1"/>
        <rFont val="Arial"/>
        <family val="2"/>
      </rPr>
      <t>2016</t>
    </r>
    <r>
      <rPr>
        <sz val="9"/>
        <color theme="1"/>
        <rFont val="仿宋_GB2312"/>
        <family val="3"/>
        <charset val="134"/>
      </rPr>
      <t>）第</t>
    </r>
    <r>
      <rPr>
        <sz val="9"/>
        <color theme="1"/>
        <rFont val="Arial"/>
        <family val="2"/>
      </rPr>
      <t>86588</t>
    </r>
    <r>
      <rPr>
        <sz val="9"/>
        <color theme="1"/>
        <rFont val="仿宋_GB2312"/>
        <family val="3"/>
        <charset val="134"/>
      </rPr>
      <t>号</t>
    </r>
  </si>
  <si>
    <r>
      <t>峨眉国用（</t>
    </r>
    <r>
      <rPr>
        <sz val="9"/>
        <color theme="1"/>
        <rFont val="Arial"/>
        <family val="2"/>
      </rPr>
      <t>2016</t>
    </r>
    <r>
      <rPr>
        <sz val="9"/>
        <color theme="1"/>
        <rFont val="仿宋_GB2312"/>
        <family val="3"/>
        <charset val="134"/>
      </rPr>
      <t>）第</t>
    </r>
    <r>
      <rPr>
        <sz val="9"/>
        <color theme="1"/>
        <rFont val="Arial"/>
        <family val="2"/>
      </rPr>
      <t>86593</t>
    </r>
    <r>
      <rPr>
        <sz val="9"/>
        <color theme="1"/>
        <rFont val="仿宋_GB2312"/>
        <family val="3"/>
        <charset val="134"/>
      </rPr>
      <t>号</t>
    </r>
  </si>
  <si>
    <r>
      <t>峨眉国用（</t>
    </r>
    <r>
      <rPr>
        <sz val="9"/>
        <color theme="1"/>
        <rFont val="Arial"/>
        <family val="2"/>
      </rPr>
      <t>2014</t>
    </r>
    <r>
      <rPr>
        <sz val="9"/>
        <color theme="1"/>
        <rFont val="仿宋_GB2312"/>
        <family val="3"/>
        <charset val="134"/>
      </rPr>
      <t>）第</t>
    </r>
    <r>
      <rPr>
        <sz val="9"/>
        <color theme="1"/>
        <rFont val="Arial"/>
        <family val="2"/>
      </rPr>
      <t>73363</t>
    </r>
    <r>
      <rPr>
        <sz val="9"/>
        <color theme="1"/>
        <rFont val="仿宋_GB2312"/>
        <family val="3"/>
        <charset val="134"/>
      </rPr>
      <t>号</t>
    </r>
  </si>
  <si>
    <t>N-25</t>
  </si>
  <si>
    <r>
      <t>峨眉国用（</t>
    </r>
    <r>
      <rPr>
        <sz val="9"/>
        <color theme="1"/>
        <rFont val="Arial"/>
        <family val="2"/>
      </rPr>
      <t>2014</t>
    </r>
    <r>
      <rPr>
        <sz val="9"/>
        <color theme="1"/>
        <rFont val="仿宋_GB2312"/>
        <family val="3"/>
        <charset val="134"/>
      </rPr>
      <t>）第</t>
    </r>
    <r>
      <rPr>
        <sz val="9"/>
        <color theme="1"/>
        <rFont val="Arial"/>
        <family val="2"/>
      </rPr>
      <t>72327</t>
    </r>
    <r>
      <rPr>
        <sz val="9"/>
        <color theme="1"/>
        <rFont val="仿宋_GB2312"/>
        <family val="3"/>
        <charset val="134"/>
      </rPr>
      <t>号</t>
    </r>
  </si>
  <si>
    <t>N-30</t>
  </si>
  <si>
    <r>
      <t>峨眉国用（</t>
    </r>
    <r>
      <rPr>
        <sz val="9"/>
        <color theme="1"/>
        <rFont val="Arial"/>
        <family val="2"/>
      </rPr>
      <t>2014</t>
    </r>
    <r>
      <rPr>
        <sz val="9"/>
        <color theme="1"/>
        <rFont val="仿宋_GB2312"/>
        <family val="3"/>
        <charset val="134"/>
      </rPr>
      <t>）第</t>
    </r>
    <r>
      <rPr>
        <sz val="9"/>
        <color theme="1"/>
        <rFont val="Arial"/>
        <family val="2"/>
      </rPr>
      <t>72325</t>
    </r>
    <r>
      <rPr>
        <sz val="9"/>
        <color theme="1"/>
        <rFont val="仿宋_GB2312"/>
        <family val="3"/>
        <charset val="134"/>
      </rPr>
      <t>号</t>
    </r>
  </si>
  <si>
    <t>N-31</t>
  </si>
  <si>
    <r>
      <t>峨眉国用（</t>
    </r>
    <r>
      <rPr>
        <sz val="9"/>
        <color theme="1"/>
        <rFont val="Arial"/>
        <family val="2"/>
      </rPr>
      <t>2013</t>
    </r>
    <r>
      <rPr>
        <sz val="9"/>
        <color theme="1"/>
        <rFont val="仿宋_GB2312"/>
        <family val="3"/>
        <charset val="134"/>
      </rPr>
      <t>）第</t>
    </r>
    <r>
      <rPr>
        <sz val="9"/>
        <color theme="1"/>
        <rFont val="Arial"/>
        <family val="2"/>
      </rPr>
      <t>69186</t>
    </r>
    <r>
      <rPr>
        <sz val="9"/>
        <color theme="1"/>
        <rFont val="仿宋_GB2312"/>
        <family val="3"/>
        <charset val="134"/>
      </rPr>
      <t>号</t>
    </r>
  </si>
  <si>
    <t>P-101</t>
  </si>
  <si>
    <r>
      <t>峨眉国用（</t>
    </r>
    <r>
      <rPr>
        <sz val="9"/>
        <color theme="1"/>
        <rFont val="Arial"/>
        <family val="2"/>
      </rPr>
      <t>2013</t>
    </r>
    <r>
      <rPr>
        <sz val="9"/>
        <color theme="1"/>
        <rFont val="仿宋_GB2312"/>
        <family val="3"/>
        <charset val="134"/>
      </rPr>
      <t>）第</t>
    </r>
    <r>
      <rPr>
        <sz val="9"/>
        <color theme="1"/>
        <rFont val="Arial"/>
        <family val="2"/>
      </rPr>
      <t>69187</t>
    </r>
    <r>
      <rPr>
        <sz val="9"/>
        <color theme="1"/>
        <rFont val="仿宋_GB2312"/>
        <family val="3"/>
        <charset val="134"/>
      </rPr>
      <t>号</t>
    </r>
  </si>
  <si>
    <t>P-102</t>
  </si>
  <si>
    <r>
      <t>峨眉国用（</t>
    </r>
    <r>
      <rPr>
        <sz val="9"/>
        <color theme="1"/>
        <rFont val="Arial"/>
        <family val="2"/>
      </rPr>
      <t>2013</t>
    </r>
    <r>
      <rPr>
        <sz val="9"/>
        <color theme="1"/>
        <rFont val="仿宋_GB2312"/>
        <family val="3"/>
        <charset val="134"/>
      </rPr>
      <t>）第</t>
    </r>
    <r>
      <rPr>
        <sz val="9"/>
        <color theme="1"/>
        <rFont val="Arial"/>
        <family val="2"/>
      </rPr>
      <t>69185</t>
    </r>
    <r>
      <rPr>
        <sz val="9"/>
        <color theme="1"/>
        <rFont val="仿宋_GB2312"/>
        <family val="3"/>
        <charset val="134"/>
      </rPr>
      <t>号</t>
    </r>
  </si>
  <si>
    <t>P-103</t>
  </si>
  <si>
    <r>
      <t>峨眉国用（</t>
    </r>
    <r>
      <rPr>
        <sz val="9"/>
        <color theme="1"/>
        <rFont val="Arial"/>
        <family val="2"/>
      </rPr>
      <t>2013</t>
    </r>
    <r>
      <rPr>
        <sz val="9"/>
        <color theme="1"/>
        <rFont val="仿宋_GB2312"/>
        <family val="3"/>
        <charset val="134"/>
      </rPr>
      <t>）第</t>
    </r>
    <r>
      <rPr>
        <sz val="9"/>
        <color theme="1"/>
        <rFont val="Arial"/>
        <family val="2"/>
      </rPr>
      <t>69116</t>
    </r>
    <r>
      <rPr>
        <sz val="9"/>
        <color theme="1"/>
        <rFont val="仿宋_GB2312"/>
        <family val="3"/>
        <charset val="134"/>
      </rPr>
      <t>号</t>
    </r>
  </si>
  <si>
    <t>P-104</t>
  </si>
  <si>
    <r>
      <t>峨眉国用（</t>
    </r>
    <r>
      <rPr>
        <sz val="9"/>
        <color theme="1"/>
        <rFont val="Arial"/>
        <family val="2"/>
      </rPr>
      <t>2013</t>
    </r>
    <r>
      <rPr>
        <sz val="9"/>
        <color theme="1"/>
        <rFont val="仿宋_GB2312"/>
        <family val="3"/>
        <charset val="134"/>
      </rPr>
      <t>）第</t>
    </r>
    <r>
      <rPr>
        <sz val="9"/>
        <color theme="1"/>
        <rFont val="Arial"/>
        <family val="2"/>
      </rPr>
      <t>69114</t>
    </r>
    <r>
      <rPr>
        <sz val="9"/>
        <color theme="1"/>
        <rFont val="仿宋_GB2312"/>
        <family val="3"/>
        <charset val="134"/>
      </rPr>
      <t>号</t>
    </r>
  </si>
  <si>
    <t>P-106</t>
  </si>
  <si>
    <r>
      <t>峨眉国用（</t>
    </r>
    <r>
      <rPr>
        <sz val="9"/>
        <color theme="1"/>
        <rFont val="Arial"/>
        <family val="2"/>
      </rPr>
      <t>2013</t>
    </r>
    <r>
      <rPr>
        <sz val="9"/>
        <color theme="1"/>
        <rFont val="仿宋_GB2312"/>
        <family val="3"/>
        <charset val="134"/>
      </rPr>
      <t>）第</t>
    </r>
    <r>
      <rPr>
        <sz val="9"/>
        <color theme="1"/>
        <rFont val="Arial"/>
        <family val="2"/>
      </rPr>
      <t>67624</t>
    </r>
    <r>
      <rPr>
        <sz val="9"/>
        <color theme="1"/>
        <rFont val="仿宋_GB2312"/>
        <family val="3"/>
        <charset val="134"/>
      </rPr>
      <t>号</t>
    </r>
  </si>
  <si>
    <t>P-109</t>
  </si>
  <si>
    <r>
      <t>峨眉国用（</t>
    </r>
    <r>
      <rPr>
        <sz val="9"/>
        <color theme="1"/>
        <rFont val="Arial"/>
        <family val="2"/>
      </rPr>
      <t>2016</t>
    </r>
    <r>
      <rPr>
        <sz val="9"/>
        <color theme="1"/>
        <rFont val="仿宋_GB2312"/>
        <family val="3"/>
        <charset val="134"/>
      </rPr>
      <t>）第</t>
    </r>
    <r>
      <rPr>
        <sz val="9"/>
        <color theme="1"/>
        <rFont val="Arial"/>
        <family val="2"/>
      </rPr>
      <t>84238</t>
    </r>
    <r>
      <rPr>
        <sz val="9"/>
        <color theme="1"/>
        <rFont val="仿宋_GB2312"/>
        <family val="3"/>
        <charset val="134"/>
      </rPr>
      <t>号</t>
    </r>
  </si>
  <si>
    <t>P-146</t>
  </si>
  <si>
    <r>
      <t>峨眉国用（</t>
    </r>
    <r>
      <rPr>
        <sz val="9"/>
        <color theme="1"/>
        <rFont val="Arial"/>
        <family val="2"/>
      </rPr>
      <t>2016</t>
    </r>
    <r>
      <rPr>
        <sz val="9"/>
        <color theme="1"/>
        <rFont val="仿宋_GB2312"/>
        <family val="3"/>
        <charset val="134"/>
      </rPr>
      <t>）第</t>
    </r>
    <r>
      <rPr>
        <sz val="9"/>
        <color theme="1"/>
        <rFont val="Arial"/>
        <family val="2"/>
      </rPr>
      <t>84236</t>
    </r>
    <r>
      <rPr>
        <sz val="9"/>
        <color theme="1"/>
        <rFont val="仿宋_GB2312"/>
        <family val="3"/>
        <charset val="134"/>
      </rPr>
      <t>号</t>
    </r>
  </si>
  <si>
    <t>P-147</t>
  </si>
  <si>
    <r>
      <t>峨眉国用（</t>
    </r>
    <r>
      <rPr>
        <sz val="9"/>
        <color theme="1"/>
        <rFont val="Arial"/>
        <family val="2"/>
      </rPr>
      <t>2016</t>
    </r>
    <r>
      <rPr>
        <sz val="9"/>
        <color theme="1"/>
        <rFont val="仿宋_GB2312"/>
        <family val="3"/>
        <charset val="134"/>
      </rPr>
      <t>）第</t>
    </r>
    <r>
      <rPr>
        <sz val="9"/>
        <color theme="1"/>
        <rFont val="Arial"/>
        <family val="2"/>
      </rPr>
      <t>84230</t>
    </r>
    <r>
      <rPr>
        <sz val="9"/>
        <color theme="1"/>
        <rFont val="仿宋_GB2312"/>
        <family val="3"/>
        <charset val="134"/>
      </rPr>
      <t>号</t>
    </r>
  </si>
  <si>
    <t>P-152</t>
  </si>
  <si>
    <r>
      <t>峨眉国用（</t>
    </r>
    <r>
      <rPr>
        <sz val="9"/>
        <color theme="1"/>
        <rFont val="Arial"/>
        <family val="2"/>
      </rPr>
      <t>2016</t>
    </r>
    <r>
      <rPr>
        <sz val="9"/>
        <color theme="1"/>
        <rFont val="仿宋_GB2312"/>
        <family val="3"/>
        <charset val="134"/>
      </rPr>
      <t>）第</t>
    </r>
    <r>
      <rPr>
        <sz val="9"/>
        <color theme="1"/>
        <rFont val="Arial"/>
        <family val="2"/>
      </rPr>
      <t>84234</t>
    </r>
    <r>
      <rPr>
        <sz val="9"/>
        <color theme="1"/>
        <rFont val="仿宋_GB2312"/>
        <family val="3"/>
        <charset val="134"/>
      </rPr>
      <t>号</t>
    </r>
  </si>
  <si>
    <t>P-154</t>
  </si>
  <si>
    <r>
      <t>峨眉国用（</t>
    </r>
    <r>
      <rPr>
        <sz val="9"/>
        <color theme="1"/>
        <rFont val="Arial"/>
        <family val="2"/>
      </rPr>
      <t>2016</t>
    </r>
    <r>
      <rPr>
        <sz val="9"/>
        <color theme="1"/>
        <rFont val="仿宋_GB2312"/>
        <family val="3"/>
        <charset val="134"/>
      </rPr>
      <t>）第</t>
    </r>
    <r>
      <rPr>
        <sz val="9"/>
        <color theme="1"/>
        <rFont val="Arial"/>
        <family val="2"/>
      </rPr>
      <t>86591</t>
    </r>
    <r>
      <rPr>
        <sz val="9"/>
        <color theme="1"/>
        <rFont val="仿宋_GB2312"/>
        <family val="3"/>
        <charset val="134"/>
      </rPr>
      <t>号</t>
    </r>
  </si>
  <si>
    <t>P-162</t>
  </si>
  <si>
    <r>
      <t>峨眉国用（</t>
    </r>
    <r>
      <rPr>
        <sz val="9"/>
        <color theme="1"/>
        <rFont val="Arial"/>
        <family val="2"/>
      </rPr>
      <t>2016</t>
    </r>
    <r>
      <rPr>
        <sz val="9"/>
        <color theme="1"/>
        <rFont val="仿宋_GB2312"/>
        <family val="3"/>
        <charset val="134"/>
      </rPr>
      <t>）第</t>
    </r>
    <r>
      <rPr>
        <sz val="9"/>
        <color theme="1"/>
        <rFont val="Arial"/>
        <family val="2"/>
      </rPr>
      <t>86600</t>
    </r>
    <r>
      <rPr>
        <sz val="9"/>
        <color theme="1"/>
        <rFont val="仿宋_GB2312"/>
        <family val="3"/>
        <charset val="134"/>
      </rPr>
      <t>号</t>
    </r>
  </si>
  <si>
    <t>P-163</t>
  </si>
  <si>
    <r>
      <t>峨眉国用（</t>
    </r>
    <r>
      <rPr>
        <sz val="9"/>
        <color theme="1"/>
        <rFont val="Arial"/>
        <family val="2"/>
      </rPr>
      <t>2016</t>
    </r>
    <r>
      <rPr>
        <sz val="9"/>
        <color theme="1"/>
        <rFont val="仿宋_GB2312"/>
        <family val="3"/>
        <charset val="134"/>
      </rPr>
      <t>）第</t>
    </r>
    <r>
      <rPr>
        <sz val="9"/>
        <color theme="1"/>
        <rFont val="Arial"/>
        <family val="2"/>
      </rPr>
      <t>86605</t>
    </r>
    <r>
      <rPr>
        <sz val="9"/>
        <color theme="1"/>
        <rFont val="仿宋_GB2312"/>
        <family val="3"/>
        <charset val="134"/>
      </rPr>
      <t>号</t>
    </r>
  </si>
  <si>
    <t>P-164</t>
  </si>
  <si>
    <r>
      <t>峨眉国用（</t>
    </r>
    <r>
      <rPr>
        <sz val="9"/>
        <color theme="1"/>
        <rFont val="Arial"/>
        <family val="2"/>
      </rPr>
      <t>2016</t>
    </r>
    <r>
      <rPr>
        <sz val="9"/>
        <color theme="1"/>
        <rFont val="仿宋_GB2312"/>
        <family val="3"/>
        <charset val="134"/>
      </rPr>
      <t>）第</t>
    </r>
    <r>
      <rPr>
        <sz val="9"/>
        <color theme="1"/>
        <rFont val="Arial"/>
        <family val="2"/>
      </rPr>
      <t>86654</t>
    </r>
    <r>
      <rPr>
        <sz val="9"/>
        <color theme="1"/>
        <rFont val="仿宋_GB2312"/>
        <family val="3"/>
        <charset val="134"/>
      </rPr>
      <t>号</t>
    </r>
  </si>
  <si>
    <t>P-172</t>
  </si>
  <si>
    <r>
      <t>峨眉国用（</t>
    </r>
    <r>
      <rPr>
        <sz val="9"/>
        <color theme="1"/>
        <rFont val="Arial"/>
        <family val="2"/>
      </rPr>
      <t>2016</t>
    </r>
    <r>
      <rPr>
        <sz val="9"/>
        <color theme="1"/>
        <rFont val="仿宋_GB2312"/>
        <family val="3"/>
        <charset val="134"/>
      </rPr>
      <t>）第</t>
    </r>
    <r>
      <rPr>
        <sz val="9"/>
        <color theme="1"/>
        <rFont val="Arial"/>
        <family val="2"/>
      </rPr>
      <t>86658</t>
    </r>
    <r>
      <rPr>
        <sz val="9"/>
        <color theme="1"/>
        <rFont val="仿宋_GB2312"/>
        <family val="3"/>
        <charset val="134"/>
      </rPr>
      <t>号</t>
    </r>
  </si>
  <si>
    <t>P-173</t>
  </si>
  <si>
    <r>
      <t>峨眉国用（</t>
    </r>
    <r>
      <rPr>
        <sz val="9"/>
        <color theme="1"/>
        <rFont val="Arial"/>
        <family val="2"/>
      </rPr>
      <t>2016</t>
    </r>
    <r>
      <rPr>
        <sz val="9"/>
        <color theme="1"/>
        <rFont val="仿宋_GB2312"/>
        <family val="3"/>
        <charset val="134"/>
      </rPr>
      <t>）第</t>
    </r>
    <r>
      <rPr>
        <sz val="9"/>
        <color theme="1"/>
        <rFont val="Arial"/>
        <family val="2"/>
      </rPr>
      <t>86659</t>
    </r>
    <r>
      <rPr>
        <sz val="9"/>
        <color theme="1"/>
        <rFont val="仿宋_GB2312"/>
        <family val="3"/>
        <charset val="134"/>
      </rPr>
      <t>号</t>
    </r>
  </si>
  <si>
    <t>P-174</t>
  </si>
  <si>
    <r>
      <t>峨眉国用（</t>
    </r>
    <r>
      <rPr>
        <sz val="9"/>
        <color theme="1"/>
        <rFont val="Arial"/>
        <family val="2"/>
      </rPr>
      <t>2016</t>
    </r>
    <r>
      <rPr>
        <sz val="9"/>
        <color theme="1"/>
        <rFont val="仿宋_GB2312"/>
        <family val="3"/>
        <charset val="134"/>
      </rPr>
      <t>）第</t>
    </r>
    <r>
      <rPr>
        <sz val="9"/>
        <color theme="1"/>
        <rFont val="Arial"/>
        <family val="2"/>
      </rPr>
      <t>86657</t>
    </r>
    <r>
      <rPr>
        <sz val="9"/>
        <color theme="1"/>
        <rFont val="仿宋_GB2312"/>
        <family val="3"/>
        <charset val="134"/>
      </rPr>
      <t>号</t>
    </r>
  </si>
  <si>
    <t>P-175</t>
  </si>
  <si>
    <r>
      <t>峨眉国用（</t>
    </r>
    <r>
      <rPr>
        <sz val="9"/>
        <color theme="1"/>
        <rFont val="Arial"/>
        <family val="2"/>
      </rPr>
      <t>2014</t>
    </r>
    <r>
      <rPr>
        <sz val="9"/>
        <color theme="1"/>
        <rFont val="仿宋_GB2312"/>
        <family val="3"/>
        <charset val="134"/>
      </rPr>
      <t>）第</t>
    </r>
    <r>
      <rPr>
        <sz val="9"/>
        <color theme="1"/>
        <rFont val="Arial"/>
        <family val="2"/>
      </rPr>
      <t>73369</t>
    </r>
    <r>
      <rPr>
        <sz val="9"/>
        <color theme="1"/>
        <rFont val="仿宋_GB2312"/>
        <family val="3"/>
        <charset val="134"/>
      </rPr>
      <t>号</t>
    </r>
    <phoneticPr fontId="233" type="noConversion"/>
  </si>
  <si>
    <r>
      <t>峨眉国用（</t>
    </r>
    <r>
      <rPr>
        <sz val="9"/>
        <color theme="1"/>
        <rFont val="Arial"/>
        <family val="2"/>
      </rPr>
      <t>2014</t>
    </r>
    <r>
      <rPr>
        <sz val="9"/>
        <color theme="1"/>
        <rFont val="仿宋_GB2312"/>
        <family val="3"/>
        <charset val="134"/>
      </rPr>
      <t>）第</t>
    </r>
    <r>
      <rPr>
        <sz val="9"/>
        <color theme="1"/>
        <rFont val="Arial"/>
        <family val="2"/>
      </rPr>
      <t>73373</t>
    </r>
    <r>
      <rPr>
        <sz val="9"/>
        <color theme="1"/>
        <rFont val="仿宋_GB2312"/>
        <family val="3"/>
        <charset val="134"/>
      </rPr>
      <t>号</t>
    </r>
    <phoneticPr fontId="233" type="noConversion"/>
  </si>
  <si>
    <r>
      <t>峨眉国用（</t>
    </r>
    <r>
      <rPr>
        <sz val="9"/>
        <color theme="1"/>
        <rFont val="Arial"/>
        <family val="2"/>
      </rPr>
      <t>2016</t>
    </r>
    <r>
      <rPr>
        <sz val="9"/>
        <color theme="1"/>
        <rFont val="仿宋_GB2312"/>
        <family val="3"/>
        <charset val="134"/>
      </rPr>
      <t>）第</t>
    </r>
    <r>
      <rPr>
        <sz val="9"/>
        <color theme="1"/>
        <rFont val="Arial"/>
        <family val="2"/>
      </rPr>
      <t>86590</t>
    </r>
    <r>
      <rPr>
        <sz val="9"/>
        <color theme="1"/>
        <rFont val="仿宋_GB2312"/>
        <family val="3"/>
        <charset val="134"/>
      </rPr>
      <t>号</t>
    </r>
    <phoneticPr fontId="233" type="noConversion"/>
  </si>
  <si>
    <t>坐落</t>
  </si>
  <si>
    <t>土地终止日期</t>
  </si>
  <si>
    <t>发证日期</t>
  </si>
  <si>
    <r>
      <t>峨眉国用（</t>
    </r>
    <r>
      <rPr>
        <sz val="7.5"/>
        <color theme="1"/>
        <rFont val="Arial"/>
        <family val="2"/>
      </rPr>
      <t>2014</t>
    </r>
    <r>
      <rPr>
        <sz val="7.5"/>
        <color theme="1"/>
        <rFont val="仿宋_GB2312"/>
        <family val="3"/>
        <charset val="134"/>
      </rPr>
      <t>）第</t>
    </r>
    <r>
      <rPr>
        <sz val="7.5"/>
        <color theme="1"/>
        <rFont val="Arial"/>
        <family val="2"/>
      </rPr>
      <t>73369</t>
    </r>
    <r>
      <rPr>
        <sz val="7.5"/>
        <color theme="1"/>
        <rFont val="仿宋_GB2312"/>
        <family val="3"/>
        <charset val="134"/>
      </rPr>
      <t>号</t>
    </r>
  </si>
  <si>
    <r>
      <t>峨眉山市川主乡顺河村</t>
    </r>
    <r>
      <rPr>
        <sz val="7.5"/>
        <color theme="1"/>
        <rFont val="Arial"/>
        <family val="2"/>
      </rPr>
      <t>2</t>
    </r>
    <r>
      <rPr>
        <sz val="7.5"/>
        <color theme="1"/>
        <rFont val="仿宋_GB2312"/>
        <family val="3"/>
        <charset val="134"/>
      </rPr>
      <t>、</t>
    </r>
    <r>
      <rPr>
        <sz val="7.5"/>
        <color theme="1"/>
        <rFont val="Arial"/>
        <family val="2"/>
      </rPr>
      <t>3</t>
    </r>
    <r>
      <rPr>
        <sz val="7.5"/>
        <color theme="1"/>
        <rFont val="仿宋_GB2312"/>
        <family val="3"/>
        <charset val="134"/>
      </rPr>
      <t>、</t>
    </r>
    <r>
      <rPr>
        <sz val="7.5"/>
        <color theme="1"/>
        <rFont val="Arial"/>
        <family val="2"/>
      </rPr>
      <t>6</t>
    </r>
    <r>
      <rPr>
        <sz val="7.5"/>
        <color theme="1"/>
        <rFont val="仿宋_GB2312"/>
        <family val="3"/>
        <charset val="134"/>
      </rPr>
      <t>、</t>
    </r>
    <r>
      <rPr>
        <sz val="7.5"/>
        <color theme="1"/>
        <rFont val="Arial"/>
        <family val="2"/>
      </rPr>
      <t>7</t>
    </r>
    <r>
      <rPr>
        <sz val="7.5"/>
        <color theme="1"/>
        <rFont val="仿宋_GB2312"/>
        <family val="3"/>
        <charset val="134"/>
      </rPr>
      <t>组</t>
    </r>
  </si>
  <si>
    <t>商住</t>
  </si>
  <si>
    <r>
      <t>住宅：</t>
    </r>
    <r>
      <rPr>
        <sz val="7.5"/>
        <color theme="1"/>
        <rFont val="Arial"/>
        <family val="2"/>
      </rPr>
      <t>2084-5-23</t>
    </r>
    <r>
      <rPr>
        <sz val="7.5"/>
        <color theme="1"/>
        <rFont val="仿宋_GB2312"/>
        <family val="3"/>
        <charset val="134"/>
      </rPr>
      <t>；商业</t>
    </r>
    <r>
      <rPr>
        <sz val="7.5"/>
        <color theme="1"/>
        <rFont val="Arial"/>
        <family val="2"/>
      </rPr>
      <t>:2054-5-23</t>
    </r>
  </si>
  <si>
    <r>
      <t>峨眉国用（</t>
    </r>
    <r>
      <rPr>
        <sz val="7.5"/>
        <color theme="1"/>
        <rFont val="Arial"/>
        <family val="2"/>
      </rPr>
      <t>2014</t>
    </r>
    <r>
      <rPr>
        <sz val="7.5"/>
        <color theme="1"/>
        <rFont val="仿宋_GB2312"/>
        <family val="3"/>
        <charset val="134"/>
      </rPr>
      <t>）第</t>
    </r>
    <r>
      <rPr>
        <sz val="7.5"/>
        <color theme="1"/>
        <rFont val="Arial"/>
        <family val="2"/>
      </rPr>
      <t>73373</t>
    </r>
    <r>
      <rPr>
        <sz val="7.5"/>
        <color theme="1"/>
        <rFont val="仿宋_GB2312"/>
        <family val="3"/>
        <charset val="134"/>
      </rPr>
      <t>号</t>
    </r>
  </si>
  <si>
    <r>
      <t>峨眉山市川主乡顺河村</t>
    </r>
    <r>
      <rPr>
        <sz val="7.5"/>
        <color theme="1"/>
        <rFont val="Arial"/>
        <family val="2"/>
      </rPr>
      <t>3</t>
    </r>
    <r>
      <rPr>
        <sz val="7.5"/>
        <color theme="1"/>
        <rFont val="仿宋_GB2312"/>
        <family val="3"/>
        <charset val="134"/>
      </rPr>
      <t>、</t>
    </r>
    <r>
      <rPr>
        <sz val="7.5"/>
        <color theme="1"/>
        <rFont val="Arial"/>
        <family val="2"/>
      </rPr>
      <t>6</t>
    </r>
    <r>
      <rPr>
        <sz val="7.5"/>
        <color theme="1"/>
        <rFont val="仿宋_GB2312"/>
        <family val="3"/>
        <charset val="134"/>
      </rPr>
      <t>、</t>
    </r>
    <r>
      <rPr>
        <sz val="7.5"/>
        <color theme="1"/>
        <rFont val="Arial"/>
        <family val="2"/>
      </rPr>
      <t>7</t>
    </r>
    <r>
      <rPr>
        <sz val="7.5"/>
        <color theme="1"/>
        <rFont val="仿宋_GB2312"/>
        <family val="3"/>
        <charset val="134"/>
      </rPr>
      <t>组</t>
    </r>
  </si>
  <si>
    <r>
      <t>峨眉国用（</t>
    </r>
    <r>
      <rPr>
        <sz val="7.5"/>
        <color theme="1"/>
        <rFont val="Arial"/>
        <family val="2"/>
      </rPr>
      <t>2016</t>
    </r>
    <r>
      <rPr>
        <sz val="7.5"/>
        <color theme="1"/>
        <rFont val="仿宋_GB2312"/>
        <family val="3"/>
        <charset val="134"/>
      </rPr>
      <t>）第</t>
    </r>
    <r>
      <rPr>
        <sz val="7.5"/>
        <color theme="1"/>
        <rFont val="Arial"/>
        <family val="2"/>
      </rPr>
      <t>86590</t>
    </r>
    <r>
      <rPr>
        <sz val="7.5"/>
        <color theme="1"/>
        <rFont val="仿宋_GB2312"/>
        <family val="3"/>
        <charset val="134"/>
      </rPr>
      <t>号</t>
    </r>
  </si>
  <si>
    <t>峨眉山市川主乡顺河村三、六组</t>
  </si>
  <si>
    <t>住宅（城镇住宅用地）、商服（批发零售用地）</t>
  </si>
  <si>
    <r>
      <t>住宅：</t>
    </r>
    <r>
      <rPr>
        <sz val="7.5"/>
        <color theme="1"/>
        <rFont val="Arial"/>
        <family val="2"/>
      </rPr>
      <t>2086-6-22</t>
    </r>
    <r>
      <rPr>
        <sz val="7.5"/>
        <color theme="1"/>
        <rFont val="仿宋_GB2312"/>
        <family val="3"/>
        <charset val="134"/>
      </rPr>
      <t>；商业</t>
    </r>
    <r>
      <rPr>
        <sz val="7.5"/>
        <color theme="1"/>
        <rFont val="Arial"/>
        <family val="2"/>
      </rPr>
      <t>:2056-6-22</t>
    </r>
  </si>
  <si>
    <r>
      <t>峨眉国用（</t>
    </r>
    <r>
      <rPr>
        <sz val="7.5"/>
        <color theme="1"/>
        <rFont val="Arial"/>
        <family val="2"/>
      </rPr>
      <t>2014</t>
    </r>
    <r>
      <rPr>
        <sz val="7.5"/>
        <color theme="1"/>
        <rFont val="仿宋_GB2312"/>
        <family val="3"/>
        <charset val="134"/>
      </rPr>
      <t>）第</t>
    </r>
    <r>
      <rPr>
        <sz val="7.5"/>
        <color theme="1"/>
        <rFont val="Arial"/>
        <family val="2"/>
      </rPr>
      <t>72326</t>
    </r>
    <r>
      <rPr>
        <sz val="7.5"/>
        <color theme="1"/>
        <rFont val="仿宋_GB2312"/>
        <family val="3"/>
        <charset val="134"/>
      </rPr>
      <t>号</t>
    </r>
  </si>
  <si>
    <r>
      <t>峨眉山市川主乡高河村</t>
    </r>
    <r>
      <rPr>
        <sz val="7.5"/>
        <color theme="1"/>
        <rFont val="Arial"/>
        <family val="2"/>
      </rPr>
      <t>1</t>
    </r>
    <r>
      <rPr>
        <sz val="7.5"/>
        <color theme="1"/>
        <rFont val="仿宋_GB2312"/>
        <family val="3"/>
        <charset val="134"/>
      </rPr>
      <t>、</t>
    </r>
    <r>
      <rPr>
        <sz val="7.5"/>
        <color theme="1"/>
        <rFont val="Arial"/>
        <family val="2"/>
      </rPr>
      <t>5</t>
    </r>
    <r>
      <rPr>
        <sz val="7.5"/>
        <color theme="1"/>
        <rFont val="仿宋_GB2312"/>
        <family val="3"/>
        <charset val="134"/>
      </rPr>
      <t>组、赵河村</t>
    </r>
    <r>
      <rPr>
        <sz val="7.5"/>
        <color theme="1"/>
        <rFont val="Arial"/>
        <family val="2"/>
      </rPr>
      <t>8</t>
    </r>
    <r>
      <rPr>
        <sz val="7.5"/>
        <color theme="1"/>
        <rFont val="仿宋_GB2312"/>
        <family val="3"/>
        <charset val="134"/>
      </rPr>
      <t>组</t>
    </r>
  </si>
  <si>
    <t>住宅用地（城镇住宅用地）、商服用地（餐饮住宿用地）</t>
  </si>
  <si>
    <r>
      <t>住宅：</t>
    </r>
    <r>
      <rPr>
        <sz val="7.5"/>
        <color theme="1"/>
        <rFont val="Arial"/>
        <family val="2"/>
      </rPr>
      <t>2084-5-24</t>
    </r>
    <r>
      <rPr>
        <sz val="7.5"/>
        <color theme="1"/>
        <rFont val="仿宋_GB2312"/>
        <family val="3"/>
        <charset val="134"/>
      </rPr>
      <t>；商业</t>
    </r>
    <r>
      <rPr>
        <sz val="7.5"/>
        <color theme="1"/>
        <rFont val="Arial"/>
        <family val="2"/>
      </rPr>
      <t>:2054-5-24</t>
    </r>
  </si>
  <si>
    <t>/</t>
  </si>
  <si>
    <r>
      <t>峨眉国用（</t>
    </r>
    <r>
      <rPr>
        <sz val="7.5"/>
        <color theme="1"/>
        <rFont val="Arial"/>
        <family val="2"/>
      </rPr>
      <t>2014</t>
    </r>
    <r>
      <rPr>
        <sz val="7.5"/>
        <color theme="1"/>
        <rFont val="仿宋_GB2312"/>
        <family val="3"/>
        <charset val="134"/>
      </rPr>
      <t>）第</t>
    </r>
    <r>
      <rPr>
        <sz val="7.5"/>
        <color theme="1"/>
        <rFont val="Arial"/>
        <family val="2"/>
      </rPr>
      <t>73370</t>
    </r>
    <r>
      <rPr>
        <sz val="7.5"/>
        <color theme="1"/>
        <rFont val="仿宋_GB2312"/>
        <family val="3"/>
        <charset val="134"/>
      </rPr>
      <t>号</t>
    </r>
  </si>
  <si>
    <r>
      <t>峨眉山市川主乡顺河村</t>
    </r>
    <r>
      <rPr>
        <sz val="7.5"/>
        <color theme="1"/>
        <rFont val="Arial"/>
        <family val="2"/>
      </rPr>
      <t>2</t>
    </r>
    <r>
      <rPr>
        <sz val="7.5"/>
        <color theme="1"/>
        <rFont val="仿宋_GB2312"/>
        <family val="3"/>
        <charset val="134"/>
      </rPr>
      <t>组</t>
    </r>
  </si>
  <si>
    <r>
      <t>峨眉国用（</t>
    </r>
    <r>
      <rPr>
        <sz val="7.5"/>
        <color theme="1"/>
        <rFont val="Arial"/>
        <family val="2"/>
      </rPr>
      <t>2014</t>
    </r>
    <r>
      <rPr>
        <sz val="7.5"/>
        <color theme="1"/>
        <rFont val="仿宋_GB2312"/>
        <family val="3"/>
        <charset val="134"/>
      </rPr>
      <t>）第</t>
    </r>
    <r>
      <rPr>
        <sz val="7.5"/>
        <color theme="1"/>
        <rFont val="Arial"/>
        <family val="2"/>
      </rPr>
      <t>73372</t>
    </r>
    <r>
      <rPr>
        <sz val="7.5"/>
        <color theme="1"/>
        <rFont val="仿宋_GB2312"/>
        <family val="3"/>
        <charset val="134"/>
      </rPr>
      <t>号</t>
    </r>
  </si>
  <si>
    <r>
      <t>峨眉山市川主乡顺河村</t>
    </r>
    <r>
      <rPr>
        <sz val="7.5"/>
        <color theme="1"/>
        <rFont val="Arial"/>
        <family val="2"/>
      </rPr>
      <t>2</t>
    </r>
    <r>
      <rPr>
        <sz val="7.5"/>
        <color theme="1"/>
        <rFont val="仿宋_GB2312"/>
        <family val="3"/>
        <charset val="134"/>
      </rPr>
      <t>、</t>
    </r>
    <r>
      <rPr>
        <sz val="7.5"/>
        <color theme="1"/>
        <rFont val="Arial"/>
        <family val="2"/>
      </rPr>
      <t>5</t>
    </r>
    <r>
      <rPr>
        <sz val="7.5"/>
        <color theme="1"/>
        <rFont val="仿宋_GB2312"/>
        <family val="3"/>
        <charset val="134"/>
      </rPr>
      <t>组、高河村</t>
    </r>
    <r>
      <rPr>
        <sz val="7.5"/>
        <color theme="1"/>
        <rFont val="Arial"/>
        <family val="2"/>
      </rPr>
      <t>5</t>
    </r>
    <r>
      <rPr>
        <sz val="7.5"/>
        <color theme="1"/>
        <rFont val="仿宋_GB2312"/>
        <family val="3"/>
        <charset val="134"/>
      </rPr>
      <t>组</t>
    </r>
  </si>
  <si>
    <r>
      <t>峨眉国用（</t>
    </r>
    <r>
      <rPr>
        <sz val="7.5"/>
        <color theme="1"/>
        <rFont val="Arial"/>
        <family val="2"/>
      </rPr>
      <t>2014</t>
    </r>
    <r>
      <rPr>
        <sz val="7.5"/>
        <color theme="1"/>
        <rFont val="仿宋_GB2312"/>
        <family val="3"/>
        <charset val="134"/>
      </rPr>
      <t>）第</t>
    </r>
    <r>
      <rPr>
        <sz val="7.5"/>
        <color theme="1"/>
        <rFont val="Arial"/>
        <family val="2"/>
      </rPr>
      <t>73364</t>
    </r>
    <r>
      <rPr>
        <sz val="7.5"/>
        <color theme="1"/>
        <rFont val="仿宋_GB2312"/>
        <family val="3"/>
        <charset val="134"/>
      </rPr>
      <t>号</t>
    </r>
  </si>
  <si>
    <t>峨眉山市川主乡顺河村二、五组</t>
  </si>
  <si>
    <r>
      <t>峨眉国用（</t>
    </r>
    <r>
      <rPr>
        <sz val="7.5"/>
        <color theme="1"/>
        <rFont val="Arial"/>
        <family val="2"/>
      </rPr>
      <t>2016</t>
    </r>
    <r>
      <rPr>
        <sz val="7.5"/>
        <color theme="1"/>
        <rFont val="仿宋_GB2312"/>
        <family val="3"/>
        <charset val="134"/>
      </rPr>
      <t>）第</t>
    </r>
    <r>
      <rPr>
        <sz val="7.5"/>
        <color theme="1"/>
        <rFont val="Arial"/>
        <family val="2"/>
      </rPr>
      <t>86594</t>
    </r>
    <r>
      <rPr>
        <sz val="7.5"/>
        <color theme="1"/>
        <rFont val="仿宋_GB2312"/>
        <family val="3"/>
        <charset val="134"/>
      </rPr>
      <t>号</t>
    </r>
  </si>
  <si>
    <t>峨眉山市川主乡顺河村二组</t>
  </si>
  <si>
    <r>
      <t>峨眉国用（</t>
    </r>
    <r>
      <rPr>
        <sz val="7.5"/>
        <color theme="1"/>
        <rFont val="Arial"/>
        <family val="2"/>
      </rPr>
      <t>2016</t>
    </r>
    <r>
      <rPr>
        <sz val="7.5"/>
        <color theme="1"/>
        <rFont val="仿宋_GB2312"/>
        <family val="3"/>
        <charset val="134"/>
      </rPr>
      <t>）第</t>
    </r>
    <r>
      <rPr>
        <sz val="7.5"/>
        <color theme="1"/>
        <rFont val="Arial"/>
        <family val="2"/>
      </rPr>
      <t>86599</t>
    </r>
    <r>
      <rPr>
        <sz val="7.5"/>
        <color theme="1"/>
        <rFont val="仿宋_GB2312"/>
        <family val="3"/>
        <charset val="134"/>
      </rPr>
      <t>号</t>
    </r>
  </si>
  <si>
    <t>峨眉山市川主乡高河村五组；顺河村二组</t>
  </si>
  <si>
    <r>
      <t>住宅：</t>
    </r>
    <r>
      <rPr>
        <sz val="7.5"/>
        <color theme="1"/>
        <rFont val="Arial"/>
        <family val="2"/>
      </rPr>
      <t>2086-6-22</t>
    </r>
    <r>
      <rPr>
        <sz val="7.5"/>
        <color theme="1"/>
        <rFont val="仿宋_GB2312"/>
        <family val="3"/>
        <charset val="134"/>
      </rPr>
      <t>；商业</t>
    </r>
    <r>
      <rPr>
        <sz val="7.5"/>
        <color theme="1"/>
        <rFont val="Arial"/>
        <family val="2"/>
      </rPr>
      <t>2056-6-22</t>
    </r>
  </si>
  <si>
    <r>
      <t>峨眉国用（</t>
    </r>
    <r>
      <rPr>
        <sz val="7.5"/>
        <color theme="1"/>
        <rFont val="Arial"/>
        <family val="2"/>
      </rPr>
      <t>2016</t>
    </r>
    <r>
      <rPr>
        <sz val="7.5"/>
        <color theme="1"/>
        <rFont val="仿宋_GB2312"/>
        <family val="3"/>
        <charset val="134"/>
      </rPr>
      <t>）第</t>
    </r>
    <r>
      <rPr>
        <sz val="7.5"/>
        <color theme="1"/>
        <rFont val="Arial"/>
        <family val="2"/>
      </rPr>
      <t>86598</t>
    </r>
    <r>
      <rPr>
        <sz val="7.5"/>
        <color theme="1"/>
        <rFont val="仿宋_GB2312"/>
        <family val="3"/>
        <charset val="134"/>
      </rPr>
      <t>号</t>
    </r>
  </si>
  <si>
    <t>峨眉山市川主乡高河村五组</t>
  </si>
  <si>
    <r>
      <t>峨眉国用（</t>
    </r>
    <r>
      <rPr>
        <sz val="7.5"/>
        <color theme="1"/>
        <rFont val="Arial"/>
        <family val="2"/>
      </rPr>
      <t>2016</t>
    </r>
    <r>
      <rPr>
        <sz val="7.5"/>
        <color theme="1"/>
        <rFont val="仿宋_GB2312"/>
        <family val="3"/>
        <charset val="134"/>
      </rPr>
      <t>）第</t>
    </r>
    <r>
      <rPr>
        <sz val="7.5"/>
        <color theme="1"/>
        <rFont val="Arial"/>
        <family val="2"/>
      </rPr>
      <t>86596</t>
    </r>
    <r>
      <rPr>
        <sz val="7.5"/>
        <color theme="1"/>
        <rFont val="仿宋_GB2312"/>
        <family val="3"/>
        <charset val="134"/>
      </rPr>
      <t>号</t>
    </r>
  </si>
  <si>
    <r>
      <t>峨眉国用（</t>
    </r>
    <r>
      <rPr>
        <sz val="7.5"/>
        <color theme="1"/>
        <rFont val="Arial"/>
        <family val="2"/>
      </rPr>
      <t>2016</t>
    </r>
    <r>
      <rPr>
        <sz val="7.5"/>
        <color theme="1"/>
        <rFont val="仿宋_GB2312"/>
        <family val="3"/>
        <charset val="134"/>
      </rPr>
      <t>）第</t>
    </r>
    <r>
      <rPr>
        <sz val="7.5"/>
        <color theme="1"/>
        <rFont val="Arial"/>
        <family val="2"/>
      </rPr>
      <t>86589</t>
    </r>
    <r>
      <rPr>
        <sz val="7.5"/>
        <color theme="1"/>
        <rFont val="仿宋_GB2312"/>
        <family val="3"/>
        <charset val="134"/>
      </rPr>
      <t>号</t>
    </r>
  </si>
  <si>
    <r>
      <t>峨眉国用（</t>
    </r>
    <r>
      <rPr>
        <sz val="7.5"/>
        <color theme="1"/>
        <rFont val="Arial"/>
        <family val="2"/>
      </rPr>
      <t>2016</t>
    </r>
    <r>
      <rPr>
        <sz val="7.5"/>
        <color theme="1"/>
        <rFont val="仿宋_GB2312"/>
        <family val="3"/>
        <charset val="134"/>
      </rPr>
      <t>）第</t>
    </r>
    <r>
      <rPr>
        <sz val="7.5"/>
        <color theme="1"/>
        <rFont val="Arial"/>
        <family val="2"/>
      </rPr>
      <t>86587</t>
    </r>
    <r>
      <rPr>
        <sz val="7.5"/>
        <color theme="1"/>
        <rFont val="仿宋_GB2312"/>
        <family val="3"/>
        <charset val="134"/>
      </rPr>
      <t>号</t>
    </r>
  </si>
  <si>
    <r>
      <t>峨眉山市川主乡高河村</t>
    </r>
    <r>
      <rPr>
        <sz val="7.5"/>
        <color theme="1"/>
        <rFont val="Arial"/>
        <family val="2"/>
      </rPr>
      <t>5</t>
    </r>
    <r>
      <rPr>
        <sz val="7.5"/>
        <color theme="1"/>
        <rFont val="仿宋_GB2312"/>
        <family val="3"/>
        <charset val="134"/>
      </rPr>
      <t>组</t>
    </r>
  </si>
  <si>
    <r>
      <t>峨眉国用（</t>
    </r>
    <r>
      <rPr>
        <sz val="7.5"/>
        <color theme="1"/>
        <rFont val="Arial"/>
        <family val="2"/>
      </rPr>
      <t>2014</t>
    </r>
    <r>
      <rPr>
        <sz val="7.5"/>
        <color theme="1"/>
        <rFont val="仿宋_GB2312"/>
        <family val="3"/>
        <charset val="134"/>
      </rPr>
      <t>）第</t>
    </r>
    <r>
      <rPr>
        <sz val="7.5"/>
        <color theme="1"/>
        <rFont val="Arial"/>
        <family val="2"/>
      </rPr>
      <t>73371</t>
    </r>
    <r>
      <rPr>
        <sz val="7.5"/>
        <color theme="1"/>
        <rFont val="仿宋_GB2312"/>
        <family val="3"/>
        <charset val="134"/>
      </rPr>
      <t>号</t>
    </r>
  </si>
  <si>
    <r>
      <t>峨眉山市川主乡顺河村</t>
    </r>
    <r>
      <rPr>
        <sz val="7.5"/>
        <color theme="1"/>
        <rFont val="Arial"/>
        <family val="2"/>
      </rPr>
      <t>4</t>
    </r>
    <r>
      <rPr>
        <sz val="7.5"/>
        <color theme="1"/>
        <rFont val="仿宋_GB2312"/>
        <family val="3"/>
        <charset val="134"/>
      </rPr>
      <t>、</t>
    </r>
    <r>
      <rPr>
        <sz val="7.5"/>
        <color theme="1"/>
        <rFont val="Arial"/>
        <family val="2"/>
      </rPr>
      <t>6</t>
    </r>
    <r>
      <rPr>
        <sz val="7.5"/>
        <color theme="1"/>
        <rFont val="仿宋_GB2312"/>
        <family val="3"/>
        <charset val="134"/>
      </rPr>
      <t>组</t>
    </r>
  </si>
  <si>
    <r>
      <t>住宅：</t>
    </r>
    <r>
      <rPr>
        <sz val="7.5"/>
        <color theme="1"/>
        <rFont val="Arial"/>
        <family val="2"/>
      </rPr>
      <t>2084-5-23</t>
    </r>
    <r>
      <rPr>
        <sz val="7.5"/>
        <color theme="1"/>
        <rFont val="仿宋_GB2312"/>
        <family val="3"/>
        <charset val="134"/>
      </rPr>
      <t>；商业</t>
    </r>
    <r>
      <rPr>
        <sz val="7.5"/>
        <color theme="1"/>
        <rFont val="Arial"/>
        <family val="2"/>
      </rPr>
      <t>2054-5-23</t>
    </r>
  </si>
  <si>
    <r>
      <t>峨眉国用（</t>
    </r>
    <r>
      <rPr>
        <sz val="7.5"/>
        <color theme="1"/>
        <rFont val="Arial"/>
        <family val="2"/>
      </rPr>
      <t>2014</t>
    </r>
    <r>
      <rPr>
        <sz val="7.5"/>
        <color theme="1"/>
        <rFont val="仿宋_GB2312"/>
        <family val="3"/>
        <charset val="134"/>
      </rPr>
      <t>）第</t>
    </r>
    <r>
      <rPr>
        <sz val="7.5"/>
        <color theme="1"/>
        <rFont val="Arial"/>
        <family val="2"/>
      </rPr>
      <t>73367</t>
    </r>
    <r>
      <rPr>
        <sz val="7.5"/>
        <color theme="1"/>
        <rFont val="仿宋_GB2312"/>
        <family val="3"/>
        <charset val="134"/>
      </rPr>
      <t>号</t>
    </r>
  </si>
  <si>
    <r>
      <t>峨眉山市川主乡顺河村</t>
    </r>
    <r>
      <rPr>
        <sz val="7.5"/>
        <color theme="1"/>
        <rFont val="Arial"/>
        <family val="2"/>
      </rPr>
      <t>2</t>
    </r>
    <r>
      <rPr>
        <sz val="7.5"/>
        <color theme="1"/>
        <rFont val="仿宋_GB2312"/>
        <family val="3"/>
        <charset val="134"/>
      </rPr>
      <t>、</t>
    </r>
    <r>
      <rPr>
        <sz val="7.5"/>
        <color theme="1"/>
        <rFont val="Arial"/>
        <family val="2"/>
      </rPr>
      <t>3</t>
    </r>
    <r>
      <rPr>
        <sz val="7.5"/>
        <color theme="1"/>
        <rFont val="仿宋_GB2312"/>
        <family val="3"/>
        <charset val="134"/>
      </rPr>
      <t>、</t>
    </r>
    <r>
      <rPr>
        <sz val="7.5"/>
        <color theme="1"/>
        <rFont val="Arial"/>
        <family val="2"/>
      </rPr>
      <t>4</t>
    </r>
    <r>
      <rPr>
        <sz val="7.5"/>
        <color theme="1"/>
        <rFont val="仿宋_GB2312"/>
        <family val="3"/>
        <charset val="134"/>
      </rPr>
      <t>、组</t>
    </r>
  </si>
  <si>
    <r>
      <t>峨眉国用（</t>
    </r>
    <r>
      <rPr>
        <sz val="7.5"/>
        <color theme="1"/>
        <rFont val="Arial"/>
        <family val="2"/>
      </rPr>
      <t>2014</t>
    </r>
    <r>
      <rPr>
        <sz val="7.5"/>
        <color theme="1"/>
        <rFont val="仿宋_GB2312"/>
        <family val="3"/>
        <charset val="134"/>
      </rPr>
      <t>）第</t>
    </r>
    <r>
      <rPr>
        <sz val="7.5"/>
        <color theme="1"/>
        <rFont val="Arial"/>
        <family val="2"/>
      </rPr>
      <t>73366</t>
    </r>
    <r>
      <rPr>
        <sz val="7.5"/>
        <color theme="1"/>
        <rFont val="仿宋_GB2312"/>
        <family val="3"/>
        <charset val="134"/>
      </rPr>
      <t>号</t>
    </r>
  </si>
  <si>
    <r>
      <t>峨眉山市川主乡顺河村</t>
    </r>
    <r>
      <rPr>
        <sz val="7.5"/>
        <color theme="1"/>
        <rFont val="Arial"/>
        <family val="2"/>
      </rPr>
      <t>3</t>
    </r>
    <r>
      <rPr>
        <sz val="7.5"/>
        <color theme="1"/>
        <rFont val="仿宋_GB2312"/>
        <family val="3"/>
        <charset val="134"/>
      </rPr>
      <t>、</t>
    </r>
    <r>
      <rPr>
        <sz val="7.5"/>
        <color theme="1"/>
        <rFont val="Arial"/>
        <family val="2"/>
      </rPr>
      <t>4</t>
    </r>
    <r>
      <rPr>
        <sz val="7.5"/>
        <color theme="1"/>
        <rFont val="仿宋_GB2312"/>
        <family val="3"/>
        <charset val="134"/>
      </rPr>
      <t>、</t>
    </r>
    <r>
      <rPr>
        <sz val="7.5"/>
        <color theme="1"/>
        <rFont val="Arial"/>
        <family val="2"/>
      </rPr>
      <t>5</t>
    </r>
    <r>
      <rPr>
        <sz val="7.5"/>
        <color theme="1"/>
        <rFont val="仿宋_GB2312"/>
        <family val="3"/>
        <charset val="134"/>
      </rPr>
      <t>、</t>
    </r>
    <r>
      <rPr>
        <sz val="7.5"/>
        <color theme="1"/>
        <rFont val="Arial"/>
        <family val="2"/>
      </rPr>
      <t>6</t>
    </r>
    <r>
      <rPr>
        <sz val="7.5"/>
        <color theme="1"/>
        <rFont val="仿宋_GB2312"/>
        <family val="3"/>
        <charset val="134"/>
      </rPr>
      <t>组、黄湾乡张坝村</t>
    </r>
    <r>
      <rPr>
        <sz val="7.5"/>
        <color theme="1"/>
        <rFont val="Arial"/>
        <family val="2"/>
      </rPr>
      <t>6</t>
    </r>
    <r>
      <rPr>
        <sz val="7.5"/>
        <color theme="1"/>
        <rFont val="仿宋_GB2312"/>
        <family val="3"/>
        <charset val="134"/>
      </rPr>
      <t>组</t>
    </r>
  </si>
  <si>
    <r>
      <t>峨眉国用（</t>
    </r>
    <r>
      <rPr>
        <sz val="7.5"/>
        <color theme="1"/>
        <rFont val="Arial"/>
        <family val="2"/>
      </rPr>
      <t>2014</t>
    </r>
    <r>
      <rPr>
        <sz val="7.5"/>
        <color theme="1"/>
        <rFont val="仿宋_GB2312"/>
        <family val="3"/>
        <charset val="134"/>
      </rPr>
      <t>）第</t>
    </r>
    <r>
      <rPr>
        <sz val="7.5"/>
        <color theme="1"/>
        <rFont val="Arial"/>
        <family val="2"/>
      </rPr>
      <t>73365</t>
    </r>
    <r>
      <rPr>
        <sz val="7.5"/>
        <color theme="1"/>
        <rFont val="仿宋_GB2312"/>
        <family val="3"/>
        <charset val="134"/>
      </rPr>
      <t>号</t>
    </r>
  </si>
  <si>
    <t>峨眉山市川主乡顺河村四组</t>
  </si>
  <si>
    <r>
      <t>峨眉国用（</t>
    </r>
    <r>
      <rPr>
        <sz val="7.5"/>
        <color theme="1"/>
        <rFont val="Arial"/>
        <family val="2"/>
      </rPr>
      <t>2016</t>
    </r>
    <r>
      <rPr>
        <sz val="7.5"/>
        <color theme="1"/>
        <rFont val="仿宋_GB2312"/>
        <family val="3"/>
        <charset val="134"/>
      </rPr>
      <t>）第</t>
    </r>
    <r>
      <rPr>
        <sz val="7.5"/>
        <color theme="1"/>
        <rFont val="Arial"/>
        <family val="2"/>
      </rPr>
      <t>86588</t>
    </r>
    <r>
      <rPr>
        <sz val="7.5"/>
        <color theme="1"/>
        <rFont val="仿宋_GB2312"/>
        <family val="3"/>
        <charset val="134"/>
      </rPr>
      <t>号</t>
    </r>
  </si>
  <si>
    <t>住宅（城镇住宅用地）、商服（住宿餐饮用地）</t>
  </si>
  <si>
    <r>
      <t>峨眉国用（</t>
    </r>
    <r>
      <rPr>
        <sz val="7.5"/>
        <color theme="1"/>
        <rFont val="Arial"/>
        <family val="2"/>
      </rPr>
      <t>2016</t>
    </r>
    <r>
      <rPr>
        <sz val="7.5"/>
        <color theme="1"/>
        <rFont val="仿宋_GB2312"/>
        <family val="3"/>
        <charset val="134"/>
      </rPr>
      <t>）第</t>
    </r>
    <r>
      <rPr>
        <sz val="7.5"/>
        <color theme="1"/>
        <rFont val="Arial"/>
        <family val="2"/>
      </rPr>
      <t>86593</t>
    </r>
    <r>
      <rPr>
        <sz val="7.5"/>
        <color theme="1"/>
        <rFont val="仿宋_GB2312"/>
        <family val="3"/>
        <charset val="134"/>
      </rPr>
      <t>号</t>
    </r>
  </si>
  <si>
    <r>
      <t>峨眉山市黄湾乡张坝村</t>
    </r>
    <r>
      <rPr>
        <sz val="7.5"/>
        <color theme="1"/>
        <rFont val="Arial"/>
        <family val="2"/>
      </rPr>
      <t>6</t>
    </r>
    <r>
      <rPr>
        <sz val="7.5"/>
        <color theme="1"/>
        <rFont val="仿宋_GB2312"/>
        <family val="3"/>
        <charset val="134"/>
      </rPr>
      <t>组、川主乡顺河村四组</t>
    </r>
  </si>
  <si>
    <r>
      <t>峨眉国用（</t>
    </r>
    <r>
      <rPr>
        <sz val="7.5"/>
        <color theme="1"/>
        <rFont val="Arial"/>
        <family val="2"/>
      </rPr>
      <t>2014</t>
    </r>
    <r>
      <rPr>
        <sz val="7.5"/>
        <color theme="1"/>
        <rFont val="仿宋_GB2312"/>
        <family val="3"/>
        <charset val="134"/>
      </rPr>
      <t>）第</t>
    </r>
    <r>
      <rPr>
        <sz val="7.5"/>
        <color theme="1"/>
        <rFont val="Arial"/>
        <family val="2"/>
      </rPr>
      <t>73363</t>
    </r>
    <r>
      <rPr>
        <sz val="7.5"/>
        <color theme="1"/>
        <rFont val="仿宋_GB2312"/>
        <family val="3"/>
        <charset val="134"/>
      </rPr>
      <t>号</t>
    </r>
  </si>
  <si>
    <t>峨眉山市川主乡顺河村四、六组</t>
  </si>
  <si>
    <t>公共管理与公共服务</t>
  </si>
  <si>
    <r>
      <t>住宅：</t>
    </r>
    <r>
      <rPr>
        <sz val="7.5"/>
        <color theme="1"/>
        <rFont val="Arial"/>
        <family val="2"/>
      </rPr>
      <t>2064-5-23</t>
    </r>
  </si>
  <si>
    <r>
      <t>峨眉国用（</t>
    </r>
    <r>
      <rPr>
        <sz val="7.5"/>
        <color theme="1"/>
        <rFont val="Arial"/>
        <family val="2"/>
      </rPr>
      <t>2014</t>
    </r>
    <r>
      <rPr>
        <sz val="7.5"/>
        <color theme="1"/>
        <rFont val="仿宋_GB2312"/>
        <family val="3"/>
        <charset val="134"/>
      </rPr>
      <t>）第</t>
    </r>
    <r>
      <rPr>
        <sz val="7.5"/>
        <color theme="1"/>
        <rFont val="Arial"/>
        <family val="2"/>
      </rPr>
      <t>72327</t>
    </r>
    <r>
      <rPr>
        <sz val="7.5"/>
        <color theme="1"/>
        <rFont val="仿宋_GB2312"/>
        <family val="3"/>
        <charset val="134"/>
      </rPr>
      <t>号</t>
    </r>
  </si>
  <si>
    <r>
      <t>峨眉山市川主乡顺河村</t>
    </r>
    <r>
      <rPr>
        <sz val="7.5"/>
        <color theme="1"/>
        <rFont val="Arial"/>
        <family val="2"/>
      </rPr>
      <t>1</t>
    </r>
    <r>
      <rPr>
        <sz val="7.5"/>
        <color theme="1"/>
        <rFont val="仿宋_GB2312"/>
        <family val="3"/>
        <charset val="134"/>
      </rPr>
      <t>、</t>
    </r>
    <r>
      <rPr>
        <sz val="7.5"/>
        <color theme="1"/>
        <rFont val="Arial"/>
        <family val="2"/>
      </rPr>
      <t>2</t>
    </r>
    <r>
      <rPr>
        <sz val="7.5"/>
        <color theme="1"/>
        <rFont val="仿宋_GB2312"/>
        <family val="3"/>
        <charset val="134"/>
      </rPr>
      <t>、</t>
    </r>
    <r>
      <rPr>
        <sz val="7.5"/>
        <color theme="1"/>
        <rFont val="Arial"/>
        <family val="2"/>
      </rPr>
      <t>3</t>
    </r>
    <r>
      <rPr>
        <sz val="7.5"/>
        <color theme="1"/>
        <rFont val="仿宋_GB2312"/>
        <family val="3"/>
        <charset val="134"/>
      </rPr>
      <t>、</t>
    </r>
    <r>
      <rPr>
        <sz val="7.5"/>
        <color theme="1"/>
        <rFont val="Arial"/>
        <family val="2"/>
      </rPr>
      <t>7</t>
    </r>
    <r>
      <rPr>
        <sz val="7.5"/>
        <color theme="1"/>
        <rFont val="仿宋_GB2312"/>
        <family val="3"/>
        <charset val="134"/>
      </rPr>
      <t>组、顺河村村委会</t>
    </r>
  </si>
  <si>
    <t>商服用地（批发零售、餐饮住宿用地）</t>
  </si>
  <si>
    <r>
      <t>商业：</t>
    </r>
    <r>
      <rPr>
        <sz val="7.5"/>
        <color theme="1"/>
        <rFont val="Arial"/>
        <family val="2"/>
      </rPr>
      <t>2054-5-24</t>
    </r>
  </si>
  <si>
    <r>
      <t>峨眉国用（</t>
    </r>
    <r>
      <rPr>
        <sz val="7.5"/>
        <color theme="1"/>
        <rFont val="Arial"/>
        <family val="2"/>
      </rPr>
      <t>2014</t>
    </r>
    <r>
      <rPr>
        <sz val="7.5"/>
        <color theme="1"/>
        <rFont val="仿宋_GB2312"/>
        <family val="3"/>
        <charset val="134"/>
      </rPr>
      <t>）第</t>
    </r>
    <r>
      <rPr>
        <sz val="7.5"/>
        <color theme="1"/>
        <rFont val="Arial"/>
        <family val="2"/>
      </rPr>
      <t>72325</t>
    </r>
    <r>
      <rPr>
        <sz val="7.5"/>
        <color theme="1"/>
        <rFont val="仿宋_GB2312"/>
        <family val="3"/>
        <charset val="134"/>
      </rPr>
      <t>号</t>
    </r>
  </si>
  <si>
    <r>
      <t>峨眉山市川主乡顺河村</t>
    </r>
    <r>
      <rPr>
        <sz val="7.5"/>
        <color theme="1"/>
        <rFont val="Arial"/>
        <family val="2"/>
      </rPr>
      <t>1</t>
    </r>
    <r>
      <rPr>
        <sz val="7.5"/>
        <color theme="1"/>
        <rFont val="仿宋_GB2312"/>
        <family val="3"/>
        <charset val="134"/>
      </rPr>
      <t>、</t>
    </r>
    <r>
      <rPr>
        <sz val="7.5"/>
        <color theme="1"/>
        <rFont val="Arial"/>
        <family val="2"/>
      </rPr>
      <t>2</t>
    </r>
    <r>
      <rPr>
        <sz val="7.5"/>
        <color theme="1"/>
        <rFont val="仿宋_GB2312"/>
        <family val="3"/>
        <charset val="134"/>
      </rPr>
      <t>、</t>
    </r>
    <r>
      <rPr>
        <sz val="7.5"/>
        <color theme="1"/>
        <rFont val="Arial"/>
        <family val="2"/>
      </rPr>
      <t>3</t>
    </r>
    <r>
      <rPr>
        <sz val="7.5"/>
        <color theme="1"/>
        <rFont val="仿宋_GB2312"/>
        <family val="3"/>
        <charset val="134"/>
      </rPr>
      <t>、</t>
    </r>
    <r>
      <rPr>
        <sz val="7.5"/>
        <color theme="1"/>
        <rFont val="Arial"/>
        <family val="2"/>
      </rPr>
      <t>5</t>
    </r>
    <r>
      <rPr>
        <sz val="7.5"/>
        <color theme="1"/>
        <rFont val="仿宋_GB2312"/>
        <family val="3"/>
        <charset val="134"/>
      </rPr>
      <t>、</t>
    </r>
    <r>
      <rPr>
        <sz val="7.5"/>
        <color theme="1"/>
        <rFont val="Arial"/>
        <family val="2"/>
      </rPr>
      <t>6</t>
    </r>
    <r>
      <rPr>
        <sz val="7.5"/>
        <color theme="1"/>
        <rFont val="仿宋_GB2312"/>
        <family val="3"/>
        <charset val="134"/>
      </rPr>
      <t>、</t>
    </r>
    <r>
      <rPr>
        <sz val="7.5"/>
        <color theme="1"/>
        <rFont val="Arial"/>
        <family val="2"/>
      </rPr>
      <t>7</t>
    </r>
    <r>
      <rPr>
        <sz val="7.5"/>
        <color theme="1"/>
        <rFont val="仿宋_GB2312"/>
        <family val="3"/>
        <charset val="134"/>
      </rPr>
      <t>组、顺河村村委会、高河村</t>
    </r>
    <r>
      <rPr>
        <sz val="7.5"/>
        <color theme="1"/>
        <rFont val="Arial"/>
        <family val="2"/>
      </rPr>
      <t>5</t>
    </r>
    <r>
      <rPr>
        <sz val="7.5"/>
        <color theme="1"/>
        <rFont val="仿宋_GB2312"/>
        <family val="3"/>
        <charset val="134"/>
      </rPr>
      <t>组、赵河村</t>
    </r>
    <r>
      <rPr>
        <sz val="7.5"/>
        <color theme="1"/>
        <rFont val="Arial"/>
        <family val="2"/>
      </rPr>
      <t>8</t>
    </r>
    <r>
      <rPr>
        <sz val="7.5"/>
        <color theme="1"/>
        <rFont val="仿宋_GB2312"/>
        <family val="3"/>
        <charset val="134"/>
      </rPr>
      <t>组</t>
    </r>
  </si>
  <si>
    <t>商服用地（批发零售用地、餐饮住宿用地）</t>
  </si>
  <si>
    <r>
      <t>峨眉国用（</t>
    </r>
    <r>
      <rPr>
        <sz val="7.5"/>
        <color theme="1"/>
        <rFont val="Arial"/>
        <family val="2"/>
      </rPr>
      <t>2013</t>
    </r>
    <r>
      <rPr>
        <sz val="7.5"/>
        <color theme="1"/>
        <rFont val="仿宋_GB2312"/>
        <family val="3"/>
        <charset val="134"/>
      </rPr>
      <t>）第</t>
    </r>
    <r>
      <rPr>
        <sz val="7.5"/>
        <color theme="1"/>
        <rFont val="Arial"/>
        <family val="2"/>
      </rPr>
      <t>69186</t>
    </r>
    <r>
      <rPr>
        <sz val="7.5"/>
        <color theme="1"/>
        <rFont val="仿宋_GB2312"/>
        <family val="3"/>
        <charset val="134"/>
      </rPr>
      <t>号</t>
    </r>
  </si>
  <si>
    <r>
      <t>峨眉山市黄湾乡张坝村</t>
    </r>
    <r>
      <rPr>
        <sz val="7.5"/>
        <color theme="1"/>
        <rFont val="Arial"/>
        <family val="2"/>
      </rPr>
      <t>4</t>
    </r>
    <r>
      <rPr>
        <sz val="7.5"/>
        <color theme="1"/>
        <rFont val="仿宋_GB2312"/>
        <family val="3"/>
        <charset val="134"/>
      </rPr>
      <t>、</t>
    </r>
    <r>
      <rPr>
        <sz val="7.5"/>
        <color theme="1"/>
        <rFont val="Arial"/>
        <family val="2"/>
      </rPr>
      <t>5</t>
    </r>
    <r>
      <rPr>
        <sz val="7.5"/>
        <color theme="1"/>
        <rFont val="仿宋_GB2312"/>
        <family val="3"/>
        <charset val="134"/>
      </rPr>
      <t>、</t>
    </r>
    <r>
      <rPr>
        <sz val="7.5"/>
        <color theme="1"/>
        <rFont val="Arial"/>
        <family val="2"/>
      </rPr>
      <t>7</t>
    </r>
    <r>
      <rPr>
        <sz val="7.5"/>
        <color theme="1"/>
        <rFont val="仿宋_GB2312"/>
        <family val="3"/>
        <charset val="134"/>
      </rPr>
      <t>组</t>
    </r>
  </si>
  <si>
    <t>商业服务（住宿餐饮）</t>
  </si>
  <si>
    <r>
      <t>商业：</t>
    </r>
    <r>
      <rPr>
        <sz val="7.5"/>
        <color theme="1"/>
        <rFont val="Arial"/>
        <family val="2"/>
      </rPr>
      <t>2053-7-24</t>
    </r>
  </si>
  <si>
    <r>
      <t>峨眉国用（</t>
    </r>
    <r>
      <rPr>
        <sz val="7.5"/>
        <color theme="1"/>
        <rFont val="Arial"/>
        <family val="2"/>
      </rPr>
      <t>2013</t>
    </r>
    <r>
      <rPr>
        <sz val="7.5"/>
        <color theme="1"/>
        <rFont val="仿宋_GB2312"/>
        <family val="3"/>
        <charset val="134"/>
      </rPr>
      <t>）第</t>
    </r>
    <r>
      <rPr>
        <sz val="7.5"/>
        <color theme="1"/>
        <rFont val="Arial"/>
        <family val="2"/>
      </rPr>
      <t>69187</t>
    </r>
    <r>
      <rPr>
        <sz val="7.5"/>
        <color theme="1"/>
        <rFont val="仿宋_GB2312"/>
        <family val="3"/>
        <charset val="134"/>
      </rPr>
      <t>号</t>
    </r>
  </si>
  <si>
    <r>
      <t>峨眉山市黄湾乡张坝村</t>
    </r>
    <r>
      <rPr>
        <sz val="7.5"/>
        <color theme="1"/>
        <rFont val="Arial"/>
        <family val="2"/>
      </rPr>
      <t>7</t>
    </r>
    <r>
      <rPr>
        <sz val="7.5"/>
        <color theme="1"/>
        <rFont val="仿宋_GB2312"/>
        <family val="3"/>
        <charset val="134"/>
      </rPr>
      <t>组</t>
    </r>
  </si>
  <si>
    <r>
      <t>峨眉国用（</t>
    </r>
    <r>
      <rPr>
        <sz val="7.5"/>
        <color theme="1"/>
        <rFont val="Arial"/>
        <family val="2"/>
      </rPr>
      <t>2013</t>
    </r>
    <r>
      <rPr>
        <sz val="7.5"/>
        <color theme="1"/>
        <rFont val="仿宋_GB2312"/>
        <family val="3"/>
        <charset val="134"/>
      </rPr>
      <t>）第</t>
    </r>
    <r>
      <rPr>
        <sz val="7.5"/>
        <color theme="1"/>
        <rFont val="Arial"/>
        <family val="2"/>
      </rPr>
      <t>69185</t>
    </r>
    <r>
      <rPr>
        <sz val="7.5"/>
        <color theme="1"/>
        <rFont val="仿宋_GB2312"/>
        <family val="3"/>
        <charset val="134"/>
      </rPr>
      <t>号</t>
    </r>
  </si>
  <si>
    <r>
      <t>峨眉山市黄湾乡张坝村</t>
    </r>
    <r>
      <rPr>
        <sz val="7.5"/>
        <color theme="1"/>
        <rFont val="Arial"/>
        <family val="2"/>
      </rPr>
      <t>3</t>
    </r>
    <r>
      <rPr>
        <sz val="7.5"/>
        <color theme="1"/>
        <rFont val="仿宋_GB2312"/>
        <family val="3"/>
        <charset val="134"/>
      </rPr>
      <t>、</t>
    </r>
    <r>
      <rPr>
        <sz val="7.5"/>
        <color theme="1"/>
        <rFont val="Arial"/>
        <family val="2"/>
      </rPr>
      <t>4</t>
    </r>
    <r>
      <rPr>
        <sz val="7.5"/>
        <color theme="1"/>
        <rFont val="仿宋_GB2312"/>
        <family val="3"/>
        <charset val="134"/>
      </rPr>
      <t>、</t>
    </r>
    <r>
      <rPr>
        <sz val="7.5"/>
        <color theme="1"/>
        <rFont val="Arial"/>
        <family val="2"/>
      </rPr>
      <t>7</t>
    </r>
    <r>
      <rPr>
        <sz val="7.5"/>
        <color theme="1"/>
        <rFont val="仿宋_GB2312"/>
        <family val="3"/>
        <charset val="134"/>
      </rPr>
      <t>组</t>
    </r>
  </si>
  <si>
    <r>
      <t>峨眉国用（</t>
    </r>
    <r>
      <rPr>
        <sz val="7.5"/>
        <color theme="1"/>
        <rFont val="Arial"/>
        <family val="2"/>
      </rPr>
      <t>2013</t>
    </r>
    <r>
      <rPr>
        <sz val="7.5"/>
        <color theme="1"/>
        <rFont val="仿宋_GB2312"/>
        <family val="3"/>
        <charset val="134"/>
      </rPr>
      <t>）第</t>
    </r>
    <r>
      <rPr>
        <sz val="7.5"/>
        <color theme="1"/>
        <rFont val="Arial"/>
        <family val="2"/>
      </rPr>
      <t>69116</t>
    </r>
    <r>
      <rPr>
        <sz val="7.5"/>
        <color theme="1"/>
        <rFont val="仿宋_GB2312"/>
        <family val="3"/>
        <charset val="134"/>
      </rPr>
      <t>号</t>
    </r>
  </si>
  <si>
    <r>
      <t>峨眉国用（</t>
    </r>
    <r>
      <rPr>
        <sz val="7.5"/>
        <color theme="1"/>
        <rFont val="Arial"/>
        <family val="2"/>
      </rPr>
      <t>2013</t>
    </r>
    <r>
      <rPr>
        <sz val="7.5"/>
        <color theme="1"/>
        <rFont val="仿宋_GB2312"/>
        <family val="3"/>
        <charset val="134"/>
      </rPr>
      <t>）第</t>
    </r>
    <r>
      <rPr>
        <sz val="7.5"/>
        <color theme="1"/>
        <rFont val="Arial"/>
        <family val="2"/>
      </rPr>
      <t>69114</t>
    </r>
    <r>
      <rPr>
        <sz val="7.5"/>
        <color theme="1"/>
        <rFont val="仿宋_GB2312"/>
        <family val="3"/>
        <charset val="134"/>
      </rPr>
      <t>号</t>
    </r>
  </si>
  <si>
    <r>
      <t>峨眉山市黄湾乡张坝村</t>
    </r>
    <r>
      <rPr>
        <sz val="7.5"/>
        <color theme="1"/>
        <rFont val="Arial"/>
        <family val="2"/>
      </rPr>
      <t>2</t>
    </r>
    <r>
      <rPr>
        <sz val="7.5"/>
        <color theme="1"/>
        <rFont val="仿宋_GB2312"/>
        <family val="3"/>
        <charset val="134"/>
      </rPr>
      <t>、</t>
    </r>
    <r>
      <rPr>
        <sz val="7.5"/>
        <color theme="1"/>
        <rFont val="Arial"/>
        <family val="2"/>
      </rPr>
      <t>3</t>
    </r>
    <r>
      <rPr>
        <sz val="7.5"/>
        <color theme="1"/>
        <rFont val="仿宋_GB2312"/>
        <family val="3"/>
        <charset val="134"/>
      </rPr>
      <t>组</t>
    </r>
  </si>
  <si>
    <r>
      <t>峨眉国用（</t>
    </r>
    <r>
      <rPr>
        <sz val="7.5"/>
        <color theme="1"/>
        <rFont val="Arial"/>
        <family val="2"/>
      </rPr>
      <t>2013</t>
    </r>
    <r>
      <rPr>
        <sz val="7.5"/>
        <color theme="1"/>
        <rFont val="仿宋_GB2312"/>
        <family val="3"/>
        <charset val="134"/>
      </rPr>
      <t>）第</t>
    </r>
    <r>
      <rPr>
        <sz val="7.5"/>
        <color theme="1"/>
        <rFont val="Arial"/>
        <family val="2"/>
      </rPr>
      <t>67624</t>
    </r>
    <r>
      <rPr>
        <sz val="7.5"/>
        <color theme="1"/>
        <rFont val="仿宋_GB2312"/>
        <family val="3"/>
        <charset val="134"/>
      </rPr>
      <t>号</t>
    </r>
  </si>
  <si>
    <r>
      <t>峨眉山市黄湾乡张坝村</t>
    </r>
    <r>
      <rPr>
        <sz val="7.5"/>
        <color theme="1"/>
        <rFont val="Arial"/>
        <family val="2"/>
      </rPr>
      <t>2</t>
    </r>
    <r>
      <rPr>
        <sz val="7.5"/>
        <color theme="1"/>
        <rFont val="仿宋_GB2312"/>
        <family val="3"/>
        <charset val="134"/>
      </rPr>
      <t>组</t>
    </r>
  </si>
  <si>
    <r>
      <t>峨眉国用（</t>
    </r>
    <r>
      <rPr>
        <sz val="7.5"/>
        <color theme="1"/>
        <rFont val="Arial"/>
        <family val="2"/>
      </rPr>
      <t>2016</t>
    </r>
    <r>
      <rPr>
        <sz val="7.5"/>
        <color theme="1"/>
        <rFont val="仿宋_GB2312"/>
        <family val="3"/>
        <charset val="134"/>
      </rPr>
      <t>）第</t>
    </r>
    <r>
      <rPr>
        <sz val="7.5"/>
        <color theme="1"/>
        <rFont val="Arial"/>
        <family val="2"/>
      </rPr>
      <t>84238</t>
    </r>
    <r>
      <rPr>
        <sz val="7.5"/>
        <color theme="1"/>
        <rFont val="仿宋_GB2312"/>
        <family val="3"/>
        <charset val="134"/>
      </rPr>
      <t>号</t>
    </r>
  </si>
  <si>
    <t>峨眉山市黄湾乡张坝村五组</t>
  </si>
  <si>
    <t>商服（批发零售、住宿餐饮、商务金融及其他商服用地）</t>
  </si>
  <si>
    <r>
      <t>商业：</t>
    </r>
    <r>
      <rPr>
        <sz val="7.5"/>
        <color theme="1"/>
        <rFont val="Arial"/>
        <family val="2"/>
      </rPr>
      <t>2055-12-3</t>
    </r>
  </si>
  <si>
    <r>
      <t>峨眉国用（</t>
    </r>
    <r>
      <rPr>
        <sz val="7.5"/>
        <color theme="1"/>
        <rFont val="Arial"/>
        <family val="2"/>
      </rPr>
      <t>2016</t>
    </r>
    <r>
      <rPr>
        <sz val="7.5"/>
        <color theme="1"/>
        <rFont val="仿宋_GB2312"/>
        <family val="3"/>
        <charset val="134"/>
      </rPr>
      <t>）第</t>
    </r>
    <r>
      <rPr>
        <sz val="7.5"/>
        <color theme="1"/>
        <rFont val="Arial"/>
        <family val="2"/>
      </rPr>
      <t>84236</t>
    </r>
    <r>
      <rPr>
        <sz val="7.5"/>
        <color theme="1"/>
        <rFont val="仿宋_GB2312"/>
        <family val="3"/>
        <charset val="134"/>
      </rPr>
      <t>号</t>
    </r>
  </si>
  <si>
    <t>峨眉山市黄湾乡张坝村四、五组</t>
  </si>
  <si>
    <r>
      <t>峨眉国用（</t>
    </r>
    <r>
      <rPr>
        <sz val="7.5"/>
        <color theme="1"/>
        <rFont val="Arial"/>
        <family val="2"/>
      </rPr>
      <t>2016</t>
    </r>
    <r>
      <rPr>
        <sz val="7.5"/>
        <color theme="1"/>
        <rFont val="仿宋_GB2312"/>
        <family val="3"/>
        <charset val="134"/>
      </rPr>
      <t>）第</t>
    </r>
    <r>
      <rPr>
        <sz val="7.5"/>
        <color theme="1"/>
        <rFont val="Arial"/>
        <family val="2"/>
      </rPr>
      <t>84230</t>
    </r>
    <r>
      <rPr>
        <sz val="7.5"/>
        <color theme="1"/>
        <rFont val="仿宋_GB2312"/>
        <family val="3"/>
        <charset val="134"/>
      </rPr>
      <t>号</t>
    </r>
  </si>
  <si>
    <t>峨眉山市黄湾乡张坝村三组</t>
  </si>
  <si>
    <r>
      <t>峨眉国用（</t>
    </r>
    <r>
      <rPr>
        <sz val="7.5"/>
        <color theme="1"/>
        <rFont val="Arial"/>
        <family val="2"/>
      </rPr>
      <t>2016</t>
    </r>
    <r>
      <rPr>
        <sz val="7.5"/>
        <color theme="1"/>
        <rFont val="仿宋_GB2312"/>
        <family val="3"/>
        <charset val="134"/>
      </rPr>
      <t>）第</t>
    </r>
    <r>
      <rPr>
        <sz val="7.5"/>
        <color theme="1"/>
        <rFont val="Arial"/>
        <family val="2"/>
      </rPr>
      <t>84234</t>
    </r>
    <r>
      <rPr>
        <sz val="7.5"/>
        <color theme="1"/>
        <rFont val="仿宋_GB2312"/>
        <family val="3"/>
        <charset val="134"/>
      </rPr>
      <t>号</t>
    </r>
  </si>
  <si>
    <t>峨眉山市黄湾乡张坝村二组</t>
  </si>
  <si>
    <r>
      <t>峨眉国用（</t>
    </r>
    <r>
      <rPr>
        <sz val="7.5"/>
        <color theme="1"/>
        <rFont val="Arial"/>
        <family val="2"/>
      </rPr>
      <t>2016</t>
    </r>
    <r>
      <rPr>
        <sz val="7.5"/>
        <color theme="1"/>
        <rFont val="仿宋_GB2312"/>
        <family val="3"/>
        <charset val="134"/>
      </rPr>
      <t>）第</t>
    </r>
    <r>
      <rPr>
        <sz val="7.5"/>
        <color theme="1"/>
        <rFont val="Arial"/>
        <family val="2"/>
      </rPr>
      <t>86591</t>
    </r>
    <r>
      <rPr>
        <sz val="7.5"/>
        <color theme="1"/>
        <rFont val="仿宋_GB2312"/>
        <family val="3"/>
        <charset val="134"/>
      </rPr>
      <t>号</t>
    </r>
  </si>
  <si>
    <t>峨眉山市黄湾乡张坝村一、二组</t>
  </si>
  <si>
    <t>公共管理与公共服务（风景名胜设施用地）商服（批发零售、餐饮住宿用地）</t>
  </si>
  <si>
    <r>
      <t>商业</t>
    </r>
    <r>
      <rPr>
        <sz val="7.5"/>
        <color theme="1"/>
        <rFont val="Arial"/>
        <family val="2"/>
      </rPr>
      <t>2056-6-22</t>
    </r>
  </si>
  <si>
    <r>
      <t>峨眉国用（</t>
    </r>
    <r>
      <rPr>
        <sz val="7.5"/>
        <color theme="1"/>
        <rFont val="Arial"/>
        <family val="2"/>
      </rPr>
      <t>2016</t>
    </r>
    <r>
      <rPr>
        <sz val="7.5"/>
        <color theme="1"/>
        <rFont val="仿宋_GB2312"/>
        <family val="3"/>
        <charset val="134"/>
      </rPr>
      <t>）第</t>
    </r>
    <r>
      <rPr>
        <sz val="7.5"/>
        <color theme="1"/>
        <rFont val="Arial"/>
        <family val="2"/>
      </rPr>
      <t>86600</t>
    </r>
    <r>
      <rPr>
        <sz val="7.5"/>
        <color theme="1"/>
        <rFont val="仿宋_GB2312"/>
        <family val="3"/>
        <charset val="134"/>
      </rPr>
      <t>号</t>
    </r>
  </si>
  <si>
    <t>商服（批发零售、餐饮住宿用地）</t>
  </si>
  <si>
    <r>
      <t>峨眉国用（</t>
    </r>
    <r>
      <rPr>
        <sz val="7.5"/>
        <color theme="1"/>
        <rFont val="Arial"/>
        <family val="2"/>
      </rPr>
      <t>2016</t>
    </r>
    <r>
      <rPr>
        <sz val="7.5"/>
        <color theme="1"/>
        <rFont val="仿宋_GB2312"/>
        <family val="3"/>
        <charset val="134"/>
      </rPr>
      <t>）第</t>
    </r>
    <r>
      <rPr>
        <sz val="7.5"/>
        <color theme="1"/>
        <rFont val="Arial"/>
        <family val="2"/>
      </rPr>
      <t>86605</t>
    </r>
    <r>
      <rPr>
        <sz val="7.5"/>
        <color theme="1"/>
        <rFont val="仿宋_GB2312"/>
        <family val="3"/>
        <charset val="134"/>
      </rPr>
      <t>号</t>
    </r>
  </si>
  <si>
    <r>
      <t>峨眉国用（</t>
    </r>
    <r>
      <rPr>
        <sz val="7.5"/>
        <color theme="1"/>
        <rFont val="Arial"/>
        <family val="2"/>
      </rPr>
      <t>2016</t>
    </r>
    <r>
      <rPr>
        <sz val="7.5"/>
        <color theme="1"/>
        <rFont val="仿宋_GB2312"/>
        <family val="3"/>
        <charset val="134"/>
      </rPr>
      <t>）第</t>
    </r>
    <r>
      <rPr>
        <sz val="7.5"/>
        <color theme="1"/>
        <rFont val="Arial"/>
        <family val="2"/>
      </rPr>
      <t>86654</t>
    </r>
    <r>
      <rPr>
        <sz val="7.5"/>
        <color theme="1"/>
        <rFont val="仿宋_GB2312"/>
        <family val="3"/>
        <charset val="134"/>
      </rPr>
      <t>号</t>
    </r>
  </si>
  <si>
    <t>峨眉山市黄湾乡张坝村五、八组</t>
  </si>
  <si>
    <r>
      <t>峨眉国用（</t>
    </r>
    <r>
      <rPr>
        <sz val="7.5"/>
        <color theme="1"/>
        <rFont val="Arial"/>
        <family val="2"/>
      </rPr>
      <t>2016</t>
    </r>
    <r>
      <rPr>
        <sz val="7.5"/>
        <color theme="1"/>
        <rFont val="仿宋_GB2312"/>
        <family val="3"/>
        <charset val="134"/>
      </rPr>
      <t>）第</t>
    </r>
    <r>
      <rPr>
        <sz val="7.5"/>
        <color theme="1"/>
        <rFont val="Arial"/>
        <family val="2"/>
      </rPr>
      <t>86658</t>
    </r>
    <r>
      <rPr>
        <sz val="7.5"/>
        <color theme="1"/>
        <rFont val="仿宋_GB2312"/>
        <family val="3"/>
        <charset val="134"/>
      </rPr>
      <t>号</t>
    </r>
  </si>
  <si>
    <r>
      <t>峨眉国用（</t>
    </r>
    <r>
      <rPr>
        <sz val="7.5"/>
        <color theme="1"/>
        <rFont val="Arial"/>
        <family val="2"/>
      </rPr>
      <t>2016</t>
    </r>
    <r>
      <rPr>
        <sz val="7.5"/>
        <color theme="1"/>
        <rFont val="仿宋_GB2312"/>
        <family val="3"/>
        <charset val="134"/>
      </rPr>
      <t>）第</t>
    </r>
    <r>
      <rPr>
        <sz val="7.5"/>
        <color theme="1"/>
        <rFont val="Arial"/>
        <family val="2"/>
      </rPr>
      <t>86659</t>
    </r>
    <r>
      <rPr>
        <sz val="7.5"/>
        <color theme="1"/>
        <rFont val="仿宋_GB2312"/>
        <family val="3"/>
        <charset val="134"/>
      </rPr>
      <t>号</t>
    </r>
  </si>
  <si>
    <t>峨眉山市黄湾乡张坝村八组</t>
  </si>
  <si>
    <r>
      <t>峨眉国用（</t>
    </r>
    <r>
      <rPr>
        <sz val="7.5"/>
        <color theme="1"/>
        <rFont val="Arial"/>
        <family val="2"/>
      </rPr>
      <t>2016</t>
    </r>
    <r>
      <rPr>
        <sz val="7.5"/>
        <color theme="1"/>
        <rFont val="仿宋_GB2312"/>
        <family val="3"/>
        <charset val="134"/>
      </rPr>
      <t>）第</t>
    </r>
    <r>
      <rPr>
        <sz val="7.5"/>
        <color theme="1"/>
        <rFont val="Arial"/>
        <family val="2"/>
      </rPr>
      <t>86657</t>
    </r>
    <r>
      <rPr>
        <sz val="7.5"/>
        <color theme="1"/>
        <rFont val="仿宋_GB2312"/>
        <family val="3"/>
        <charset val="134"/>
      </rPr>
      <t>号</t>
    </r>
  </si>
  <si>
    <t>出让合同编号</t>
  </si>
  <si>
    <t>签订日期</t>
  </si>
  <si>
    <t>出让金金额</t>
  </si>
  <si>
    <t>开工日期</t>
  </si>
  <si>
    <t>竣工日期</t>
  </si>
  <si>
    <t>地类用途</t>
  </si>
  <si>
    <t>剩余土地使用年限</t>
  </si>
  <si>
    <r>
      <t>住宅</t>
    </r>
    <r>
      <rPr>
        <sz val="7.5"/>
        <color theme="1"/>
        <rFont val="Arial"/>
        <family val="2"/>
      </rPr>
      <t>66.4</t>
    </r>
    <r>
      <rPr>
        <sz val="7.5"/>
        <color theme="1"/>
        <rFont val="仿宋_GB2312"/>
        <family val="3"/>
        <charset val="134"/>
      </rPr>
      <t>年；商业</t>
    </r>
    <r>
      <rPr>
        <sz val="7.5"/>
        <color theme="1"/>
        <rFont val="Arial"/>
        <family val="2"/>
      </rPr>
      <t>36.4</t>
    </r>
    <r>
      <rPr>
        <sz val="7.5"/>
        <color theme="1"/>
        <rFont val="仿宋_GB2312"/>
        <family val="3"/>
        <charset val="134"/>
      </rPr>
      <t>年</t>
    </r>
  </si>
  <si>
    <r>
      <t>住宅</t>
    </r>
    <r>
      <rPr>
        <sz val="7.5"/>
        <color theme="1"/>
        <rFont val="Arial"/>
        <family val="2"/>
      </rPr>
      <t>68.5</t>
    </r>
    <r>
      <rPr>
        <sz val="7.5"/>
        <color theme="1"/>
        <rFont val="仿宋_GB2312"/>
        <family val="3"/>
        <charset val="134"/>
      </rPr>
      <t>年；商业</t>
    </r>
    <r>
      <rPr>
        <sz val="7.5"/>
        <color theme="1"/>
        <rFont val="Arial"/>
        <family val="2"/>
      </rPr>
      <t>38.5</t>
    </r>
    <r>
      <rPr>
        <sz val="7.5"/>
        <color theme="1"/>
        <rFont val="仿宋_GB2312"/>
        <family val="3"/>
        <charset val="134"/>
      </rPr>
      <t>年</t>
    </r>
  </si>
  <si>
    <r>
      <t>电子监管号：</t>
    </r>
    <r>
      <rPr>
        <sz val="7.5"/>
        <color theme="1"/>
        <rFont val="Arial"/>
        <family val="2"/>
      </rPr>
      <t>5111812014B00115</t>
    </r>
  </si>
  <si>
    <r>
      <t>电子监管号：</t>
    </r>
    <r>
      <rPr>
        <sz val="7.5"/>
        <color theme="1"/>
        <rFont val="Arial"/>
        <family val="2"/>
      </rPr>
      <t>5111812014B00125</t>
    </r>
  </si>
  <si>
    <r>
      <t>电子监管号：</t>
    </r>
    <r>
      <rPr>
        <sz val="7.5"/>
        <color theme="1"/>
        <rFont val="Arial"/>
        <family val="2"/>
      </rPr>
      <t>5111812014B00139</t>
    </r>
  </si>
  <si>
    <r>
      <t>电子监管号：</t>
    </r>
    <r>
      <rPr>
        <sz val="7.5"/>
        <color theme="1"/>
        <rFont val="Arial"/>
        <family val="2"/>
      </rPr>
      <t>5111812014B00145</t>
    </r>
  </si>
  <si>
    <r>
      <t>电子监管号：</t>
    </r>
    <r>
      <rPr>
        <sz val="7.5"/>
        <color theme="1"/>
        <rFont val="Arial"/>
        <family val="2"/>
      </rPr>
      <t>5111812016B01324</t>
    </r>
  </si>
  <si>
    <r>
      <t>电子监管号：</t>
    </r>
    <r>
      <rPr>
        <sz val="7.5"/>
        <color theme="1"/>
        <rFont val="Arial"/>
        <family val="2"/>
      </rPr>
      <t>5111812016B01068</t>
    </r>
  </si>
  <si>
    <r>
      <t>电子监管号：</t>
    </r>
    <r>
      <rPr>
        <sz val="7.5"/>
        <color theme="1"/>
        <rFont val="Arial"/>
        <family val="2"/>
      </rPr>
      <t>5111812016B01206</t>
    </r>
  </si>
  <si>
    <r>
      <t>电子监管号：</t>
    </r>
    <r>
      <rPr>
        <sz val="7.5"/>
        <color theme="1"/>
        <rFont val="Arial"/>
        <family val="2"/>
      </rPr>
      <t>5111812016B01300</t>
    </r>
  </si>
  <si>
    <r>
      <t>电子监管号：</t>
    </r>
    <r>
      <rPr>
        <sz val="7.5"/>
        <color theme="1"/>
        <rFont val="Arial"/>
        <family val="2"/>
      </rPr>
      <t>5111812016B01298</t>
    </r>
  </si>
  <si>
    <r>
      <t>电子监管号：</t>
    </r>
    <r>
      <rPr>
        <sz val="7.5"/>
        <color theme="1"/>
        <rFont val="Arial"/>
        <family val="2"/>
      </rPr>
      <t>5111812016B01160</t>
    </r>
  </si>
  <si>
    <r>
      <t>电子监管号：</t>
    </r>
    <r>
      <rPr>
        <sz val="7.5"/>
        <color theme="1"/>
        <rFont val="Arial"/>
        <family val="2"/>
      </rPr>
      <t>5111812014B00039</t>
    </r>
  </si>
  <si>
    <r>
      <t>电子监管号：</t>
    </r>
    <r>
      <rPr>
        <sz val="7.5"/>
        <color theme="1"/>
        <rFont val="Arial"/>
        <family val="2"/>
      </rPr>
      <t>5111812014B00075</t>
    </r>
  </si>
  <si>
    <r>
      <t>电子监管号：</t>
    </r>
    <r>
      <rPr>
        <sz val="7.5"/>
        <color theme="1"/>
        <rFont val="Arial"/>
        <family val="2"/>
      </rPr>
      <t>5111812014B00085</t>
    </r>
  </si>
  <si>
    <r>
      <t>电子监管号：</t>
    </r>
    <r>
      <rPr>
        <sz val="7.5"/>
        <color theme="1"/>
        <rFont val="Arial"/>
        <family val="2"/>
      </rPr>
      <t>5111812014B00057</t>
    </r>
  </si>
  <si>
    <r>
      <t>电子监管号：</t>
    </r>
    <r>
      <rPr>
        <sz val="7.5"/>
        <color theme="1"/>
        <rFont val="Arial"/>
        <family val="2"/>
      </rPr>
      <t>5111812016B01264</t>
    </r>
  </si>
  <si>
    <r>
      <t>电子监管号：</t>
    </r>
    <r>
      <rPr>
        <sz val="7.5"/>
        <color theme="1"/>
        <rFont val="Arial"/>
        <family val="2"/>
      </rPr>
      <t>5111812016B01150</t>
    </r>
  </si>
  <si>
    <r>
      <t>电子监管号：</t>
    </r>
    <r>
      <rPr>
        <sz val="7.5"/>
        <color theme="1"/>
        <rFont val="Arial"/>
        <family val="2"/>
      </rPr>
      <t>5111812014B00047</t>
    </r>
  </si>
  <si>
    <r>
      <t>住宅</t>
    </r>
    <r>
      <rPr>
        <sz val="7.5"/>
        <color theme="1"/>
        <rFont val="Arial"/>
        <family val="2"/>
      </rPr>
      <t>46.4</t>
    </r>
    <r>
      <rPr>
        <sz val="7.5"/>
        <color theme="1"/>
        <rFont val="仿宋_GB2312"/>
        <family val="3"/>
        <charset val="134"/>
      </rPr>
      <t>年</t>
    </r>
  </si>
  <si>
    <r>
      <t>电子监管号：</t>
    </r>
    <r>
      <rPr>
        <sz val="7.5"/>
        <color theme="1"/>
        <rFont val="Arial"/>
        <family val="2"/>
      </rPr>
      <t>5111812014B00096</t>
    </r>
  </si>
  <si>
    <r>
      <t>商业</t>
    </r>
    <r>
      <rPr>
        <sz val="7.5"/>
        <color theme="1"/>
        <rFont val="Arial"/>
        <family val="2"/>
      </rPr>
      <t>36.4</t>
    </r>
    <r>
      <rPr>
        <sz val="7.5"/>
        <color theme="1"/>
        <rFont val="仿宋_GB2312"/>
        <family val="3"/>
        <charset val="134"/>
      </rPr>
      <t>年</t>
    </r>
  </si>
  <si>
    <r>
      <t>电子监管号：</t>
    </r>
    <r>
      <rPr>
        <sz val="7.5"/>
        <color theme="1"/>
        <rFont val="Arial"/>
        <family val="2"/>
      </rPr>
      <t>5111812014B00101</t>
    </r>
  </si>
  <si>
    <r>
      <t>电子监管号：</t>
    </r>
    <r>
      <rPr>
        <sz val="7.5"/>
        <color theme="1"/>
        <rFont val="Arial"/>
        <family val="2"/>
      </rPr>
      <t>5111812013B00025</t>
    </r>
  </si>
  <si>
    <r>
      <t>商业</t>
    </r>
    <r>
      <rPr>
        <sz val="7.5"/>
        <color theme="1"/>
        <rFont val="Arial"/>
        <family val="2"/>
      </rPr>
      <t>35.5</t>
    </r>
    <r>
      <rPr>
        <sz val="7.5"/>
        <color theme="1"/>
        <rFont val="仿宋_GB2312"/>
        <family val="3"/>
        <charset val="134"/>
      </rPr>
      <t>年</t>
    </r>
  </si>
  <si>
    <r>
      <t>电子监管号：</t>
    </r>
    <r>
      <rPr>
        <sz val="7.5"/>
        <color theme="1"/>
        <rFont val="Arial"/>
        <family val="2"/>
      </rPr>
      <t>5111812015B00668</t>
    </r>
  </si>
  <si>
    <r>
      <t>商业</t>
    </r>
    <r>
      <rPr>
        <sz val="7.5"/>
        <color theme="1"/>
        <rFont val="Arial"/>
        <family val="2"/>
      </rPr>
      <t>37.9</t>
    </r>
    <r>
      <rPr>
        <sz val="7.5"/>
        <color theme="1"/>
        <rFont val="仿宋_GB2312"/>
        <family val="3"/>
        <charset val="134"/>
      </rPr>
      <t>年</t>
    </r>
  </si>
  <si>
    <r>
      <t>电子监管号：</t>
    </r>
    <r>
      <rPr>
        <sz val="7.5"/>
        <color theme="1"/>
        <rFont val="Arial"/>
        <family val="2"/>
      </rPr>
      <t>5111812015B00625</t>
    </r>
  </si>
  <si>
    <r>
      <t>电子监管号：</t>
    </r>
    <r>
      <rPr>
        <sz val="7.5"/>
        <color theme="1"/>
        <rFont val="Arial"/>
        <family val="2"/>
      </rPr>
      <t>5111812015B00610</t>
    </r>
  </si>
  <si>
    <r>
      <t>电子监管号：</t>
    </r>
    <r>
      <rPr>
        <sz val="7.5"/>
        <color theme="1"/>
        <rFont val="Arial"/>
        <family val="2"/>
      </rPr>
      <t>5111812015B00589</t>
    </r>
  </si>
  <si>
    <r>
      <t>电子监管号：</t>
    </r>
    <r>
      <rPr>
        <sz val="7.5"/>
        <color theme="1"/>
        <rFont val="Arial"/>
        <family val="2"/>
      </rPr>
      <t>5111812016B01330</t>
    </r>
  </si>
  <si>
    <r>
      <t>商业</t>
    </r>
    <r>
      <rPr>
        <sz val="7.5"/>
        <color theme="1"/>
        <rFont val="Arial"/>
        <family val="2"/>
      </rPr>
      <t>38.5</t>
    </r>
    <r>
      <rPr>
        <sz val="7.5"/>
        <color theme="1"/>
        <rFont val="仿宋_GB2312"/>
        <family val="3"/>
        <charset val="134"/>
      </rPr>
      <t>年</t>
    </r>
  </si>
  <si>
    <r>
      <t>电子监管号：</t>
    </r>
    <r>
      <rPr>
        <sz val="7.5"/>
        <color theme="1"/>
        <rFont val="Arial"/>
        <family val="2"/>
      </rPr>
      <t>5111812016B01195</t>
    </r>
  </si>
  <si>
    <r>
      <t>电子监管号：</t>
    </r>
    <r>
      <rPr>
        <sz val="7.5"/>
        <color theme="1"/>
        <rFont val="Arial"/>
        <family val="2"/>
      </rPr>
      <t>5111812016B01224</t>
    </r>
  </si>
  <si>
    <r>
      <t>电子监管号：</t>
    </r>
    <r>
      <rPr>
        <sz val="7.5"/>
        <color theme="1"/>
        <rFont val="Arial"/>
        <family val="2"/>
      </rPr>
      <t>5111812016B01178</t>
    </r>
  </si>
  <si>
    <r>
      <t>电子监管号：</t>
    </r>
    <r>
      <rPr>
        <sz val="7.5"/>
        <color theme="1"/>
        <rFont val="Arial"/>
        <family val="2"/>
      </rPr>
      <t>5111812016B01100</t>
    </r>
  </si>
  <si>
    <r>
      <t>电子监管号：</t>
    </r>
    <r>
      <rPr>
        <sz val="7.5"/>
        <color theme="1"/>
        <rFont val="Arial"/>
        <family val="2"/>
      </rPr>
      <t>5111812016B01258</t>
    </r>
  </si>
  <si>
    <r>
      <t>电子监管号：</t>
    </r>
    <r>
      <rPr>
        <sz val="7.5"/>
        <color theme="1"/>
        <rFont val="Arial"/>
        <family val="2"/>
      </rPr>
      <t>5111812016B01129</t>
    </r>
  </si>
  <si>
    <r>
      <t>　</t>
    </r>
    <r>
      <rPr>
        <sz val="7.5"/>
        <color theme="1"/>
        <rFont val="Arial"/>
        <family val="2"/>
      </rPr>
      <t>/</t>
    </r>
  </si>
  <si>
    <r>
      <t>电子监管号：</t>
    </r>
    <r>
      <rPr>
        <sz val="7.5"/>
        <color theme="1"/>
        <rFont val="Arial"/>
        <family val="2"/>
      </rPr>
      <t>5111812014B00011</t>
    </r>
    <phoneticPr fontId="233" type="noConversion"/>
  </si>
  <si>
    <r>
      <t>电子监管号：</t>
    </r>
    <r>
      <rPr>
        <sz val="7.5"/>
        <color theme="1"/>
        <rFont val="Arial"/>
        <family val="2"/>
      </rPr>
      <t>5111812014B00023</t>
    </r>
    <phoneticPr fontId="233" type="noConversion"/>
  </si>
  <si>
    <r>
      <t>电子监管号：</t>
    </r>
    <r>
      <rPr>
        <sz val="7.5"/>
        <color theme="1"/>
        <rFont val="Arial"/>
        <family val="2"/>
      </rPr>
      <t>5111812016B01094</t>
    </r>
    <phoneticPr fontId="233" type="noConversion"/>
  </si>
  <si>
    <t>2017-拍-16号</t>
    <phoneticPr fontId="3" type="noConversion"/>
  </si>
  <si>
    <t>峨眉山市龙池镇杨柳村1组</t>
    <phoneticPr fontId="3" type="noConversion"/>
  </si>
  <si>
    <t>其他普通商品住房用地</t>
    <phoneticPr fontId="26" type="noConversion"/>
  </si>
  <si>
    <t>峨眉山市胜利镇红星村</t>
    <phoneticPr fontId="3" type="noConversion"/>
  </si>
  <si>
    <t>峨眉山市胜利镇红星村6组</t>
    <phoneticPr fontId="3" type="noConversion"/>
  </si>
  <si>
    <t>2017-拍-47号</t>
    <phoneticPr fontId="3" type="noConversion"/>
  </si>
  <si>
    <t>2017-拍-46号</t>
    <phoneticPr fontId="3" type="noConversion"/>
  </si>
  <si>
    <t>比较因素</t>
  </si>
  <si>
    <r>
      <t>估价对象</t>
    </r>
    <r>
      <rPr>
        <b/>
        <sz val="9"/>
        <color theme="1"/>
        <rFont val="Arial"/>
        <family val="2"/>
      </rPr>
      <t>1</t>
    </r>
  </si>
  <si>
    <r>
      <t>案例</t>
    </r>
    <r>
      <rPr>
        <b/>
        <sz val="9"/>
        <color theme="1"/>
        <rFont val="Arial"/>
        <family val="2"/>
      </rPr>
      <t>A</t>
    </r>
  </si>
  <si>
    <r>
      <t>案例</t>
    </r>
    <r>
      <rPr>
        <b/>
        <sz val="9"/>
        <color theme="1"/>
        <rFont val="Arial"/>
        <family val="2"/>
      </rPr>
      <t>B</t>
    </r>
  </si>
  <si>
    <r>
      <t>案例</t>
    </r>
    <r>
      <rPr>
        <b/>
        <sz val="9"/>
        <color theme="1"/>
        <rFont val="Arial"/>
        <family val="2"/>
      </rPr>
      <t>C</t>
    </r>
  </si>
  <si>
    <t>交易时间</t>
  </si>
  <si>
    <t>交易情况</t>
  </si>
  <si>
    <t>土地用途</t>
  </si>
  <si>
    <t>土地使用年限</t>
  </si>
  <si>
    <r>
      <t>住宅</t>
    </r>
    <r>
      <rPr>
        <sz val="9"/>
        <color theme="1"/>
        <rFont val="Arial"/>
        <family val="2"/>
      </rPr>
      <t>70</t>
    </r>
    <r>
      <rPr>
        <sz val="9"/>
        <color theme="1"/>
        <rFont val="仿宋_GB2312"/>
        <family val="3"/>
        <charset val="134"/>
      </rPr>
      <t>年、商业</t>
    </r>
    <r>
      <rPr>
        <sz val="9"/>
        <color theme="1"/>
        <rFont val="Arial"/>
        <family val="2"/>
      </rPr>
      <t>40</t>
    </r>
    <r>
      <rPr>
        <sz val="9"/>
        <color theme="1"/>
        <rFont val="仿宋_GB2312"/>
        <family val="3"/>
        <charset val="134"/>
      </rPr>
      <t>年</t>
    </r>
  </si>
  <si>
    <t>区域因素</t>
  </si>
  <si>
    <t>商业繁华度</t>
  </si>
  <si>
    <t>所处区域土地以住宅、商业用地为主，区域土地利用方向一致性较好；</t>
  </si>
  <si>
    <t>公共配套设施状况</t>
  </si>
  <si>
    <t>区域基础设施水平</t>
  </si>
  <si>
    <t>个别因素</t>
  </si>
  <si>
    <t>宗地面积（平方米）</t>
  </si>
  <si>
    <t>宗地形状</t>
  </si>
  <si>
    <t>宗地开发程度</t>
  </si>
  <si>
    <t>工程地质条件</t>
  </si>
  <si>
    <t>峨眉山市龙池镇杨柳村1组2017-拍-16号地块</t>
    <phoneticPr fontId="233" type="noConversion"/>
  </si>
  <si>
    <r>
      <t>住宅</t>
    </r>
    <r>
      <rPr>
        <sz val="9"/>
        <color theme="1"/>
        <rFont val="Arial"/>
        <family val="2"/>
      </rPr>
      <t>66.4</t>
    </r>
    <r>
      <rPr>
        <sz val="9"/>
        <color theme="1"/>
        <rFont val="仿宋_GB2312"/>
        <family val="3"/>
        <charset val="134"/>
      </rPr>
      <t>年、商业</t>
    </r>
    <r>
      <rPr>
        <sz val="9"/>
        <color theme="1"/>
        <rFont val="Arial"/>
        <family val="2"/>
      </rPr>
      <t>36.4</t>
    </r>
    <r>
      <rPr>
        <sz val="9"/>
        <color theme="1"/>
        <rFont val="仿宋_GB2312"/>
        <family val="3"/>
        <charset val="134"/>
      </rPr>
      <t>年</t>
    </r>
    <phoneticPr fontId="233" type="noConversion"/>
  </si>
  <si>
    <t>峨眉山市胜利镇红星村2017-拍-47号地块</t>
    <phoneticPr fontId="233" type="noConversion"/>
  </si>
  <si>
    <t>峨眉山市胜利镇红星村6组2017-拍-46号地块</t>
    <phoneticPr fontId="233" type="noConversion"/>
  </si>
  <si>
    <r>
      <t>所在区域居住用地比例较好、居住小区规模和社区发展完善程度较差，有九宾•湿地、峨眉山与湖、山水峨眉等居住项目，综合评价居住社区成熟度一般</t>
    </r>
    <r>
      <rPr>
        <sz val="9"/>
        <color theme="1"/>
        <rFont val="Arial"/>
        <family val="2"/>
      </rPr>
      <t>;</t>
    </r>
    <phoneticPr fontId="233" type="noConversion"/>
  </si>
  <si>
    <r>
      <t>紧邻国家</t>
    </r>
    <r>
      <rPr>
        <sz val="9"/>
        <color theme="1"/>
        <rFont val="Arial"/>
        <family val="2"/>
      </rPr>
      <t>5A</t>
    </r>
    <r>
      <rPr>
        <sz val="9"/>
        <color theme="1"/>
        <rFont val="仿宋_GB2312"/>
        <family val="3"/>
        <charset val="134"/>
      </rPr>
      <t>级风景名胜区峨眉山风景区，自然环境好，区域内有象城大剧院等人文设施，综合评价自然及人文环境好</t>
    </r>
    <r>
      <rPr>
        <sz val="9"/>
        <color theme="1"/>
        <rFont val="Arial"/>
        <family val="2"/>
      </rPr>
      <t>;</t>
    </r>
    <phoneticPr fontId="233" type="noConversion"/>
  </si>
  <si>
    <t>毗邻道路类型和等级</t>
    <phoneticPr fontId="233" type="noConversion"/>
  </si>
  <si>
    <t>临街宽度及深度</t>
    <phoneticPr fontId="233" type="noConversion"/>
  </si>
  <si>
    <t>商业建筑面积配比</t>
    <phoneticPr fontId="26" type="noConversion"/>
  </si>
  <si>
    <t>商业建筑面积配比</t>
    <phoneticPr fontId="233" type="noConversion"/>
  </si>
  <si>
    <t>0-10%</t>
    <phoneticPr fontId="233" type="noConversion"/>
  </si>
  <si>
    <t>区域内分布银行（招商银行、建设银行、工商银行等）、购物场所（沃美购物广场、润彩广场等）、学校（峨眉二小、峨眉山第四中学等）、公园（峨眉山风景区）等配套设施，配套设施完善程度一般，综合考虑估价对象所在区域公共服务设施齐备程度一般；</t>
    <phoneticPr fontId="233" type="noConversion"/>
  </si>
  <si>
    <r>
      <t>周边有峨眉印象等已建成大型商业，有少量零售商业，商服繁华度一般</t>
    </r>
    <r>
      <rPr>
        <sz val="9"/>
        <color theme="1"/>
        <rFont val="Arial"/>
        <family val="2"/>
      </rPr>
      <t>;</t>
    </r>
    <phoneticPr fontId="233" type="noConversion"/>
  </si>
  <si>
    <t>周边1公里范围内有峨眉山1、3、4路等公交线路设站；停车便捷程度较好；路网密集程度较差；综合评价估价对象交通便捷度一般；</t>
    <phoneticPr fontId="233" type="noConversion"/>
  </si>
  <si>
    <t>村内道路</t>
    <phoneticPr fontId="233" type="noConversion"/>
  </si>
  <si>
    <t>主干道</t>
    <phoneticPr fontId="233" type="noConversion"/>
  </si>
  <si>
    <t>一般</t>
    <phoneticPr fontId="233" type="noConversion"/>
  </si>
  <si>
    <t>三通</t>
    <phoneticPr fontId="233" type="noConversion"/>
  </si>
  <si>
    <t>周边1公里范围内无已建成住宅项目，居住社区成熟度较差；</t>
    <phoneticPr fontId="233" type="noConversion"/>
  </si>
  <si>
    <t>周边无已建成大型商业，有少量零售商业，商服繁华度较差；</t>
    <phoneticPr fontId="233" type="noConversion"/>
  </si>
  <si>
    <t>紧邻S306线，周边路网密集程度一般，无公交线路，整体交通便捷度一般；</t>
    <phoneticPr fontId="233" type="noConversion"/>
  </si>
  <si>
    <t>周边绿化程度高，自然环境较好；区域内无高等院校，人文环境一般；综合自然及人文环境较好；</t>
    <phoneticPr fontId="233" type="noConversion"/>
  </si>
  <si>
    <t>区域内有购物场所（桥头超市）、餐饮（峨眉山山水涧养生庄园）等公共服务配套设施，公共配套设施状况较差；</t>
    <phoneticPr fontId="233" type="noConversion"/>
  </si>
  <si>
    <t>峨眉山市目前已拥有完善的基础设施配套保障，区内大部分区域基础设施配套目前可达到“六通”；</t>
    <phoneticPr fontId="233" type="noConversion"/>
  </si>
  <si>
    <t>较规则</t>
    <phoneticPr fontId="233" type="noConversion"/>
  </si>
  <si>
    <t>周边1公里范围内有爱琴海蓝、名城美景等已建成住宅项目，居住社区成熟度一般；</t>
    <phoneticPr fontId="233" type="noConversion"/>
  </si>
  <si>
    <t>周边有远地.第一城等已建成大型商业，有少量零售商业，商服繁华度一般；</t>
    <phoneticPr fontId="233" type="noConversion"/>
  </si>
  <si>
    <t>紧邻S306线，周边路网密集程度较好，有峨眉山3、4、10路等公交线路在周边经过并设站，整体交通便捷度较好；</t>
    <phoneticPr fontId="233" type="noConversion"/>
  </si>
  <si>
    <t>周边绿化程度高，自然环境较好；区域内无高等院校，人文环境一般；综合自然及人文环境较好；</t>
    <phoneticPr fontId="233" type="noConversion"/>
  </si>
  <si>
    <t>区域内有购物场所（红芯超市、方达超市等）、餐饮（晓宇火锅等）等公共服务配套设施，公共配套设施状况一般；</t>
    <phoneticPr fontId="233" type="noConversion"/>
  </si>
  <si>
    <t>N-22</t>
    <phoneticPr fontId="233" type="noConversion"/>
  </si>
  <si>
    <t>七通</t>
  </si>
  <si>
    <t>按租金收入计税</t>
  </si>
  <si>
    <t>楼面单价</t>
    <phoneticPr fontId="233" type="noConversion"/>
  </si>
  <si>
    <t>价值</t>
    <phoneticPr fontId="233" type="noConversion"/>
  </si>
  <si>
    <t>地面单价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</si>
</sst>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theme="1"/>
      <name val="Calibri"/>
      <family val="2"/>
    </font>
    <font>
      <b/>
      <sz val="9"/>
      <color theme="1"/>
      <name val="仿宋_GB2312"/>
      <family val="3"/>
      <charset val="134"/>
    </font>
    <font>
      <sz val="9"/>
      <color theme="1"/>
      <name val="仿宋_GB2312"/>
      <family val="3"/>
      <charset val="134"/>
    </font>
    <font>
      <b/>
      <sz val="7.5"/>
      <color theme="1"/>
      <name val="仿宋_GB2312"/>
      <family val="3"/>
      <charset val="134"/>
    </font>
    <font>
      <sz val="7.5"/>
      <color theme="1"/>
      <name val="Arial"/>
      <family val="2"/>
    </font>
    <font>
      <sz val="7.5"/>
      <color theme="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theme="5"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8" borderId="0" xfId="0" applyFill="1" applyAlignment="1"/>
    <xf numFmtId="0" fontId="0" fillId="8" borderId="0" xfId="0" applyFill="1" applyBorder="1" applyAlignment="1"/>
    <xf numFmtId="0" fontId="0" fillId="8" borderId="0" xfId="0" applyFill="1" applyAlignment="1">
      <alignment horizontal="center"/>
    </xf>
    <xf numFmtId="14" fontId="0" fillId="8" borderId="0" xfId="0" applyNumberFormat="1" applyFill="1" applyAlignment="1"/>
    <xf numFmtId="0" fontId="0" fillId="6" borderId="0" xfId="0" applyFill="1" applyAlignment="1"/>
    <xf numFmtId="0" fontId="0" fillId="6" borderId="0" xfId="0" applyFill="1" applyBorder="1" applyAlignment="1"/>
    <xf numFmtId="0" fontId="0" fillId="6" borderId="0" xfId="0" applyFill="1" applyAlignment="1">
      <alignment horizontal="center"/>
    </xf>
    <xf numFmtId="14" fontId="0" fillId="6" borderId="0" xfId="0" applyNumberFormat="1" applyFill="1" applyAlignment="1"/>
    <xf numFmtId="9" fontId="0" fillId="6" borderId="0" xfId="0" applyNumberFormat="1" applyFill="1" applyAlignment="1"/>
    <xf numFmtId="0" fontId="0" fillId="16" borderId="0" xfId="0" applyFill="1" applyAlignment="1"/>
    <xf numFmtId="0" fontId="0" fillId="16" borderId="0" xfId="0" applyFill="1" applyAlignment="1">
      <alignment horizontal="center"/>
    </xf>
    <xf numFmtId="0" fontId="145" fillId="0" borderId="0" xfId="0" applyFont="1" applyAlignment="1"/>
    <xf numFmtId="0" fontId="0" fillId="7" borderId="0" xfId="0" applyFill="1" applyAlignment="1"/>
    <xf numFmtId="0" fontId="0" fillId="7" borderId="0" xfId="0" applyFill="1" applyBorder="1" applyAlignment="1"/>
    <xf numFmtId="0" fontId="0" fillId="7" borderId="0" xfId="0" applyFill="1" applyAlignment="1">
      <alignment horizontal="center"/>
    </xf>
    <xf numFmtId="14" fontId="0" fillId="7" borderId="0" xfId="0" applyNumberFormat="1" applyFill="1" applyAlignment="1"/>
    <xf numFmtId="9" fontId="0" fillId="7" borderId="0" xfId="0" applyNumberFormat="1" applyFill="1" applyAlignment="1"/>
    <xf numFmtId="0" fontId="0" fillId="9" borderId="0" xfId="0" applyFill="1" applyAlignment="1"/>
    <xf numFmtId="0" fontId="0" fillId="9" borderId="0" xfId="0" applyFill="1" applyBorder="1" applyAlignment="1"/>
    <xf numFmtId="0" fontId="0" fillId="9" borderId="0" xfId="0" applyFill="1" applyAlignment="1">
      <alignment horizontal="center"/>
    </xf>
    <xf numFmtId="14" fontId="0" fillId="9" borderId="0" xfId="0" applyNumberFormat="1" applyFill="1" applyAlignment="1"/>
    <xf numFmtId="9" fontId="0" fillId="9" borderId="0" xfId="0" applyNumberFormat="1" applyFill="1" applyAlignment="1"/>
    <xf numFmtId="0" fontId="0" fillId="17" borderId="0" xfId="0" applyFill="1" applyAlignment="1"/>
    <xf numFmtId="0" fontId="0" fillId="17" borderId="0" xfId="0" applyFill="1" applyBorder="1" applyAlignment="1"/>
    <xf numFmtId="0" fontId="0" fillId="17" borderId="0" xfId="0" applyFill="1" applyAlignment="1">
      <alignment horizontal="center"/>
    </xf>
    <xf numFmtId="14" fontId="0" fillId="17" borderId="0" xfId="0" applyNumberFormat="1" applyFill="1" applyAlignment="1"/>
    <xf numFmtId="9" fontId="0" fillId="17" borderId="0" xfId="0" applyNumberFormat="1" applyFill="1" applyAlignment="1"/>
    <xf numFmtId="9" fontId="0" fillId="8" borderId="0" xfId="0" applyNumberFormat="1" applyFill="1" applyAlignment="1"/>
    <xf numFmtId="0" fontId="145" fillId="8" borderId="0" xfId="0" applyFont="1" applyFill="1" applyAlignment="1"/>
    <xf numFmtId="0" fontId="0" fillId="0" borderId="0" xfId="0" applyFont="1" applyAlignment="1"/>
    <xf numFmtId="0" fontId="0" fillId="18" borderId="0" xfId="0" applyFill="1" applyAlignment="1"/>
    <xf numFmtId="0" fontId="0" fillId="18" borderId="0" xfId="0" applyFill="1" applyBorder="1" applyAlignment="1"/>
    <xf numFmtId="0" fontId="0" fillId="18" borderId="0" xfId="0" applyFill="1" applyAlignment="1">
      <alignment horizontal="center"/>
    </xf>
    <xf numFmtId="14" fontId="0" fillId="18" borderId="0" xfId="0" applyNumberFormat="1" applyFill="1" applyAlignment="1"/>
    <xf numFmtId="9" fontId="0" fillId="18" borderId="0" xfId="0" applyNumberFormat="1" applyFill="1" applyAlignment="1"/>
    <xf numFmtId="0" fontId="145" fillId="9" borderId="0" xfId="0" applyFont="1" applyFill="1" applyAlignment="1"/>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56" fillId="17" borderId="2" xfId="0" applyFont="1" applyFill="1" applyBorder="1" applyAlignment="1" applyProtection="1">
      <alignment horizontal="center" vertical="center"/>
      <protection locked="0"/>
    </xf>
    <xf numFmtId="181" fontId="156" fillId="17" borderId="2" xfId="0" applyNumberFormat="1" applyFont="1" applyFill="1" applyBorder="1" applyAlignment="1" applyProtection="1">
      <alignment horizontal="center" vertical="center"/>
      <protection locked="0"/>
    </xf>
    <xf numFmtId="181" fontId="156" fillId="17" borderId="12" xfId="0" applyNumberFormat="1" applyFont="1" applyFill="1" applyBorder="1" applyAlignment="1" applyProtection="1">
      <alignment vertical="center"/>
      <protection locked="0"/>
    </xf>
    <xf numFmtId="178" fontId="156" fillId="17" borderId="41" xfId="0" applyNumberFormat="1" applyFont="1" applyFill="1" applyBorder="1" applyAlignment="1" applyProtection="1">
      <alignment horizontal="center" vertical="center"/>
    </xf>
    <xf numFmtId="0" fontId="154" fillId="17" borderId="9" xfId="0" applyNumberFormat="1" applyFont="1" applyFill="1" applyBorder="1" applyAlignment="1" applyProtection="1">
      <alignment horizontal="center" vertical="center" wrapText="1"/>
      <protection locked="0"/>
    </xf>
    <xf numFmtId="0" fontId="278" fillId="0" borderId="0" xfId="0" applyFont="1" applyAlignment="1">
      <alignment vertical="center" wrapText="1"/>
    </xf>
    <xf numFmtId="0" fontId="280" fillId="13" borderId="66" xfId="0" applyFont="1" applyFill="1" applyBorder="1" applyAlignment="1">
      <alignment horizontal="justify" vertical="center"/>
    </xf>
    <xf numFmtId="0" fontId="173" fillId="13" borderId="66" xfId="0" applyFont="1" applyFill="1" applyBorder="1" applyAlignment="1">
      <alignment horizontal="justify" vertical="center"/>
    </xf>
    <xf numFmtId="0" fontId="173" fillId="13" borderId="80" xfId="0" applyFont="1" applyFill="1" applyBorder="1" applyAlignment="1">
      <alignment horizontal="justify" vertical="center"/>
    </xf>
    <xf numFmtId="0" fontId="281" fillId="13" borderId="38" xfId="0" applyFont="1" applyFill="1" applyBorder="1" applyAlignment="1">
      <alignment horizontal="justify" vertical="center"/>
    </xf>
    <xf numFmtId="0" fontId="283" fillId="13" borderId="66" xfId="0" applyFont="1" applyFill="1" applyBorder="1" applyAlignment="1">
      <alignment horizontal="justify" vertical="center"/>
    </xf>
    <xf numFmtId="0" fontId="283" fillId="13" borderId="66" xfId="0" applyFont="1" applyFill="1" applyBorder="1" applyAlignment="1">
      <alignment horizontal="justify" vertical="center" wrapText="1"/>
    </xf>
    <xf numFmtId="0" fontId="282" fillId="13" borderId="66" xfId="0" applyFont="1" applyFill="1" applyBorder="1" applyAlignment="1">
      <alignment horizontal="justify" vertical="center"/>
    </xf>
    <xf numFmtId="14" fontId="282" fillId="13" borderId="66" xfId="0" applyNumberFormat="1" applyFont="1" applyFill="1" applyBorder="1" applyAlignment="1">
      <alignment horizontal="justify" vertical="center"/>
    </xf>
    <xf numFmtId="0" fontId="281" fillId="13" borderId="82" xfId="0" applyFont="1" applyFill="1" applyBorder="1" applyAlignment="1">
      <alignment horizontal="justify" vertical="center"/>
    </xf>
    <xf numFmtId="0" fontId="281" fillId="13" borderId="38" xfId="0" applyFont="1" applyFill="1" applyBorder="1" applyAlignment="1">
      <alignment horizontal="justify" vertical="center" wrapText="1"/>
    </xf>
    <xf numFmtId="0" fontId="282" fillId="13" borderId="80" xfId="0" applyFont="1" applyFill="1" applyBorder="1" applyAlignment="1">
      <alignment horizontal="justify" vertical="center"/>
    </xf>
    <xf numFmtId="14" fontId="282" fillId="13" borderId="66" xfId="0" applyNumberFormat="1" applyFont="1" applyFill="1" applyBorder="1" applyAlignment="1">
      <alignment horizontal="justify" vertical="center" wrapText="1"/>
    </xf>
    <xf numFmtId="0" fontId="282" fillId="13" borderId="66" xfId="0" applyFont="1" applyFill="1" applyBorder="1" applyAlignment="1">
      <alignment horizontal="justify" vertical="center" wrapText="1"/>
    </xf>
    <xf numFmtId="0" fontId="283" fillId="13" borderId="80" xfId="0" applyFont="1" applyFill="1" applyBorder="1" applyAlignment="1">
      <alignment horizontal="justify" vertical="center"/>
    </xf>
    <xf numFmtId="0" fontId="279" fillId="0" borderId="2" xfId="0" applyFont="1" applyBorder="1" applyAlignment="1">
      <alignment horizontal="justify" vertical="center"/>
    </xf>
    <xf numFmtId="0" fontId="279" fillId="0" borderId="2" xfId="0" applyFont="1" applyBorder="1" applyAlignment="1">
      <alignment horizontal="justify" vertical="center" wrapText="1"/>
    </xf>
    <xf numFmtId="14" fontId="173" fillId="0" borderId="2" xfId="0" applyNumberFormat="1" applyFont="1" applyBorder="1" applyAlignment="1">
      <alignment horizontal="justify" vertical="center" wrapText="1"/>
    </xf>
    <xf numFmtId="0" fontId="280" fillId="0" borderId="2" xfId="0" applyFont="1" applyBorder="1" applyAlignment="1">
      <alignment horizontal="justify" vertical="center" wrapText="1"/>
    </xf>
    <xf numFmtId="0" fontId="280" fillId="0" borderId="2" xfId="0" applyFont="1" applyFill="1" applyBorder="1" applyAlignment="1">
      <alignment horizontal="justify" vertical="center" wrapText="1"/>
    </xf>
    <xf numFmtId="0" fontId="280" fillId="0" borderId="2" xfId="0" applyFont="1" applyBorder="1" applyAlignment="1">
      <alignment horizontal="justify" vertical="center"/>
    </xf>
    <xf numFmtId="0" fontId="173" fillId="0" borderId="2" xfId="0" applyFont="1" applyBorder="1" applyAlignment="1">
      <alignment horizontal="justify" vertical="center" wrapText="1"/>
    </xf>
    <xf numFmtId="0" fontId="145" fillId="9" borderId="0" xfId="0" applyFont="1" applyFill="1" applyBorder="1" applyAlignment="1"/>
    <xf numFmtId="0" fontId="52" fillId="16" borderId="5" xfId="0" applyFont="1" applyFill="1" applyBorder="1" applyAlignment="1" applyProtection="1">
      <alignment horizontal="center" vertical="center" wrapText="1"/>
    </xf>
    <xf numFmtId="49" fontId="84" fillId="16" borderId="11" xfId="0" applyNumberFormat="1" applyFont="1" applyFill="1" applyBorder="1" applyAlignment="1" applyProtection="1">
      <alignment horizontal="center" vertical="center" wrapText="1"/>
      <protection locked="0"/>
    </xf>
    <xf numFmtId="0" fontId="84" fillId="16" borderId="12" xfId="0" applyNumberFormat="1" applyFont="1" applyFill="1" applyBorder="1" applyAlignment="1" applyProtection="1">
      <alignment horizontal="center" vertical="center" wrapText="1"/>
    </xf>
    <xf numFmtId="0" fontId="84" fillId="16" borderId="5" xfId="0" applyNumberFormat="1" applyFont="1" applyFill="1" applyBorder="1" applyAlignment="1" applyProtection="1">
      <alignment horizontal="center" vertical="center" wrapText="1"/>
    </xf>
    <xf numFmtId="0" fontId="106" fillId="16" borderId="16" xfId="0" applyNumberFormat="1" applyFont="1" applyFill="1" applyBorder="1" applyAlignment="1" applyProtection="1">
      <alignment horizontal="center" vertical="center" wrapText="1"/>
      <protection locked="0"/>
    </xf>
    <xf numFmtId="0" fontId="76" fillId="16" borderId="2" xfId="0" applyFont="1" applyFill="1" applyBorder="1" applyAlignment="1" applyProtection="1">
      <alignment horizontal="left" vertical="center" wrapText="1"/>
      <protection locked="0"/>
    </xf>
    <xf numFmtId="0" fontId="279" fillId="13" borderId="82" xfId="0" applyFont="1" applyFill="1" applyBorder="1" applyAlignment="1">
      <alignment horizontal="justify"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9" borderId="0" xfId="0" applyFill="1" applyAlignment="1">
      <alignment horizontal="center"/>
    </xf>
    <xf numFmtId="0" fontId="0" fillId="6" borderId="0" xfId="0" applyFill="1" applyAlignment="1">
      <alignment horizontal="center"/>
    </xf>
    <xf numFmtId="0" fontId="0" fillId="17" borderId="0" xfId="0" applyFill="1" applyAlignment="1">
      <alignment horizontal="center"/>
    </xf>
    <xf numFmtId="0" fontId="0" fillId="16" borderId="0" xfId="0" applyFill="1" applyAlignment="1">
      <alignment horizontal="center"/>
    </xf>
    <xf numFmtId="0" fontId="0" fillId="7" borderId="0" xfId="0" applyFill="1" applyAlignment="1">
      <alignment horizontal="center"/>
    </xf>
    <xf numFmtId="0" fontId="282" fillId="13" borderId="35" xfId="0" applyFont="1" applyFill="1" applyBorder="1" applyAlignment="1">
      <alignment horizontal="justify" vertical="center"/>
    </xf>
    <xf numFmtId="0" fontId="282" fillId="13" borderId="79" xfId="0" applyFont="1" applyFill="1" applyBorder="1" applyAlignment="1">
      <alignment horizontal="justify" vertical="center"/>
    </xf>
    <xf numFmtId="0" fontId="282" fillId="13" borderId="80" xfId="0" applyFont="1" applyFill="1" applyBorder="1" applyAlignment="1">
      <alignment horizontal="justify" vertical="center"/>
    </xf>
    <xf numFmtId="0" fontId="280" fillId="13" borderId="36" xfId="0" applyFont="1" applyFill="1" applyBorder="1" applyAlignment="1">
      <alignment horizontal="justify" vertical="center"/>
    </xf>
    <xf numFmtId="0" fontId="280" fillId="13" borderId="37" xfId="0" applyFont="1" applyFill="1" applyBorder="1" applyAlignment="1">
      <alignment horizontal="justify" vertical="center"/>
    </xf>
    <xf numFmtId="0" fontId="280" fillId="13" borderId="38" xfId="0" applyFont="1" applyFill="1" applyBorder="1" applyAlignment="1">
      <alignment horizontal="justify" vertical="center"/>
    </xf>
    <xf numFmtId="0" fontId="173" fillId="13" borderId="35" xfId="0" applyFont="1" applyFill="1" applyBorder="1" applyAlignment="1">
      <alignment horizontal="justify" vertical="center"/>
    </xf>
    <xf numFmtId="0" fontId="173" fillId="13" borderId="79" xfId="0" applyFont="1" applyFill="1" applyBorder="1" applyAlignment="1">
      <alignment horizontal="justify" vertical="center"/>
    </xf>
    <xf numFmtId="0" fontId="173" fillId="13" borderId="80" xfId="0" applyFont="1" applyFill="1" applyBorder="1" applyAlignment="1">
      <alignment horizontal="justify" vertical="center"/>
    </xf>
    <xf numFmtId="0" fontId="279" fillId="13" borderId="35" xfId="0" applyFont="1" applyFill="1" applyBorder="1" applyAlignment="1">
      <alignment horizontal="justify" vertical="center"/>
    </xf>
    <xf numFmtId="0" fontId="279" fillId="13" borderId="80" xfId="0" applyFont="1" applyFill="1" applyBorder="1" applyAlignment="1">
      <alignment horizontal="justify" vertical="center"/>
    </xf>
    <xf numFmtId="0" fontId="280" fillId="0" borderId="2" xfId="0" applyFont="1" applyBorder="1" applyAlignment="1">
      <alignment horizontal="justify"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279" fillId="0" borderId="2" xfId="0" applyFont="1" applyBorder="1" applyAlignment="1">
      <alignment horizontal="justify" vertical="center"/>
    </xf>
    <xf numFmtId="0" fontId="280" fillId="0" borderId="2" xfId="0" applyFont="1" applyBorder="1" applyAlignment="1">
      <alignment horizontal="justify"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0272;&#20215;&#23545;&#35937;&#65288;&#23567;&#39640;&#23618;&#65289;&#65288;&#25970;&#27979;&#31639;.0205&#65289;68338%20&#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272;&#20215;&#23545;&#35937;&#65288;&#23567;&#39640;&#23618;&#21830;&#19994;&#21344;&#27604;50%25&#65289;&#65288;&#25970;&#27979;&#31639;.0205&#65289;3859%20&#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0272;&#20215;&#23545;&#35937;&#65288;&#21472;&#25340;&#65289;&#65288;&#25970;&#27979;&#31639;.0205&#65289;31512%20&#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20272;&#20215;&#23545;&#35937;&#65288;&#21472;&#25340;&#21830;&#19994;&#21344;&#27604;50%25&#65289;&#65288;&#25970;&#27979;&#31639;.0205&#65289;4068%20&#358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20272;&#20215;&#23545;&#35937;&#65288;&#29420;&#26635;&#65289;&#65288;&#25970;&#27979;&#31639;.0205&#65289;519%20&#358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7&#20272;&#20215;&#23545;&#35937;&#65288;&#24213;&#21830;2.5&#65289;&#65288;&#25970;&#27979;&#31639;.0205&#65289;5120%20&#358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20272;&#20215;&#23545;&#35937;&#65288;&#24213;&#21830;1.5&#65289;&#65288;&#25970;&#27979;&#31639;.0205&#65289;22154%20&#3584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20272;&#20215;&#23545;&#35937;&#65288;&#24213;&#21830;0.8)(&#25970;&#27979;&#31639;.0205)25996%2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172676.7</v>
          </cell>
          <cell r="B3">
            <v>518030.1</v>
          </cell>
        </row>
      </sheetData>
      <sheetData sheetId="11" refreshError="1"/>
      <sheetData sheetId="12" refreshError="1"/>
      <sheetData sheetId="13" refreshError="1"/>
      <sheetData sheetId="14" refreshError="1"/>
      <sheetData sheetId="15" refreshError="1"/>
      <sheetData sheetId="16">
        <row r="19">
          <cell r="G19">
            <v>70081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7026.9</v>
          </cell>
          <cell r="B3">
            <v>21080.699999999997</v>
          </cell>
        </row>
      </sheetData>
      <sheetData sheetId="11" refreshError="1"/>
      <sheetData sheetId="12" refreshError="1"/>
      <sheetData sheetId="13" refreshError="1"/>
      <sheetData sheetId="14" refreshError="1"/>
      <sheetData sheetId="15" refreshError="1"/>
      <sheetData sheetId="16">
        <row r="19">
          <cell r="G19">
            <v>3677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80863.299999999988</v>
          </cell>
          <cell r="B3">
            <v>115913.23000000001</v>
          </cell>
        </row>
      </sheetData>
      <sheetData sheetId="11" refreshError="1"/>
      <sheetData sheetId="12" refreshError="1"/>
      <sheetData sheetId="13" refreshError="1"/>
      <sheetData sheetId="14" refreshError="1"/>
      <sheetData sheetId="15" refreshError="1"/>
      <sheetData sheetId="16">
        <row r="19">
          <cell r="G19">
            <v>32228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9955</v>
          </cell>
          <cell r="B3">
            <v>14932.5</v>
          </cell>
        </row>
      </sheetData>
      <sheetData sheetId="11" refreshError="1"/>
      <sheetData sheetId="12" refreshError="1"/>
      <sheetData sheetId="13" refreshError="1"/>
      <sheetData sheetId="14" refreshError="1"/>
      <sheetData sheetId="15" refreshError="1"/>
      <sheetData sheetId="16">
        <row r="19">
          <cell r="G19">
            <v>3965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 (元) (2)"/>
      <sheetName val="收益法 (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4082.9</v>
          </cell>
          <cell r="B3">
            <v>204.15</v>
          </cell>
        </row>
      </sheetData>
      <sheetData sheetId="11" refreshError="1"/>
      <sheetData sheetId="12" refreshError="1"/>
      <sheetData sheetId="13" refreshError="1"/>
      <sheetData sheetId="14" refreshError="1"/>
      <sheetData sheetId="15" refreshError="1"/>
      <sheetData sheetId="16">
        <row r="19">
          <cell r="G19">
            <v>521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24602</v>
          </cell>
          <cell r="B3">
            <v>61505</v>
          </cell>
        </row>
      </sheetData>
      <sheetData sheetId="11" refreshError="1"/>
      <sheetData sheetId="12" refreshError="1"/>
      <sheetData sheetId="13" refreshError="1"/>
      <sheetData sheetId="14" refreshError="1"/>
      <sheetData sheetId="15" refreshError="1"/>
      <sheetData sheetId="16">
        <row r="19">
          <cell r="G19">
            <v>4661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159173.65</v>
          </cell>
          <cell r="B3">
            <v>238760.49</v>
          </cell>
        </row>
      </sheetData>
      <sheetData sheetId="11" refreshError="1"/>
      <sheetData sheetId="12" refreshError="1"/>
      <sheetData sheetId="13" refreshError="1"/>
      <sheetData sheetId="14" refreshError="1"/>
      <sheetData sheetId="15" refreshError="1"/>
      <sheetData sheetId="16">
        <row r="19">
          <cell r="G19">
            <v>20283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210134</v>
          </cell>
          <cell r="B3">
            <v>161951.44</v>
          </cell>
        </row>
      </sheetData>
      <sheetData sheetId="11" refreshError="1"/>
      <sheetData sheetId="12" refreshError="1"/>
      <sheetData sheetId="13" refreshError="1"/>
      <sheetData sheetId="14" refreshError="1"/>
      <sheetData sheetId="15" refreshError="1"/>
      <sheetData sheetId="16">
        <row r="19">
          <cell r="G19">
            <v>23965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2661</v>
      </c>
      <c r="B1" s="2915" t="s">
        <v>2758</v>
      </c>
    </row>
    <row r="2" spans="1:55" s="2919" customFormat="1" ht="15" thickTop="1">
      <c r="A2" s="2917" t="s">
        <v>2665</v>
      </c>
      <c r="B2" s="2918" t="str">
        <f>'预评函-封皮'!B37</f>
        <v>四川省峨眉山市川主乡顺河村3宗住宅、商业出让国有建设用地使用权抵押价格预评估</v>
      </c>
      <c r="AX2" s="2920"/>
      <c r="AZ2" s="2920"/>
      <c r="BA2" s="2921"/>
      <c r="BC2" s="2921"/>
    </row>
    <row r="3" spans="1:55" s="2922" customFormat="1">
      <c r="A3" s="2901" t="s">
        <v>2666</v>
      </c>
      <c r="B3" s="2904" t="str">
        <f>'预评函-封皮'!B40</f>
        <v>四川德胜集团文化旅游投资发展有限公司</v>
      </c>
    </row>
    <row r="4" spans="1:55" s="2903" customFormat="1">
      <c r="A4" s="2901" t="s">
        <v>2667</v>
      </c>
      <c r="B4" s="2902" t="str">
        <f>'预评函-封皮'!B46</f>
        <v>王鹏、郑燚</v>
      </c>
      <c r="N4" s="2903" t="str">
        <f>'预评函-1'!A28</f>
        <v/>
      </c>
    </row>
    <row r="5" spans="1:55" s="2916" customFormat="1" ht="15" thickBot="1">
      <c r="A5" s="2923" t="s">
        <v>2668</v>
      </c>
      <c r="B5" s="2924" t="str">
        <f>'预评函-封皮'!B49</f>
        <v>康正预评字号</v>
      </c>
    </row>
    <row r="6" spans="1:55" s="2925" customFormat="1" ht="15" thickTop="1">
      <c r="A6" s="2917" t="s">
        <v>2710</v>
      </c>
      <c r="B6" s="2918" t="str">
        <f>'预评函-1'!A4</f>
        <v>受贵公司委托，我公司对四川省峨眉山市川主乡顺河村3宗住宅、商业出让国有建设用地使用权抵押价格进行了预评估。</v>
      </c>
      <c r="AM6" s="2926"/>
    </row>
    <row r="7" spans="1:55" s="2900" customFormat="1">
      <c r="A7" s="2901" t="s">
        <v>2662</v>
      </c>
      <c r="B7" s="2902" t="str">
        <f>'预评函-1'!A6</f>
        <v>估价对象为使用的、位于四川省峨眉山市川主乡顺河村3宗住宅、商业出让国有建设用地使用权。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8" spans="1:55" s="2900" customFormat="1">
      <c r="A8" s="2901" t="s">
        <v>2663</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2713</v>
      </c>
      <c r="B9" s="2902"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2664</v>
      </c>
      <c r="B10" s="2902" t="str">
        <f>'预评函-1'!A11</f>
        <v>2018年1月4日（评估专业人员勘察现场之日）</v>
      </c>
    </row>
    <row r="11" spans="1:55" s="2900" customFormat="1">
      <c r="A11" s="2901" t="s">
        <v>2670</v>
      </c>
      <c r="B11" s="2902" t="str">
        <f>'预评函-1'!A14</f>
        <v>根据《国有土地使用证》[峨眉国用（2014）第73369、73373、86590号]，本次评估估价对象证载（地类）用途为商住。</v>
      </c>
    </row>
    <row r="12" spans="1:55" s="2900" customFormat="1">
      <c r="A12" s="2901" t="s">
        <v>2671</v>
      </c>
      <c r="B12" s="2902" t="str">
        <f>'预评函-1'!A15</f>
        <v>本次评估设定用途即为证载用途住宅、商业。</v>
      </c>
    </row>
    <row r="13" spans="1:55" s="2900" customFormat="1">
      <c r="A13" s="2901" t="s">
        <v>2672</v>
      </c>
      <c r="B13" s="2902" t="str">
        <f>'预评函-1'!A17</f>
        <v>根据委托估价方介绍及评估专业人员现场勘查，本次评估估价对象实际土地开发程度为红线外市政基础设施达“七通”（即通路、通电、通讯、通上水、通下水、、）、宗地红线内场地未平整，宗地内有需要移除的树木。</v>
      </c>
    </row>
    <row r="14" spans="1:55" s="2900" customFormat="1">
      <c r="A14" s="2901" t="s">
        <v>2673</v>
      </c>
      <c r="B14" s="2902" t="str">
        <f>'预评函-1'!A18</f>
        <v>本次评估设定土地开发程度为红线外市政基础设施达“七通”、宗地红线内场地平整。估价结果未扣除树木移除的费用。</v>
      </c>
    </row>
    <row r="15" spans="1:55" s="2900" customFormat="1">
      <c r="A15" s="2901" t="s">
        <v>2669</v>
      </c>
      <c r="B15" s="2902" t="str">
        <f>'预评函-1'!A20</f>
        <v>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16" spans="1:55" s="2900" customFormat="1">
      <c r="A16" s="2901" t="s">
        <v>2674</v>
      </c>
      <c r="B16" s="2902" t="str">
        <f>'预评函-1'!A22</f>
        <v>本次估价对象为出让国有建设用地使用权，《国有土地使用证》[峨眉国用（2014）第73369、73373、86590号]证载土地终止日期为住宅2084年5月23日、商业2054年5月23日。截至估价期日，出让国有建设用地使用权剩余土地使用年限为住宅66.4年，商业36.4年。</v>
      </c>
    </row>
    <row r="17" spans="1:48" s="2900" customFormat="1">
      <c r="A17" s="2901" t="s">
        <v>2675</v>
      </c>
      <c r="B17" s="2902" t="str">
        <f>'预评函-1'!A23</f>
        <v>本次评估设定估价对象剩余土地使用年限为住宅66.4年，商业36.4年。</v>
      </c>
    </row>
    <row r="18" spans="1:48" s="2900" customFormat="1">
      <c r="A18" s="2901" t="s">
        <v>2676</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19" spans="1:48" s="2900" customFormat="1">
      <c r="A19" s="2901" t="s">
        <v>2677</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2678</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2679</v>
      </c>
      <c r="B21" s="2924" t="str">
        <f>'预评函-1'!A28</f>
        <v/>
      </c>
    </row>
    <row r="22" spans="1:48" ht="15" thickTop="1">
      <c r="A22" s="2912" t="s">
        <v>2680</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2681</v>
      </c>
      <c r="B23" s="2902" t="str">
        <f>'预评函-2'!K2</f>
        <v>估价期日：2018年1月4日</v>
      </c>
    </row>
    <row r="24" spans="1:48">
      <c r="A24" s="2901" t="s">
        <v>2682</v>
      </c>
      <c r="B24" s="2902" t="str">
        <f>'预评函-2'!R2</f>
        <v>估价期日的国有建设用地使用权性质：出让</v>
      </c>
    </row>
    <row r="25" spans="1:48">
      <c r="A25" s="2901" t="s">
        <v>2738</v>
      </c>
      <c r="B25" s="2902" t="str">
        <f>'预评函-2'!A3</f>
        <v>估价期日土地使用者</v>
      </c>
    </row>
    <row r="26" spans="1:48">
      <c r="A26" s="2901" t="s">
        <v>2714</v>
      </c>
      <c r="B26" s="2902" t="str">
        <f>'预评函-2'!A5</f>
        <v>中信开发</v>
      </c>
    </row>
    <row r="27" spans="1:48">
      <c r="A27" s="2901" t="s">
        <v>2739</v>
      </c>
      <c r="B27" s="2902" t="str">
        <f>'预评函-2'!B3</f>
        <v>宗地编号/不动产单元号</v>
      </c>
    </row>
    <row r="28" spans="1:48">
      <c r="A28" s="2901" t="s">
        <v>2715</v>
      </c>
      <c r="B28" s="2902" t="str">
        <f>'预评函-2'!B5</f>
        <v>11111111111</v>
      </c>
    </row>
    <row r="29" spans="1:48">
      <c r="A29" s="2901" t="s">
        <v>2741</v>
      </c>
      <c r="B29" s="2902">
        <f>'预评函-2'!C5</f>
        <v>22</v>
      </c>
    </row>
    <row r="30" spans="1:48">
      <c r="A30" s="2901" t="s">
        <v>2742</v>
      </c>
      <c r="B30" s="2902" t="str">
        <f>'预评函-2'!D3</f>
        <v>土地使用证编号/不动产权证书编号</v>
      </c>
    </row>
    <row r="31" spans="1:48">
      <c r="A31" s="2901" t="s">
        <v>2716</v>
      </c>
      <c r="B31" s="2902" t="str">
        <f>'预评函-2'!D5</f>
        <v>京国土字第111号</v>
      </c>
    </row>
    <row r="32" spans="1:48">
      <c r="A32" s="2901" t="s">
        <v>2717</v>
      </c>
      <c r="B32" s="2902" t="str">
        <f>'预评函-2'!E5</f>
        <v>商住</v>
      </c>
      <c r="AV32" s="2906"/>
    </row>
    <row r="33" spans="1:2">
      <c r="A33" s="2901" t="s">
        <v>2718</v>
      </c>
      <c r="B33" s="2902">
        <f>'预评函-2'!F5</f>
        <v>258</v>
      </c>
    </row>
    <row r="34" spans="1:2">
      <c r="A34" s="2901" t="s">
        <v>2719</v>
      </c>
      <c r="B34" s="2902" t="str">
        <f>'预评函-2'!G5</f>
        <v>住宅、商业</v>
      </c>
    </row>
    <row r="35" spans="1:2">
      <c r="A35" s="2901" t="s">
        <v>2720</v>
      </c>
      <c r="B35" s="2902">
        <f>'预评函-2'!H5</f>
        <v>1.5</v>
      </c>
    </row>
    <row r="36" spans="1:2">
      <c r="A36" s="2901" t="s">
        <v>2721</v>
      </c>
      <c r="B36" s="2902">
        <f>'预评函-2'!I5</f>
        <v>1.5</v>
      </c>
    </row>
    <row r="37" spans="1:2">
      <c r="A37" s="2901" t="s">
        <v>2722</v>
      </c>
      <c r="B37" s="2902">
        <f>'预评函-2'!J5</f>
        <v>1.5</v>
      </c>
    </row>
    <row r="38" spans="1:2">
      <c r="A38" s="2901" t="s">
        <v>2723</v>
      </c>
      <c r="B38" s="2902" t="str">
        <f>'预评函-2'!K5</f>
        <v>红线外七通、宗地红线内场地未平整</v>
      </c>
    </row>
    <row r="39" spans="1:2">
      <c r="A39" s="2901" t="s">
        <v>2724</v>
      </c>
      <c r="B39" s="2902" t="str">
        <f>'预评函-2'!L5</f>
        <v>红线外七通、宗地红线内场地平整</v>
      </c>
    </row>
    <row r="40" spans="1:2">
      <c r="A40" s="2901" t="s">
        <v>2743</v>
      </c>
      <c r="B40" s="2902" t="str">
        <f>'预评函-2'!M3</f>
        <v>（剩余）土地使用年限/年</v>
      </c>
    </row>
    <row r="41" spans="1:2">
      <c r="A41" s="2901" t="s">
        <v>2725</v>
      </c>
      <c r="B41" s="2902" t="str">
        <f>'预评函-2'!M5</f>
        <v>住宅66.4年，商业36.4年</v>
      </c>
    </row>
    <row r="42" spans="1:2">
      <c r="A42" s="2901" t="s">
        <v>2744</v>
      </c>
      <c r="B42" s="2902" t="str">
        <f>'预评函-2'!N3</f>
        <v>（分摊）出让国有建设用地使用权面积/㎡</v>
      </c>
    </row>
    <row r="43" spans="1:2">
      <c r="A43" s="2901" t="s">
        <v>2726</v>
      </c>
      <c r="B43" s="2902">
        <f>'预评函-2'!N5</f>
        <v>60759</v>
      </c>
    </row>
    <row r="44" spans="1:2">
      <c r="A44" s="2901" t="s">
        <v>2745</v>
      </c>
      <c r="B44" s="2902" t="str">
        <f>'预评函-2'!O3</f>
        <v>规划建筑面积/㎡</v>
      </c>
    </row>
    <row r="45" spans="1:2">
      <c r="A45" s="2901" t="s">
        <v>2727</v>
      </c>
      <c r="B45" s="2902">
        <f>'预评函-2'!O5</f>
        <v>118125.52</v>
      </c>
    </row>
    <row r="46" spans="1:2">
      <c r="A46" s="2901" t="s">
        <v>2728</v>
      </c>
      <c r="B46" s="2902">
        <f ca="1">'预评函-2'!P5</f>
        <v>4008</v>
      </c>
    </row>
    <row r="47" spans="1:2">
      <c r="A47" s="2901" t="s">
        <v>2729</v>
      </c>
      <c r="B47" s="2902">
        <f ca="1">'预评函-2'!Q5</f>
        <v>2062</v>
      </c>
    </row>
    <row r="48" spans="1:2">
      <c r="A48" s="2901" t="s">
        <v>2730</v>
      </c>
      <c r="B48" s="2902">
        <f ca="1">'预评函-2'!R5</f>
        <v>24354</v>
      </c>
    </row>
    <row r="49" spans="1:2">
      <c r="A49" s="2901" t="s">
        <v>2746</v>
      </c>
      <c r="B49" s="2902" t="str">
        <f>'预评函-2'!A6</f>
        <v>抵押价格</v>
      </c>
    </row>
    <row r="50" spans="1:2">
      <c r="A50" s="2901" t="s">
        <v>2731</v>
      </c>
      <c r="B50" s="2902">
        <f ca="1">'预评函-2'!R6</f>
        <v>24354</v>
      </c>
    </row>
    <row r="51" spans="1:2">
      <c r="A51" s="2901" t="s">
        <v>2747</v>
      </c>
      <c r="B51" s="2902" t="str">
        <f>'预评函-2'!A7</f>
        <v>——</v>
      </c>
    </row>
    <row r="52" spans="1:2">
      <c r="A52" s="2901" t="s">
        <v>2732</v>
      </c>
      <c r="B52" s="2902" t="str">
        <f>'预评函-2'!R7</f>
        <v>——</v>
      </c>
    </row>
    <row r="53" spans="1:2">
      <c r="A53" s="2901" t="s">
        <v>2748</v>
      </c>
      <c r="B53" s="2902" t="str">
        <f>'预评函-2'!A8</f>
        <v>——</v>
      </c>
    </row>
    <row r="54" spans="1:2" s="2916" customFormat="1" ht="15" thickBot="1">
      <c r="A54" s="2923" t="s">
        <v>2733</v>
      </c>
      <c r="B54" s="2924" t="str">
        <f>'预评函-2'!R8</f>
        <v>——</v>
      </c>
    </row>
    <row r="55" spans="1:2" ht="15" thickTop="1">
      <c r="A55" s="2912" t="s">
        <v>2683</v>
      </c>
      <c r="B55" s="2913" t="str">
        <f>'预评函-3'!A2</f>
        <v>1.权利限制：根据估价对象《国有土地使用权》复印件，截至估价期日，估价对象抵押权未见登记。未设定租赁等其他他项权利。</v>
      </c>
    </row>
    <row r="56" spans="1:2">
      <c r="A56" s="2901" t="s">
        <v>2684</v>
      </c>
      <c r="B56" s="2902" t="str">
        <f>'预评函-3'!A3</f>
        <v>2.基础设施条件：估价对象实际开发程度为红线外七通、宗地红线内场地未平整；本次评估设定开发程度为红线外七通、宗地红线内场地平整。</v>
      </c>
    </row>
    <row r="57" spans="1:2">
      <c r="A57" s="2901" t="s">
        <v>2685</v>
      </c>
      <c r="B57" s="2902" t="str">
        <f>'预评函-3'!A4</f>
        <v>3.估价规划限制条件：详见《国有建设用地使用权出让合同》[电子监管号：5111812014B00011、5111812014B00023、5111812016B01094]及附件。</v>
      </c>
    </row>
    <row r="58" spans="1:2" s="2916" customFormat="1" ht="15" thickBot="1">
      <c r="A58" s="2923" t="s">
        <v>2734</v>
      </c>
      <c r="B58" s="2924" t="str">
        <f>'预评函-3'!A5</f>
        <v>4.影响价格的其他限定条件：无。</v>
      </c>
    </row>
    <row r="59" spans="1:2" ht="15" thickTop="1">
      <c r="A59" s="2912" t="s">
        <v>2686</v>
      </c>
      <c r="B59" s="2913" t="str">
        <f>'预评函-3'!A8</f>
        <v>2.本《评估意见函》仅供金融机构进行内部审核使用，不做其他目的之用。</v>
      </c>
    </row>
    <row r="60" spans="1:2">
      <c r="A60" s="2901" t="s">
        <v>2687</v>
      </c>
      <c r="B60" s="2902" t="str">
        <f>'预评函-3'!A9</f>
        <v>3.抵押双方在办理抵押登记手续时，应使用本公司出具的正式《土地估价报告》，特提请报告使用者注意。</v>
      </c>
    </row>
    <row r="61" spans="1:2">
      <c r="A61" s="2901" t="s">
        <v>2689</v>
      </c>
      <c r="B61" s="2902" t="str">
        <f>'预评函-3'!A10</f>
        <v>4.估价师所知悉的法定优先受偿款情况为：</v>
      </c>
    </row>
    <row r="62" spans="1:2">
      <c r="A62" s="2901" t="s">
        <v>2688</v>
      </c>
      <c r="B62" s="2902" t="str">
        <f>'预评函-3'!A11</f>
        <v>（1）根据估价对象《国有土地使用权》复印件，截至估价期日，估价对象抵押权未见登记。</v>
      </c>
    </row>
    <row r="63" spans="1:2">
      <c r="A63" s="2901" t="s">
        <v>2690</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2691</v>
      </c>
      <c r="B64" s="2907" t="str">
        <f>'预评函-3'!A13</f>
        <v>（3）。</v>
      </c>
    </row>
    <row r="65" spans="1:2">
      <c r="A65" s="2901" t="s">
        <v>2692</v>
      </c>
      <c r="B65" s="2908" t="str">
        <f>'预评函-3'!A14</f>
        <v>综上，本次评估不存在估价师知悉的法定优先受偿款</v>
      </c>
    </row>
    <row r="66" spans="1:2">
      <c r="A66" s="2901" t="s">
        <v>2693</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2694</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2697</v>
      </c>
      <c r="B68" s="2927">
        <f>'预评函-3'!D30</f>
        <v>42558</v>
      </c>
    </row>
    <row r="69" spans="1:2" ht="15" thickTop="1">
      <c r="A69" s="2912" t="s">
        <v>2695</v>
      </c>
      <c r="B69" s="2913" t="str">
        <f>'预评函-3'!A20</f>
        <v>王鹏</v>
      </c>
    </row>
    <row r="70" spans="1:2">
      <c r="A70" s="2901" t="s">
        <v>2695</v>
      </c>
      <c r="B70" s="2908">
        <f ca="1">'预评函-3'!B20</f>
        <v>2002110030</v>
      </c>
    </row>
    <row r="71" spans="1:2">
      <c r="A71" s="2901" t="s">
        <v>2696</v>
      </c>
      <c r="B71" s="2902" t="str">
        <f>'预评函-3'!A21</f>
        <v>郑燚</v>
      </c>
    </row>
    <row r="72" spans="1:2" s="2916" customFormat="1" ht="15" thickBot="1">
      <c r="A72" s="2923" t="s">
        <v>2696</v>
      </c>
      <c r="B72" s="2929">
        <f>'预评函-3'!B21</f>
        <v>2014110011</v>
      </c>
    </row>
    <row r="73" spans="1:2" ht="15" thickTop="1">
      <c r="A73" s="2912" t="s">
        <v>2755</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2756</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2757</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2792</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N20" sqref="N2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80" t="str">
        <f>IF(B10="北京市","北京市",C10)&amp;F10&amp;B16&amp;"国有建设用地使用权"&amp;B9&amp;"预评估"</f>
        <v>四川省峨眉山市川主乡顺河村3宗住宅、商业出让国有建设用地使用权抵押价格预评估</v>
      </c>
      <c r="C1" s="3281"/>
      <c r="D1" s="3281"/>
      <c r="E1" s="3281"/>
      <c r="F1" s="3281"/>
      <c r="G1" s="3281"/>
      <c r="H1" s="3281"/>
      <c r="I1" s="3282"/>
      <c r="J1" s="1692"/>
      <c r="K1" s="2476" t="str">
        <f>IF(B10="北京市","北京市",C10)&amp;F10&amp;B16&amp;"国有建设用地使用权"&amp;B9</f>
        <v>四川省峨眉山市川主乡顺河村3宗住宅、商业出让国有建设用地使用权抵押价格</v>
      </c>
      <c r="L1" s="1720"/>
      <c r="M1" s="1720"/>
      <c r="N1" s="1692"/>
      <c r="O1" s="1693"/>
      <c r="P1" s="1692"/>
      <c r="Q1" s="1692"/>
      <c r="R1" s="1692"/>
      <c r="S1" s="1692"/>
      <c r="T1" s="1692"/>
      <c r="U1" s="1692"/>
    </row>
    <row r="2" spans="1:21">
      <c r="A2" s="1658" t="s">
        <v>1942</v>
      </c>
      <c r="B2" s="1839"/>
      <c r="D2" s="1692"/>
      <c r="E2" s="1692"/>
      <c r="F2" s="1692"/>
      <c r="G2" s="1692"/>
      <c r="H2" s="1658"/>
      <c r="I2" s="1693"/>
      <c r="J2" s="1692"/>
      <c r="K2" s="2476" t="str">
        <f>IF(B10="北京市","北京市",C10)&amp;F10&amp;B16&amp;"国有建设用地使用权"</f>
        <v>四川省峨眉山市川主乡顺河村3宗住宅、商业出让国有建设用地使用权</v>
      </c>
      <c r="L2" s="1720"/>
      <c r="M2" s="1720"/>
      <c r="N2" s="1692"/>
      <c r="O2" s="1693"/>
      <c r="P2" s="1692"/>
      <c r="Q2" s="1692"/>
      <c r="R2" s="1692"/>
      <c r="S2" s="1692"/>
      <c r="T2" s="1692"/>
      <c r="U2" s="1692"/>
    </row>
    <row r="3" spans="1:21">
      <c r="A3" s="1659" t="s">
        <v>1943</v>
      </c>
      <c r="B3" s="1660">
        <v>43104</v>
      </c>
      <c r="C3" s="1661" t="s">
        <v>1998</v>
      </c>
      <c r="D3" s="1660">
        <v>43104</v>
      </c>
      <c r="E3" s="1692"/>
      <c r="F3" s="1692"/>
      <c r="G3" s="1692"/>
      <c r="H3" s="1658"/>
      <c r="I3" s="1693"/>
      <c r="J3" s="1692"/>
      <c r="K3" s="1771"/>
      <c r="L3" s="1720"/>
      <c r="M3" s="1720"/>
      <c r="N3" s="1692"/>
      <c r="O3" s="1693"/>
      <c r="P3" s="1692"/>
      <c r="Q3" s="1692"/>
      <c r="R3" s="1692"/>
      <c r="S3" s="1692"/>
      <c r="T3" s="1692"/>
      <c r="U3" s="1692"/>
    </row>
    <row r="4" spans="1:21" ht="15" thickBot="1">
      <c r="A4" s="1662" t="s">
        <v>1944</v>
      </c>
      <c r="B4" s="1840" t="s">
        <v>3090</v>
      </c>
      <c r="C4" s="1843">
        <f ca="1">SUMIF(土地估价师,B4,估价师及机构信息!E3:E24)</f>
        <v>2002110030</v>
      </c>
      <c r="D4" s="1840" t="s">
        <v>3091</v>
      </c>
      <c r="E4" s="1843">
        <f>SUMIF(土地估价师,D4,估价师及机构信息!E3:E24)</f>
        <v>2014110011</v>
      </c>
      <c r="F4" s="1840" t="s">
        <v>953</v>
      </c>
      <c r="G4" s="1843">
        <f>SUMIF(土地估价师,F4,估价师及机构信息!E3:E24)</f>
        <v>0</v>
      </c>
      <c r="H4" s="1840" t="s">
        <v>953</v>
      </c>
      <c r="I4" s="1843">
        <f>SUMIF(土地估价师,H4,估价师及机构信息!E3:E24)</f>
        <v>0</v>
      </c>
      <c r="J4" s="1692"/>
      <c r="K4" s="2476" t="str">
        <f>IF(AND(F4="——",H4="——"),B4&amp;"、"&amp;D4,IF(AND(F4&lt;&gt;"——",H4="——"),B4&amp;"、"&amp;D4&amp;"、"&amp;F4,B4&amp;"、"&amp;D4&amp;"、"&amp;F4&amp;"、"&amp;H4))</f>
        <v>王鹏、郑燚</v>
      </c>
      <c r="L4" s="1720"/>
      <c r="M4" s="1720"/>
      <c r="N4" s="1692"/>
      <c r="O4" s="1693"/>
      <c r="P4" s="1692"/>
      <c r="Q4" s="1692"/>
      <c r="R4" s="1692"/>
      <c r="S4" s="1692"/>
      <c r="T4" s="1692"/>
      <c r="U4" s="1692"/>
    </row>
    <row r="5" spans="1:21" ht="15" thickTop="1">
      <c r="A5" s="1663" t="s">
        <v>1945</v>
      </c>
      <c r="B5" s="1786" t="s">
        <v>3093</v>
      </c>
      <c r="C5" s="1664"/>
      <c r="D5" s="1665"/>
      <c r="E5" s="1692"/>
      <c r="F5" s="1692"/>
      <c r="G5" s="1692"/>
      <c r="H5" s="1658"/>
      <c r="I5" s="1693"/>
      <c r="J5" s="1692"/>
      <c r="K5" s="1771"/>
      <c r="L5" s="1720"/>
      <c r="M5" s="1720"/>
      <c r="N5" s="1692"/>
      <c r="O5" s="1693"/>
      <c r="P5" s="1692"/>
      <c r="Q5" s="1692"/>
      <c r="R5" s="1692"/>
      <c r="S5" s="1692"/>
      <c r="T5" s="1692"/>
      <c r="U5" s="1692"/>
    </row>
    <row r="6" spans="1:21" ht="26.25">
      <c r="A6" s="1661" t="s">
        <v>2711</v>
      </c>
      <c r="B6" s="1786" t="s">
        <v>3094</v>
      </c>
      <c r="C6" s="1758"/>
      <c r="D6" s="1666"/>
      <c r="E6" s="1692"/>
      <c r="F6" s="1692"/>
      <c r="G6" s="1692"/>
      <c r="H6" s="1658"/>
      <c r="I6" s="1693"/>
      <c r="J6" s="1692"/>
      <c r="K6" s="3079" t="str">
        <f>IF(COUNTIF(B6,"*上海银行*"),"上海银行","")</f>
        <v/>
      </c>
      <c r="L6" s="1720"/>
      <c r="M6" s="1720"/>
      <c r="N6" s="1692"/>
      <c r="O6" s="1693"/>
      <c r="P6" s="1692"/>
      <c r="Q6" s="1692"/>
      <c r="R6" s="1692"/>
      <c r="S6" s="1692"/>
      <c r="T6" s="1692"/>
      <c r="U6" s="1692"/>
    </row>
    <row r="7" spans="1:21">
      <c r="A7" s="1667" t="s">
        <v>2712</v>
      </c>
      <c r="B7" s="1786" t="s">
        <v>3095</v>
      </c>
      <c r="C7" s="1758"/>
      <c r="D7" s="1666"/>
      <c r="E7" s="1692"/>
      <c r="F7" s="1692"/>
      <c r="G7" s="1692"/>
      <c r="H7" s="1658"/>
      <c r="I7" s="1693"/>
      <c r="J7" s="1692"/>
      <c r="K7" s="1771"/>
      <c r="L7" s="1720"/>
      <c r="M7" s="1720"/>
      <c r="N7" s="1692"/>
      <c r="O7" s="1693"/>
      <c r="P7" s="1692"/>
      <c r="Q7" s="1692"/>
      <c r="R7" s="1692"/>
      <c r="S7" s="1692"/>
      <c r="T7" s="1692"/>
      <c r="U7" s="1692"/>
    </row>
    <row r="8" spans="1:21">
      <c r="A8" s="1667" t="s">
        <v>1946</v>
      </c>
      <c r="B8" s="1668" t="s">
        <v>3096</v>
      </c>
      <c r="C8" s="1669"/>
      <c r="D8" s="3286" t="s">
        <v>1948</v>
      </c>
      <c r="E8" s="1841" t="s">
        <v>3097</v>
      </c>
      <c r="F8" s="1670"/>
      <c r="G8" s="1658"/>
      <c r="H8" s="1658"/>
      <c r="I8" s="1705"/>
      <c r="J8" s="1692"/>
      <c r="K8" s="1771"/>
      <c r="L8" s="1720"/>
      <c r="M8" s="1720"/>
      <c r="N8" s="1692"/>
      <c r="O8" s="1693"/>
      <c r="P8" s="1692"/>
      <c r="Q8" s="1692"/>
      <c r="R8" s="1692"/>
      <c r="S8" s="1692"/>
      <c r="T8" s="1692"/>
      <c r="U8" s="1692"/>
    </row>
    <row r="9" spans="1:21" ht="15" thickBot="1">
      <c r="A9" s="1671" t="s">
        <v>1947</v>
      </c>
      <c r="B9" s="1672" t="s">
        <v>3097</v>
      </c>
      <c r="C9" s="1673"/>
      <c r="D9" s="3287"/>
      <c r="E9" s="1672" t="s">
        <v>953</v>
      </c>
      <c r="F9" s="1744"/>
      <c r="G9" s="1739"/>
      <c r="H9" s="1739"/>
      <c r="I9" s="1740"/>
      <c r="J9" s="1692"/>
      <c r="K9" s="1771"/>
      <c r="L9" s="1720"/>
      <c r="M9" s="1720"/>
      <c r="N9" s="1692"/>
      <c r="O9" s="1693"/>
      <c r="P9" s="1692"/>
      <c r="Q9" s="1692"/>
      <c r="R9" s="1692"/>
      <c r="S9" s="1692"/>
      <c r="T9" s="1692"/>
      <c r="U9" s="1692"/>
    </row>
    <row r="10" spans="1:21" ht="29.25" thickTop="1">
      <c r="A10" s="1741" t="s">
        <v>2001</v>
      </c>
      <c r="B10" s="3163" t="s">
        <v>3098</v>
      </c>
      <c r="C10" s="1674" t="s">
        <v>3099</v>
      </c>
      <c r="D10" s="1665"/>
      <c r="E10" s="1675" t="s">
        <v>1950</v>
      </c>
      <c r="F10" s="1676" t="s">
        <v>3101</v>
      </c>
      <c r="G10" s="1742"/>
      <c r="H10" s="1743"/>
      <c r="I10" s="1665"/>
      <c r="J10" s="1692"/>
      <c r="K10" s="1771"/>
      <c r="L10" s="1720"/>
      <c r="M10" s="1720"/>
      <c r="N10" s="1692"/>
      <c r="O10" s="1693"/>
      <c r="P10" s="1692"/>
      <c r="Q10" s="1692"/>
      <c r="R10" s="1692"/>
      <c r="S10" s="1692"/>
      <c r="T10" s="1692"/>
      <c r="U10" s="1692"/>
    </row>
    <row r="11" spans="1:21">
      <c r="A11" s="1695" t="s">
        <v>2002</v>
      </c>
      <c r="B11" s="1696" t="s">
        <v>3102</v>
      </c>
      <c r="C11" s="1677"/>
      <c r="D11" s="1759"/>
      <c r="E11" s="1658"/>
      <c r="F11" s="1658"/>
      <c r="G11" s="1658"/>
      <c r="H11" s="1658"/>
      <c r="I11" s="1658"/>
      <c r="J11" s="1692"/>
      <c r="K11" s="1771"/>
      <c r="L11" s="1720"/>
      <c r="M11" s="1720"/>
      <c r="N11" s="1692"/>
      <c r="O11" s="1693"/>
      <c r="P11" s="1692"/>
      <c r="Q11" s="1692"/>
      <c r="R11" s="1692"/>
      <c r="S11" s="1692"/>
      <c r="T11" s="1692"/>
      <c r="U11" s="1692"/>
    </row>
    <row r="12" spans="1:21">
      <c r="A12" s="1782" t="s">
        <v>2060</v>
      </c>
      <c r="B12" s="3283" t="s">
        <v>3103</v>
      </c>
      <c r="C12" s="3284"/>
      <c r="D12" s="3285"/>
      <c r="E12" s="1697" t="s">
        <v>2063</v>
      </c>
      <c r="F12" s="3301" t="s">
        <v>3110</v>
      </c>
      <c r="G12" s="3302"/>
      <c r="H12" s="3302"/>
      <c r="I12" s="3303"/>
      <c r="J12" s="1692"/>
      <c r="K12" s="1771"/>
      <c r="L12" s="1720"/>
      <c r="M12" s="1720"/>
      <c r="N12" s="1692"/>
      <c r="O12" s="1693"/>
      <c r="P12" s="1692"/>
      <c r="Q12" s="1692"/>
      <c r="R12" s="1692"/>
      <c r="S12" s="1692"/>
      <c r="T12" s="1692"/>
      <c r="U12" s="1692"/>
    </row>
    <row r="13" spans="1:21">
      <c r="A13" s="1685" t="s">
        <v>2061</v>
      </c>
      <c r="B13" s="3283" t="s">
        <v>3105</v>
      </c>
      <c r="C13" s="3284"/>
      <c r="D13" s="3285"/>
      <c r="E13" s="1697" t="s">
        <v>2063</v>
      </c>
      <c r="F13" s="3301" t="s">
        <v>3115</v>
      </c>
      <c r="G13" s="3302"/>
      <c r="H13" s="3302"/>
      <c r="I13" s="3303"/>
      <c r="J13" s="1692"/>
      <c r="K13" s="1771"/>
      <c r="L13" s="1720"/>
      <c r="M13" s="1720"/>
      <c r="N13" s="1692"/>
      <c r="O13" s="1693"/>
      <c r="P13" s="1692"/>
      <c r="Q13" s="1692"/>
      <c r="R13" s="1692"/>
      <c r="S13" s="1692"/>
      <c r="T13" s="1692"/>
      <c r="U13" s="1692"/>
    </row>
    <row r="14" spans="1:21">
      <c r="A14" s="1659" t="s">
        <v>2064</v>
      </c>
      <c r="B14" s="1697"/>
      <c r="C14" s="1842" t="s">
        <v>3116</v>
      </c>
      <c r="D14" s="1730" t="str">
        <f>IF(C14="不一致","是否符合证载地类范围","")</f>
        <v/>
      </c>
      <c r="E14" s="1697"/>
      <c r="F14" s="1787" t="s">
        <v>3117</v>
      </c>
      <c r="G14" s="1725"/>
      <c r="H14" s="1725"/>
      <c r="I14" s="1834"/>
      <c r="J14" s="1692"/>
      <c r="K14" s="1771"/>
      <c r="L14" s="1720"/>
      <c r="M14" s="1720"/>
      <c r="N14" s="1692"/>
      <c r="O14" s="1693"/>
      <c r="P14" s="1692"/>
      <c r="Q14" s="1692"/>
      <c r="R14" s="1692"/>
      <c r="S14" s="1692"/>
      <c r="T14" s="1692"/>
      <c r="U14" s="1692"/>
    </row>
    <row r="15" spans="1:21" hidden="1">
      <c r="A15" s="2667"/>
      <c r="B15" s="1661"/>
      <c r="C15" s="1661"/>
      <c r="D15" s="1763" t="s">
        <v>1953</v>
      </c>
      <c r="E15" s="1763" t="s">
        <v>1954</v>
      </c>
      <c r="F15" s="1763" t="s">
        <v>1955</v>
      </c>
      <c r="G15" s="1684" t="s">
        <v>1956</v>
      </c>
      <c r="H15" s="1684" t="s">
        <v>1957</v>
      </c>
      <c r="I15" s="1684" t="s">
        <v>1958</v>
      </c>
      <c r="J15" s="1692"/>
      <c r="K15" s="1771"/>
      <c r="L15" s="1720"/>
      <c r="M15" s="1720"/>
      <c r="N15" s="1692"/>
      <c r="O15" s="1693"/>
      <c r="P15" s="1692"/>
      <c r="Q15" s="1692"/>
      <c r="R15" s="1692"/>
      <c r="S15" s="1692"/>
      <c r="T15" s="1692"/>
      <c r="U15" s="1692"/>
    </row>
    <row r="16" spans="1:21" ht="28.5">
      <c r="A16" s="1678" t="s">
        <v>1951</v>
      </c>
      <c r="B16" s="1679" t="s">
        <v>3118</v>
      </c>
      <c r="C16" s="1697" t="s">
        <v>1952</v>
      </c>
      <c r="D16" s="2668" t="s">
        <v>1953</v>
      </c>
      <c r="E16" s="1719" t="s">
        <v>3119</v>
      </c>
      <c r="F16" s="1719"/>
      <c r="G16" s="1719"/>
      <c r="H16" s="1719"/>
      <c r="I16" s="1684" t="s">
        <v>1958</v>
      </c>
      <c r="J16" s="1692"/>
      <c r="K16" s="2477" t="str">
        <f>IF(D17="","",D16&amp;TEXT(D17,"yyyy年m月d日;;"))</f>
        <v>住宅2084年5月23日</v>
      </c>
      <c r="L16" s="1697" t="str">
        <f>IF(OR(K16="",M16=""),"","、")</f>
        <v>、</v>
      </c>
      <c r="M16" s="2477" t="str">
        <f>IF(E17="","",E16&amp;TEXT(E17,"yyyy年m月d日;;"))</f>
        <v>商业2054年5月23日</v>
      </c>
      <c r="N16" s="1697" t="str">
        <f>IF(OR(M16="",O16=""),"","、")</f>
        <v/>
      </c>
      <c r="O16" s="2477" t="str">
        <f>IF(F17="","",F16&amp;TEXT(F17,"yyyy年m月d日;;"))</f>
        <v/>
      </c>
      <c r="P16" s="1697" t="str">
        <f>IF(OR(O16="",Q16=""),"","、")</f>
        <v/>
      </c>
      <c r="Q16" s="2477" t="str">
        <f>IF(G17="","",G16&amp;TEXT(G17,"yyyy年m月d日;;"))</f>
        <v/>
      </c>
      <c r="R16" s="1697" t="str">
        <f>IF(OR(Q16="",S16=""),"","、")</f>
        <v/>
      </c>
      <c r="S16" s="2477" t="str">
        <f>IF(H17="","",H16&amp;TEXT(H17,"yyyy年m月d日;;"))</f>
        <v/>
      </c>
      <c r="T16" s="1697" t="str">
        <f>IF(OR(S16="",U16=""),"","、")</f>
        <v/>
      </c>
      <c r="U16" s="2477" t="str">
        <f>IF(I17="","",I16&amp;TEXT(I17,"yyyy年m月d日;;"))</f>
        <v/>
      </c>
    </row>
    <row r="17" spans="1:21">
      <c r="A17" s="1760"/>
      <c r="B17" s="1680"/>
      <c r="C17" s="1681" t="s">
        <v>1959</v>
      </c>
      <c r="D17" s="1698">
        <v>67350</v>
      </c>
      <c r="E17" s="1698">
        <v>56392</v>
      </c>
      <c r="F17" s="1698"/>
      <c r="G17" s="1698"/>
      <c r="H17" s="1698"/>
      <c r="I17" s="1698"/>
      <c r="J17" s="1692"/>
      <c r="K17" s="2476" t="str">
        <f>CONCATENATE(K16,L16,M16,N16,O16,P16,Q16,R16,S16,T16,,U16)</f>
        <v>住宅2084年5月23日、商业2054年5月23日</v>
      </c>
      <c r="L17" s="1720"/>
      <c r="M17" s="1720"/>
      <c r="N17" s="1692"/>
      <c r="O17" s="1693"/>
      <c r="P17" s="1692"/>
      <c r="Q17" s="1692"/>
      <c r="R17" s="1692"/>
      <c r="S17" s="1692"/>
      <c r="T17" s="1692"/>
      <c r="U17" s="1692"/>
    </row>
    <row r="18" spans="1:21">
      <c r="A18" s="1760"/>
      <c r="B18" s="1680"/>
      <c r="C18" s="1681" t="s">
        <v>1960</v>
      </c>
      <c r="D18" s="1682">
        <v>70</v>
      </c>
      <c r="E18" s="1682">
        <v>40</v>
      </c>
      <c r="F18" s="1682"/>
      <c r="G18" s="1682"/>
      <c r="H18" s="1682"/>
      <c r="I18" s="1682"/>
      <c r="J18" s="1692"/>
      <c r="K18" s="1771"/>
      <c r="L18" s="1720"/>
      <c r="M18" s="1720"/>
      <c r="N18" s="1692"/>
      <c r="O18" s="1693"/>
      <c r="P18" s="1692"/>
      <c r="Q18" s="1692"/>
      <c r="R18" s="1692"/>
      <c r="S18" s="1692"/>
      <c r="T18" s="1692"/>
      <c r="U18" s="1692"/>
    </row>
    <row r="19" spans="1:21">
      <c r="A19" s="1760"/>
      <c r="B19" s="1680"/>
      <c r="C19" s="1658" t="s">
        <v>1961</v>
      </c>
      <c r="D19" s="1755">
        <f>IF(B16="出让",IF(D17="","",ROUNDDOWN(MIN((D17-$D$3)/365,D18),2)),D18)</f>
        <v>66.42</v>
      </c>
      <c r="E19" s="1683">
        <f>IF(B16="出让",IF(E17="","",ROUNDDOWN(MIN((E17-$D$3)/365,E18),2)),E18)</f>
        <v>36.4</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0"/>
      <c r="M19" s="1720"/>
      <c r="N19" s="1692"/>
      <c r="O19" s="1693"/>
      <c r="P19" s="1692"/>
      <c r="Q19" s="1692"/>
      <c r="R19" s="1692"/>
      <c r="S19" s="1692"/>
      <c r="T19" s="1692"/>
      <c r="U19" s="1692"/>
    </row>
    <row r="20" spans="1:21">
      <c r="A20" s="1783"/>
      <c r="B20" s="1784"/>
      <c r="C20" s="1785" t="s">
        <v>2062</v>
      </c>
      <c r="D20" s="3298" t="s">
        <v>3120</v>
      </c>
      <c r="E20" s="3299"/>
      <c r="F20" s="3299"/>
      <c r="G20" s="3299"/>
      <c r="H20" s="3299"/>
      <c r="I20" s="3300"/>
      <c r="J20" s="1692"/>
      <c r="K20" s="1771"/>
      <c r="L20" s="1720"/>
      <c r="M20" s="1720"/>
      <c r="N20" s="1692"/>
      <c r="O20" s="1693"/>
      <c r="P20" s="1692"/>
      <c r="Q20" s="1692"/>
      <c r="R20" s="1692"/>
      <c r="S20" s="1692"/>
      <c r="T20" s="1692"/>
      <c r="U20" s="1692"/>
    </row>
    <row r="21" spans="1:21">
      <c r="A21" s="1760" t="s">
        <v>1962</v>
      </c>
      <c r="B21" s="1761" t="s">
        <v>1963</v>
      </c>
      <c r="C21" s="1756">
        <f>'数据-汇总表'!E3</f>
        <v>118125.52</v>
      </c>
      <c r="D21" s="1757" t="s">
        <v>1964</v>
      </c>
      <c r="E21" s="3288" t="s">
        <v>3114</v>
      </c>
      <c r="F21" s="3289"/>
      <c r="G21" s="3289"/>
      <c r="H21" s="3289"/>
      <c r="I21" s="3290"/>
      <c r="J21" s="1692"/>
      <c r="K21" s="1771"/>
      <c r="L21" s="1720"/>
      <c r="M21" s="1720"/>
      <c r="N21" s="1692"/>
      <c r="O21" s="1693"/>
      <c r="P21" s="1692"/>
      <c r="Q21" s="1692"/>
      <c r="R21" s="1692"/>
      <c r="S21" s="1692"/>
      <c r="T21" s="1692"/>
      <c r="U21" s="1692"/>
    </row>
    <row r="22" spans="1:21">
      <c r="A22" s="2659" t="s">
        <v>953</v>
      </c>
      <c r="B22" s="1659" t="s">
        <v>1965</v>
      </c>
      <c r="C22" s="1684">
        <f>'数据-汇总表'!D3</f>
        <v>60759</v>
      </c>
      <c r="D22" s="1685" t="s">
        <v>1964</v>
      </c>
      <c r="E22" s="3288" t="s">
        <v>3109</v>
      </c>
      <c r="F22" s="3289"/>
      <c r="G22" s="3289"/>
      <c r="H22" s="3289"/>
      <c r="I22" s="3290"/>
      <c r="J22" s="1692"/>
      <c r="K22" s="1771"/>
      <c r="L22" s="1720"/>
      <c r="M22" s="1720"/>
      <c r="N22" s="1692"/>
      <c r="O22" s="1693"/>
      <c r="P22" s="1692"/>
      <c r="Q22" s="1692"/>
      <c r="R22" s="1692"/>
      <c r="S22" s="1692"/>
      <c r="T22" s="1692"/>
      <c r="U22" s="1692"/>
    </row>
    <row r="23" spans="1:21" ht="43.5" thickBot="1">
      <c r="A23" s="1762" t="s">
        <v>1966</v>
      </c>
      <c r="B23" s="1699" t="s">
        <v>1967</v>
      </c>
      <c r="C23" s="1700" t="s">
        <v>3121</v>
      </c>
      <c r="D23" s="1701" t="s">
        <v>1968</v>
      </c>
      <c r="E23" s="1702" t="s">
        <v>953</v>
      </c>
      <c r="F23" s="1703" t="str">
        <f>IF(AND(C23="是",E23="否"),"是否提供他项权证或相关说明","")</f>
        <v/>
      </c>
      <c r="G23" s="1704" t="s">
        <v>953</v>
      </c>
      <c r="H23" s="1692"/>
      <c r="I23" s="1705"/>
      <c r="J23" s="1692"/>
      <c r="K23" s="1771"/>
      <c r="L23" s="1720"/>
      <c r="M23" s="1720"/>
      <c r="N23" s="1692"/>
      <c r="O23" s="1693"/>
      <c r="P23" s="1692"/>
      <c r="Q23" s="1692"/>
      <c r="R23" s="1692"/>
      <c r="S23" s="1692"/>
      <c r="T23" s="1692"/>
      <c r="U23" s="1692"/>
    </row>
    <row r="24" spans="1:21">
      <c r="A24" s="1747" t="s">
        <v>1969</v>
      </c>
      <c r="B24" s="3291" t="s">
        <v>1970</v>
      </c>
      <c r="C24" s="3292"/>
      <c r="D24" s="3293" t="s">
        <v>1971</v>
      </c>
      <c r="E24" s="3294"/>
      <c r="F24" s="1706" t="s">
        <v>1972</v>
      </c>
      <c r="G24" s="1692"/>
      <c r="H24" s="1692"/>
      <c r="I24" s="1705"/>
      <c r="J24" s="1692"/>
      <c r="K24" s="3279"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2"/>
      <c r="O24" s="1693"/>
      <c r="P24" s="1692"/>
      <c r="Q24" s="1692"/>
      <c r="R24" s="1692"/>
      <c r="S24" s="1692"/>
      <c r="T24" s="1692"/>
      <c r="U24" s="1692"/>
    </row>
    <row r="25" spans="1:21" ht="28.5">
      <c r="A25" s="1748"/>
      <c r="B25" s="1745" t="s">
        <v>1974</v>
      </c>
      <c r="C25" s="1707" t="s">
        <v>2327</v>
      </c>
      <c r="D25" s="1708"/>
      <c r="E25" s="1709" t="s">
        <v>953</v>
      </c>
      <c r="F25" s="1710"/>
      <c r="G25" s="1692"/>
      <c r="H25" s="1692"/>
      <c r="I25" s="1705"/>
      <c r="J25" s="1692"/>
      <c r="K25" s="3279"/>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2"/>
      <c r="O25" s="1693"/>
      <c r="P25" s="1692"/>
      <c r="Q25" s="1692"/>
      <c r="R25" s="1692"/>
      <c r="S25" s="1692"/>
      <c r="T25" s="1692"/>
      <c r="U25" s="1692"/>
    </row>
    <row r="26" spans="1:21" ht="15" thickBot="1">
      <c r="A26" s="1749"/>
      <c r="B26" s="1746" t="s">
        <v>953</v>
      </c>
      <c r="C26" s="1707" t="s">
        <v>953</v>
      </c>
      <c r="D26" s="1658"/>
      <c r="E26" s="1658"/>
      <c r="F26" s="1686"/>
      <c r="G26" s="1692"/>
      <c r="H26" s="1692"/>
      <c r="I26" s="1705"/>
      <c r="J26" s="1692"/>
      <c r="K26" s="3279"/>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2"/>
      <c r="O26" s="1693"/>
      <c r="P26" s="1692"/>
      <c r="Q26" s="1692"/>
      <c r="R26" s="1692"/>
      <c r="S26" s="1692"/>
      <c r="T26" s="1692"/>
      <c r="U26" s="1692"/>
    </row>
    <row r="27" spans="1:21">
      <c r="A27" s="1752" t="s">
        <v>1975</v>
      </c>
      <c r="B27" s="1750" t="s">
        <v>1976</v>
      </c>
      <c r="C27" s="1711"/>
      <c r="D27" s="2673" t="s">
        <v>1976</v>
      </c>
      <c r="E27" s="1712"/>
      <c r="F27" s="1686"/>
      <c r="G27" s="1692"/>
      <c r="H27" s="1692"/>
      <c r="I27" s="1705"/>
      <c r="J27" s="1692"/>
      <c r="K27" s="1771"/>
      <c r="L27" s="1720"/>
      <c r="M27" s="1720"/>
      <c r="N27" s="1692"/>
      <c r="O27" s="1693"/>
      <c r="P27" s="1692"/>
      <c r="Q27" s="1692"/>
      <c r="R27" s="1692"/>
      <c r="S27" s="1692"/>
      <c r="T27" s="1692"/>
      <c r="U27" s="1692"/>
    </row>
    <row r="28" spans="1:21">
      <c r="A28" s="1753"/>
      <c r="B28" s="1750" t="s">
        <v>1977</v>
      </c>
      <c r="C28" s="1713"/>
      <c r="D28" s="2674" t="s">
        <v>1977</v>
      </c>
      <c r="E28" s="1714"/>
      <c r="F28" s="1686"/>
      <c r="G28" s="1692"/>
      <c r="H28" s="1692"/>
      <c r="I28" s="1705"/>
      <c r="J28" s="1692"/>
      <c r="K28" s="1771"/>
      <c r="L28" s="1720"/>
      <c r="M28" s="1720"/>
      <c r="N28" s="1692"/>
      <c r="O28" s="1693"/>
      <c r="P28" s="1692"/>
      <c r="Q28" s="1692"/>
      <c r="R28" s="1692"/>
      <c r="S28" s="1692"/>
      <c r="T28" s="1692"/>
      <c r="U28" s="1692"/>
    </row>
    <row r="29" spans="1:21">
      <c r="A29" s="1753"/>
      <c r="B29" s="1750" t="s">
        <v>1978</v>
      </c>
      <c r="C29" s="1713"/>
      <c r="D29" s="2674" t="s">
        <v>1978</v>
      </c>
      <c r="E29" s="1714"/>
      <c r="F29" s="1686"/>
      <c r="G29" s="1692"/>
      <c r="H29" s="1692"/>
      <c r="I29" s="1705"/>
      <c r="J29" s="1692"/>
      <c r="K29" s="1771"/>
      <c r="L29" s="1720"/>
      <c r="M29" s="1720"/>
      <c r="N29" s="1692"/>
      <c r="O29" s="1693"/>
      <c r="P29" s="1692"/>
      <c r="Q29" s="1692"/>
      <c r="R29" s="1692"/>
      <c r="S29" s="1692"/>
      <c r="T29" s="1692"/>
      <c r="U29" s="1692"/>
    </row>
    <row r="30" spans="1:21" ht="15" thickBot="1">
      <c r="A30" s="1754"/>
      <c r="B30" s="1751" t="s">
        <v>1979</v>
      </c>
      <c r="C30" s="1715"/>
      <c r="D30" s="2675" t="s">
        <v>1979</v>
      </c>
      <c r="E30" s="1716"/>
      <c r="F30" s="1687"/>
      <c r="G30" s="1739"/>
      <c r="H30" s="1739"/>
      <c r="I30" s="1740"/>
      <c r="J30" s="1692"/>
      <c r="K30" s="1771"/>
      <c r="L30" s="1720"/>
      <c r="M30" s="1720"/>
      <c r="N30" s="1692"/>
      <c r="O30" s="1693"/>
      <c r="P30" s="1692"/>
      <c r="Q30" s="1692"/>
      <c r="R30" s="1692"/>
      <c r="S30" s="1692"/>
      <c r="T30" s="1692"/>
      <c r="U30" s="1692"/>
    </row>
    <row r="31" spans="1:21" ht="15" thickTop="1">
      <c r="A31" s="3306" t="s">
        <v>2003</v>
      </c>
      <c r="B31" s="1761" t="s">
        <v>2004</v>
      </c>
      <c r="C31" s="3304" t="s">
        <v>3122</v>
      </c>
      <c r="D31" s="3305"/>
      <c r="E31" s="1692"/>
      <c r="F31" s="1692"/>
      <c r="G31" s="1692"/>
      <c r="H31" s="1692"/>
      <c r="I31" s="1705"/>
      <c r="J31" s="1692"/>
      <c r="K31" s="2479"/>
      <c r="L31" s="1692"/>
      <c r="M31" s="1692"/>
      <c r="N31" s="1692"/>
      <c r="O31" s="1692"/>
      <c r="P31" s="1692"/>
      <c r="Q31" s="1692"/>
      <c r="R31" s="1692"/>
      <c r="S31" s="1692"/>
      <c r="T31" s="1692"/>
      <c r="U31" s="1692"/>
    </row>
    <row r="32" spans="1:21">
      <c r="A32" s="3306"/>
      <c r="B32" s="1659" t="s">
        <v>2005</v>
      </c>
      <c r="C32" s="3163" t="s">
        <v>3123</v>
      </c>
      <c r="D32" s="1717"/>
      <c r="E32" s="1692"/>
      <c r="F32" s="1692"/>
      <c r="G32" s="1692"/>
      <c r="H32" s="1692"/>
      <c r="I32" s="1705"/>
      <c r="J32" s="1692"/>
      <c r="K32" s="2479"/>
      <c r="L32" s="1692"/>
      <c r="M32" s="1692"/>
      <c r="N32" s="1692"/>
      <c r="O32" s="1692"/>
      <c r="P32" s="1692"/>
      <c r="Q32" s="1692"/>
      <c r="R32" s="1692"/>
      <c r="S32" s="1692"/>
      <c r="T32" s="1692"/>
      <c r="U32" s="1692"/>
    </row>
    <row r="33" spans="1:21">
      <c r="A33" s="3306"/>
      <c r="B33" s="1659" t="s">
        <v>2006</v>
      </c>
      <c r="C33" s="1718" t="s">
        <v>3121</v>
      </c>
      <c r="D33" s="1835"/>
      <c r="E33" s="1692"/>
      <c r="F33" s="1692"/>
      <c r="G33" s="1692"/>
      <c r="H33" s="1692"/>
      <c r="I33" s="1705"/>
      <c r="J33" s="1692"/>
      <c r="K33" s="2479"/>
      <c r="L33" s="1692"/>
      <c r="M33" s="1692"/>
      <c r="N33" s="1692"/>
      <c r="O33" s="1692"/>
      <c r="P33" s="1692"/>
      <c r="Q33" s="1692"/>
      <c r="R33" s="1692"/>
      <c r="S33" s="1692"/>
      <c r="T33" s="1692"/>
      <c r="U33" s="1692"/>
    </row>
    <row r="34" spans="1:21">
      <c r="A34" s="3307"/>
      <c r="B34" s="1659" t="s">
        <v>2007</v>
      </c>
      <c r="C34" s="3308"/>
      <c r="D34" s="3309"/>
      <c r="E34" s="1692"/>
      <c r="F34" s="1692"/>
      <c r="G34" s="1692"/>
      <c r="H34" s="1692"/>
      <c r="I34" s="1705"/>
      <c r="J34" s="1692"/>
      <c r="K34" s="2479"/>
      <c r="L34" s="1692"/>
      <c r="M34" s="1692"/>
      <c r="N34" s="1692"/>
      <c r="O34" s="1692"/>
      <c r="P34" s="1692"/>
      <c r="Q34" s="1692"/>
      <c r="R34" s="1692"/>
      <c r="S34" s="1692"/>
      <c r="T34" s="1692"/>
      <c r="U34" s="1692"/>
    </row>
    <row r="35" spans="1:21">
      <c r="A35" s="3310" t="s">
        <v>848</v>
      </c>
      <c r="B35" s="1719" t="s">
        <v>3124</v>
      </c>
      <c r="C35" s="1773" t="str">
        <f>IF(B35="场地平整","——","具体情况：")</f>
        <v>具体情况：</v>
      </c>
      <c r="D35" s="3312" t="s">
        <v>3126</v>
      </c>
      <c r="E35" s="3313"/>
      <c r="F35" s="3313"/>
      <c r="G35" s="3313"/>
      <c r="H35" s="3313"/>
      <c r="I35" s="3314"/>
      <c r="J35" s="1692"/>
      <c r="K35" s="1772"/>
      <c r="L35" s="1720"/>
      <c r="M35" s="1720"/>
      <c r="N35" s="1692"/>
      <c r="O35" s="1693"/>
      <c r="P35" s="1692"/>
      <c r="Q35" s="1692"/>
      <c r="R35" s="1692"/>
      <c r="S35" s="1692"/>
      <c r="T35" s="1692"/>
      <c r="U35" s="1692"/>
    </row>
    <row r="36" spans="1:21" ht="28.5">
      <c r="A36" s="3306"/>
      <c r="B36" s="3315" t="s">
        <v>2056</v>
      </c>
      <c r="C36" s="3316"/>
      <c r="D36" s="1789" t="s">
        <v>3125</v>
      </c>
      <c r="E36" s="3317"/>
      <c r="F36" s="3317"/>
      <c r="G36" s="1685" t="str">
        <f>IF(B35="场地未平整","估价结果处理","")</f>
        <v>估价结果处理</v>
      </c>
      <c r="H36" s="3318" t="s">
        <v>3127</v>
      </c>
      <c r="I36" s="3318"/>
      <c r="J36" s="1692"/>
      <c r="K36" s="1772"/>
      <c r="L36" s="1720"/>
      <c r="M36" s="1720"/>
      <c r="N36" s="1692"/>
      <c r="O36" s="1693"/>
      <c r="P36" s="1692"/>
      <c r="Q36" s="1692"/>
      <c r="R36" s="1692"/>
      <c r="S36" s="1692"/>
      <c r="T36" s="1692"/>
      <c r="U36" s="1692"/>
    </row>
    <row r="37" spans="1:21" ht="28.5">
      <c r="A37" s="3306"/>
      <c r="B37" s="3295" t="s">
        <v>849</v>
      </c>
      <c r="C37" s="1721" t="s">
        <v>850</v>
      </c>
      <c r="D37" s="1722"/>
      <c r="E37" s="1723"/>
      <c r="F37" s="1692"/>
      <c r="G37" s="1692"/>
      <c r="H37" s="1692"/>
      <c r="I37" s="1705"/>
      <c r="J37" s="1692"/>
      <c r="K37" s="1772"/>
      <c r="L37" s="1692"/>
      <c r="M37" s="1692"/>
      <c r="N37" s="1692"/>
      <c r="O37" s="1692"/>
      <c r="P37" s="1692"/>
      <c r="Q37" s="1692"/>
      <c r="R37" s="1692"/>
      <c r="S37" s="1692"/>
      <c r="T37" s="1692"/>
      <c r="U37" s="1692"/>
    </row>
    <row r="38" spans="1:21">
      <c r="A38" s="3306"/>
      <c r="B38" s="3296"/>
      <c r="C38" s="1667" t="s">
        <v>851</v>
      </c>
      <c r="D38" s="1788">
        <f>ROUNDDOWN(MIN(('数据-取费表'!$B$2-D37)/365,D34),1)</f>
        <v>118</v>
      </c>
      <c r="E38" s="1724" t="s">
        <v>852</v>
      </c>
      <c r="F38" s="1692"/>
      <c r="G38" s="1692"/>
      <c r="H38" s="1692"/>
      <c r="I38" s="1705"/>
      <c r="J38" s="1692"/>
      <c r="K38" s="1772"/>
      <c r="L38" s="1692"/>
      <c r="M38" s="1692"/>
      <c r="N38" s="1692"/>
      <c r="O38" s="1692"/>
      <c r="P38" s="1692"/>
      <c r="Q38" s="1692"/>
      <c r="R38" s="1692"/>
      <c r="S38" s="1692"/>
      <c r="T38" s="1692"/>
      <c r="U38" s="1692"/>
    </row>
    <row r="39" spans="1:21">
      <c r="A39" s="3307"/>
      <c r="B39" s="3297"/>
      <c r="C39" s="1695" t="str">
        <f>IF(D38&lt;1,"不存在土地闲置",IF(B35="宗地内已开工建设","已开工，不存在土地闲置","估价对象已涉嫌土地闲置"))</f>
        <v>估价对象已涉嫌土地闲置</v>
      </c>
      <c r="D39" s="1725"/>
      <c r="E39" s="1726"/>
      <c r="F39" s="1692"/>
      <c r="G39" s="1692"/>
      <c r="H39" s="1692"/>
      <c r="I39" s="1705"/>
      <c r="J39" s="1692"/>
      <c r="K39" s="1771"/>
      <c r="L39" s="1720"/>
      <c r="M39" s="1720"/>
      <c r="N39" s="1692"/>
      <c r="O39" s="1693"/>
      <c r="P39" s="1692"/>
      <c r="Q39" s="1692"/>
      <c r="R39" s="1692"/>
      <c r="S39" s="1692"/>
      <c r="T39" s="1692"/>
      <c r="U39" s="1692"/>
    </row>
    <row r="40" spans="1:21">
      <c r="A40" s="1685" t="s">
        <v>1980</v>
      </c>
      <c r="B40" s="1688" t="s">
        <v>3128</v>
      </c>
      <c r="C40" s="1688" t="s">
        <v>3129</v>
      </c>
      <c r="D40" s="1688" t="s">
        <v>3130</v>
      </c>
      <c r="E40" s="1688" t="s">
        <v>3131</v>
      </c>
      <c r="F40" s="1688" t="s">
        <v>3132</v>
      </c>
      <c r="G40" s="1688"/>
      <c r="H40" s="1688"/>
      <c r="I40" s="1705"/>
      <c r="J40" s="1692"/>
      <c r="K40" s="1727">
        <f>COUNTIF(B40:H40,"——")</f>
        <v>0</v>
      </c>
      <c r="L40" s="1697" t="s">
        <v>1981</v>
      </c>
      <c r="M40" s="1694" t="s">
        <v>1982</v>
      </c>
      <c r="N40" s="1694" t="s">
        <v>1983</v>
      </c>
      <c r="O40" s="1694" t="s">
        <v>1984</v>
      </c>
      <c r="P40" s="1694" t="s">
        <v>1985</v>
      </c>
      <c r="Q40" s="1694" t="s">
        <v>1986</v>
      </c>
      <c r="R40" s="1694" t="s">
        <v>1987</v>
      </c>
      <c r="S40" s="3278" t="s">
        <v>1988</v>
      </c>
      <c r="T40" s="1728" t="str">
        <f>NUMBERSTRING(7-K40,1)&amp;"通"</f>
        <v>七通</v>
      </c>
      <c r="U40" s="1692"/>
    </row>
    <row r="41" spans="1:21" ht="28.5">
      <c r="A41" s="1661"/>
      <c r="B41" s="3311" t="s">
        <v>1723</v>
      </c>
      <c r="C41" s="3311"/>
      <c r="D41" s="3311"/>
      <c r="E41" s="3311"/>
      <c r="F41" s="1729" t="str">
        <f>C10</f>
        <v>四川省峨眉山市</v>
      </c>
      <c r="G41" s="1692"/>
      <c r="H41" s="1692"/>
      <c r="I41" s="1705"/>
      <c r="J41" s="1692"/>
      <c r="K41" s="1697"/>
      <c r="L41" s="1694"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78"/>
      <c r="T41" s="1730" t="str">
        <f>IF(T40="一通",L41,IF(T40="二通",M41,IF(T40="三通",N41,IF(T40="四通",O41,IF(T40="五通",P41,IF(T40="六通",Q41,R41))))))</f>
        <v>通路、通电、通讯、通上水、通下水、、</v>
      </c>
      <c r="U41" s="1692"/>
    </row>
    <row r="42" spans="1:21">
      <c r="A42" s="1732"/>
      <c r="B42" s="1763" t="s">
        <v>1899</v>
      </c>
      <c r="C42" s="1763" t="s">
        <v>1900</v>
      </c>
      <c r="D42" s="1763" t="s">
        <v>1901</v>
      </c>
      <c r="E42" s="1697" t="s">
        <v>1902</v>
      </c>
      <c r="F42" s="1733"/>
      <c r="G42" s="1692"/>
      <c r="H42" s="1692"/>
      <c r="I42" s="1705"/>
      <c r="J42" s="1692"/>
      <c r="K42" s="1771"/>
      <c r="L42" s="1720"/>
      <c r="M42" s="1720"/>
      <c r="N42" s="1692"/>
      <c r="O42" s="1693"/>
      <c r="P42" s="1692"/>
      <c r="Q42" s="1692"/>
      <c r="R42" s="1692"/>
      <c r="S42" s="1692"/>
      <c r="T42" s="1692"/>
      <c r="U42" s="1692"/>
    </row>
    <row r="43" spans="1:21">
      <c r="A43" s="1734" t="s">
        <v>1708</v>
      </c>
      <c r="B43" s="1735"/>
      <c r="C43" s="1735"/>
      <c r="D43" s="1735"/>
      <c r="E43" s="1735"/>
      <c r="F43" s="1736"/>
      <c r="G43" s="1692"/>
      <c r="H43" s="1692"/>
      <c r="I43" s="1705"/>
      <c r="J43" s="1692"/>
      <c r="K43" s="1771"/>
      <c r="L43" s="1720"/>
      <c r="M43" s="1720"/>
      <c r="N43" s="1692"/>
      <c r="O43" s="1693"/>
      <c r="P43" s="1692"/>
      <c r="Q43" s="1692"/>
      <c r="R43" s="1692"/>
      <c r="S43" s="1692"/>
      <c r="T43" s="1692"/>
      <c r="U43" s="1692"/>
    </row>
    <row r="44" spans="1:21">
      <c r="A44" s="1734" t="s">
        <v>1709</v>
      </c>
      <c r="B44" s="1735"/>
      <c r="C44" s="1735"/>
      <c r="D44" s="1735"/>
      <c r="E44" s="1789"/>
      <c r="F44" s="1736"/>
      <c r="G44" s="1692"/>
      <c r="H44" s="1692"/>
      <c r="I44" s="1705"/>
      <c r="J44" s="1692"/>
      <c r="K44" s="1771"/>
      <c r="L44" s="1720"/>
      <c r="M44" s="1720"/>
      <c r="N44" s="1692"/>
      <c r="O44" s="1693"/>
      <c r="P44" s="1692"/>
      <c r="Q44" s="1692"/>
      <c r="R44" s="1692"/>
      <c r="S44" s="1692"/>
      <c r="T44" s="1692"/>
      <c r="U44" s="1692"/>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1"/>
      <c r="L46" s="1720"/>
      <c r="M46" s="1720"/>
      <c r="N46" s="1692"/>
      <c r="O46" s="1693"/>
      <c r="P46" s="1692"/>
      <c r="Q46" s="1692"/>
      <c r="R46" s="1692"/>
      <c r="S46" s="1692"/>
      <c r="T46" s="1692"/>
      <c r="U46" s="1692"/>
    </row>
    <row r="47" spans="1:21">
      <c r="A47" s="1737" t="s">
        <v>2008</v>
      </c>
      <c r="B47" s="1738"/>
      <c r="C47" s="1726"/>
      <c r="D47" s="1692"/>
      <c r="E47" s="1692"/>
      <c r="F47" s="1692"/>
      <c r="G47" s="1692"/>
      <c r="H47" s="1692"/>
      <c r="I47" s="1693"/>
      <c r="J47" s="1692"/>
      <c r="K47" s="1771"/>
      <c r="L47" s="1720"/>
      <c r="M47" s="1720"/>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69" t="s">
        <v>2018</v>
      </c>
      <c r="K48" s="1763" t="s">
        <v>2019</v>
      </c>
      <c r="L48" s="1763" t="s">
        <v>2020</v>
      </c>
      <c r="M48" s="1763" t="s">
        <v>2021</v>
      </c>
      <c r="N48" s="1684" t="s">
        <v>2022</v>
      </c>
      <c r="O48" s="1684" t="s">
        <v>2023</v>
      </c>
      <c r="P48" s="1684" t="s">
        <v>2024</v>
      </c>
      <c r="Q48" s="1697" t="s">
        <v>2025</v>
      </c>
      <c r="R48" s="1697" t="s">
        <v>2026</v>
      </c>
      <c r="S48" s="1692"/>
      <c r="T48" s="1692"/>
      <c r="U48" s="1692"/>
    </row>
    <row r="49" spans="1:21">
      <c r="A49" s="1694"/>
      <c r="B49" s="1727"/>
      <c r="C49" s="1727"/>
      <c r="D49" s="1727"/>
      <c r="E49" s="1727"/>
      <c r="F49" s="1727"/>
      <c r="G49" s="1727"/>
      <c r="H49" s="1727"/>
      <c r="I49" s="1727"/>
      <c r="J49" s="1836"/>
      <c r="K49" s="1837"/>
      <c r="L49" s="1837"/>
      <c r="M49" s="1727"/>
      <c r="N49" s="1727"/>
      <c r="O49" s="1727"/>
      <c r="P49" s="1727"/>
      <c r="Q49" s="1727"/>
      <c r="R49" s="1727"/>
      <c r="S49" s="1692"/>
      <c r="T49" s="1692"/>
      <c r="U49" s="1692"/>
    </row>
    <row r="50" spans="1:21">
      <c r="A50" s="1694"/>
      <c r="B50" s="1694"/>
      <c r="C50" s="1727"/>
      <c r="D50" s="1727"/>
      <c r="E50" s="1727"/>
      <c r="F50" s="1727"/>
      <c r="G50" s="1727"/>
      <c r="H50" s="1727"/>
      <c r="I50" s="1727"/>
      <c r="J50" s="1836"/>
      <c r="K50" s="1837"/>
      <c r="L50" s="1837"/>
      <c r="M50" s="1727"/>
      <c r="N50" s="1727"/>
      <c r="O50" s="1727"/>
      <c r="P50" s="1727"/>
      <c r="Q50" s="1727"/>
      <c r="R50" s="1727"/>
      <c r="S50" s="1692"/>
      <c r="T50" s="1692"/>
      <c r="U50" s="1692"/>
    </row>
    <row r="51" spans="1:21">
      <c r="A51" s="1694"/>
      <c r="B51" s="1694"/>
      <c r="C51" s="1727"/>
      <c r="D51" s="1727"/>
      <c r="E51" s="1727"/>
      <c r="F51" s="1727"/>
      <c r="G51" s="1727"/>
      <c r="H51" s="1727"/>
      <c r="I51" s="1727"/>
      <c r="J51" s="1836"/>
      <c r="K51" s="1837"/>
      <c r="L51" s="1837"/>
      <c r="M51" s="1727"/>
      <c r="N51" s="1727"/>
      <c r="O51" s="1727"/>
      <c r="P51" s="1727"/>
      <c r="Q51" s="1727"/>
      <c r="R51" s="1727"/>
      <c r="S51" s="1692"/>
      <c r="T51" s="1692"/>
      <c r="U51" s="1692"/>
    </row>
    <row r="52" spans="1:21">
      <c r="A52" s="1694"/>
      <c r="B52" s="1694"/>
      <c r="C52" s="1727"/>
      <c r="D52" s="1727"/>
      <c r="E52" s="1727"/>
      <c r="F52" s="1727"/>
      <c r="G52" s="1727"/>
      <c r="H52" s="1727"/>
      <c r="I52" s="1727"/>
      <c r="J52" s="1836"/>
      <c r="K52" s="1837"/>
      <c r="L52" s="1837"/>
      <c r="M52" s="1727"/>
      <c r="N52" s="1727"/>
      <c r="O52" s="1727"/>
      <c r="P52" s="1727"/>
      <c r="Q52" s="1727"/>
      <c r="R52" s="1727"/>
      <c r="S52" s="1692"/>
      <c r="T52" s="1692"/>
      <c r="U52" s="1692"/>
    </row>
    <row r="53" spans="1:21">
      <c r="A53" s="1694"/>
      <c r="B53" s="1694"/>
      <c r="C53" s="1727"/>
      <c r="D53" s="1727"/>
      <c r="E53" s="1727"/>
      <c r="F53" s="1727"/>
      <c r="G53" s="1727"/>
      <c r="H53" s="1727"/>
      <c r="I53" s="1727"/>
      <c r="J53" s="1836"/>
      <c r="K53" s="1837"/>
      <c r="L53" s="1837"/>
      <c r="M53" s="1727"/>
      <c r="N53" s="1727"/>
      <c r="O53" s="1727"/>
      <c r="P53" s="1727"/>
      <c r="Q53" s="1727"/>
      <c r="R53" s="1727"/>
      <c r="S53" s="1692"/>
      <c r="T53" s="1692"/>
      <c r="U53" s="1692"/>
    </row>
    <row r="54" spans="1:21">
      <c r="A54" s="1694"/>
      <c r="B54" s="1694"/>
      <c r="C54" s="1694"/>
      <c r="D54" s="1694"/>
      <c r="E54" s="1694"/>
      <c r="F54" s="1727"/>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7"/>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7"/>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7"/>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7"/>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2334</v>
      </c>
      <c r="BA2" s="235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Sheet1!I5</f>
        <v>60759</v>
      </c>
      <c r="B3" s="22">
        <f>IF(C3="否",G5-AT5,G5)</f>
        <v>118125.52</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118125.52</v>
      </c>
      <c r="H5" s="27">
        <f t="shared" ref="H5:AT5" si="0">SUM(H13:H641)</f>
        <v>118125.52</v>
      </c>
      <c r="I5" s="27">
        <f t="shared" si="0"/>
        <v>112219.23999999999</v>
      </c>
      <c r="J5" s="27">
        <f t="shared" si="0"/>
        <v>0</v>
      </c>
      <c r="K5" s="27">
        <f t="shared" si="0"/>
        <v>5906.2800000000125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118125.52</v>
      </c>
      <c r="BA5" s="29">
        <f t="shared" si="1"/>
        <v>118125.52</v>
      </c>
      <c r="BB5" s="29">
        <f t="shared" si="1"/>
        <v>112219.23999999999</v>
      </c>
      <c r="BC5" s="29">
        <f t="shared" si="1"/>
        <v>5906.2800000000125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60759</v>
      </c>
      <c r="F6" s="27" t="s">
        <v>1</v>
      </c>
      <c r="G6" s="27" t="s">
        <v>2</v>
      </c>
      <c r="H6" s="33">
        <f>SUMIF(I$12:AB$12,"总值",I6:AB6)</f>
        <v>60759</v>
      </c>
      <c r="I6" s="27">
        <f t="shared" ref="I6:AB6" si="2">ROUND($A$3*I5/$B$3,2)</f>
        <v>57721.05</v>
      </c>
      <c r="J6" s="27">
        <f t="shared" si="2"/>
        <v>0</v>
      </c>
      <c r="K6" s="27">
        <f t="shared" si="2"/>
        <v>3037.95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60759</v>
      </c>
      <c r="AZ6" s="27" t="s">
        <v>3</v>
      </c>
      <c r="BA6" s="27">
        <f>ROUND($AY$6*BA5/$AZ$5,2)</f>
        <v>60759</v>
      </c>
      <c r="BB6" s="27">
        <f>ROUND($AY$6*BB5/$AZ$5,2)</f>
        <v>57721.05</v>
      </c>
      <c r="BC6" s="27">
        <f t="shared" ref="BC6:BH6" si="4">ROUND($AY$6*BC5/$AZ$5,2)</f>
        <v>3037.95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3133</v>
      </c>
      <c r="J9" s="51"/>
      <c r="K9" s="3042" t="s">
        <v>3133</v>
      </c>
      <c r="L9" s="51"/>
      <c r="M9" s="3042" t="s">
        <v>3133</v>
      </c>
      <c r="N9" s="51"/>
      <c r="O9" s="59" t="s">
        <v>3133</v>
      </c>
      <c r="P9" s="51"/>
      <c r="Q9" s="59" t="s">
        <v>3133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3119</v>
      </c>
      <c r="L10" s="51"/>
      <c r="M10" s="3044" t="s">
        <v>924</v>
      </c>
      <c r="N10" s="51"/>
      <c r="O10" s="66" t="s">
        <v>924</v>
      </c>
      <c r="P10" s="51"/>
      <c r="Q10" s="66" t="s">
        <v>924</v>
      </c>
      <c r="R10" s="51"/>
      <c r="S10" s="66"/>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3137</v>
      </c>
      <c r="J11" s="71"/>
      <c r="K11" s="3043" t="s">
        <v>3134</v>
      </c>
      <c r="L11" s="71"/>
      <c r="M11" s="70" t="s">
        <v>3136</v>
      </c>
      <c r="N11" s="71"/>
      <c r="O11" s="70" t="s">
        <v>3138</v>
      </c>
      <c r="P11" s="71"/>
      <c r="Q11" s="70" t="s">
        <v>3139</v>
      </c>
      <c r="R11" s="71"/>
      <c r="S11" s="70"/>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住宅</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t="str">
        <f>M11</f>
        <v>普通住宅</v>
      </c>
      <c r="BE12" s="50" t="str">
        <f>O11</f>
        <v>联排</v>
      </c>
      <c r="BF12" s="50" t="str">
        <f>Q11</f>
        <v>独栋</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60759</v>
      </c>
      <c r="F13" s="81"/>
      <c r="G13" s="82">
        <f t="shared" ref="G13:G20" si="7">H13+AC13+AT13</f>
        <v>118125.52</v>
      </c>
      <c r="H13" s="33">
        <f t="shared" ref="H13:H20" si="8">SUMIF(I$12:AB$12,"总值",I13:AB13)</f>
        <v>118125.52</v>
      </c>
      <c r="I13" s="3041">
        <f>Sheet1!K5</f>
        <v>112219.23999999999</v>
      </c>
      <c r="J13" s="3041"/>
      <c r="K13" s="3041">
        <f>Sheet1!L5</f>
        <v>5906.2800000000125</v>
      </c>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5">
        <f t="shared" ref="AY13:AY20" si="11">ROUND($AY$6*AZ13/$AZ$5,2)</f>
        <v>60759</v>
      </c>
      <c r="AZ13" s="27">
        <f t="shared" ref="AZ13:AZ20" si="12">BA13+BL13</f>
        <v>118125.52</v>
      </c>
      <c r="BA13" s="27">
        <f t="shared" ref="BA13:BA20" si="13">SUM(BB13:BK13)</f>
        <v>118125.52</v>
      </c>
      <c r="BB13" s="27">
        <f t="shared" ref="BB13:BB20" si="14">IF($D13="是",I13-J13,0)</f>
        <v>112219.23999999999</v>
      </c>
      <c r="BC13" s="27">
        <f t="shared" ref="BC13:BC20" si="15">IF($D13="是",K13-L13,0)</f>
        <v>5906.2800000000125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45" sqref="G4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30" t="s">
        <v>203</v>
      </c>
      <c r="B2" s="3330"/>
      <c r="C2" s="3330"/>
      <c r="D2" s="1972" t="s">
        <v>204</v>
      </c>
      <c r="E2" s="106" t="s">
        <v>205</v>
      </c>
      <c r="F2" s="1981"/>
      <c r="G2" s="1197"/>
      <c r="H2" s="1198"/>
      <c r="I2" s="1199" t="s">
        <v>858</v>
      </c>
      <c r="J2" s="1981"/>
      <c r="K2" s="1981"/>
      <c r="L2" s="1981"/>
    </row>
    <row r="3" spans="1:16" ht="15.75" thickBot="1">
      <c r="A3" s="3331" t="s">
        <v>206</v>
      </c>
      <c r="B3" s="3331"/>
      <c r="C3" s="3331"/>
      <c r="D3" s="107">
        <f>'数据-基础表'!AY6</f>
        <v>60759</v>
      </c>
      <c r="E3" s="107">
        <f>'数据-基础表'!AZ5</f>
        <v>118125.52</v>
      </c>
      <c r="F3" s="1981"/>
      <c r="G3" s="279" t="s">
        <v>859</v>
      </c>
      <c r="H3" s="274" t="s">
        <v>860</v>
      </c>
      <c r="I3" s="1973">
        <f>ROUND('数据-基础表'!B3/'数据-基础表'!A3,2)</f>
        <v>1.94</v>
      </c>
      <c r="J3" s="1981"/>
      <c r="K3" s="1981"/>
      <c r="L3" s="1981"/>
    </row>
    <row r="4" spans="1:16" ht="15">
      <c r="A4" s="3332"/>
      <c r="B4" s="3333"/>
      <c r="C4" s="3334"/>
      <c r="D4" s="108" t="s">
        <v>204</v>
      </c>
      <c r="E4" s="109" t="s">
        <v>205</v>
      </c>
      <c r="F4" s="1981"/>
      <c r="G4" s="1200"/>
      <c r="H4" s="274" t="s">
        <v>861</v>
      </c>
      <c r="I4" s="1973">
        <f>ROUND(SUMIF('数据-基础表'!I9:AS9,"地上",'数据-基础表'!I5:AS5)/'数据-基础表'!A3,2)</f>
        <v>1.94</v>
      </c>
      <c r="J4" s="1981"/>
      <c r="K4" s="1981"/>
      <c r="L4" s="1981"/>
    </row>
    <row r="5" spans="1:16">
      <c r="A5" s="110" t="s">
        <v>207</v>
      </c>
      <c r="B5" s="3335" t="s">
        <v>230</v>
      </c>
      <c r="C5" s="3335"/>
      <c r="D5" s="111">
        <f>ROUND($D$3*E5/$E$3,2)</f>
        <v>57721.05</v>
      </c>
      <c r="E5" s="112">
        <f>SUMIF('数据-基础表'!$11:$11,"住宅",'数据-基础表'!$5:$5)</f>
        <v>112219.23999999999</v>
      </c>
      <c r="F5" s="1981"/>
      <c r="G5" s="279" t="s">
        <v>862</v>
      </c>
      <c r="H5" s="274" t="s">
        <v>860</v>
      </c>
      <c r="I5" s="1973">
        <f>ROUND(E31/D31,2)</f>
        <v>1.94</v>
      </c>
      <c r="J5" s="1981"/>
      <c r="K5" s="1981"/>
      <c r="L5" s="1981"/>
    </row>
    <row r="6" spans="1:16" ht="15" thickBot="1">
      <c r="A6" s="113"/>
      <c r="B6" s="3335" t="s">
        <v>208</v>
      </c>
      <c r="C6" s="3335"/>
      <c r="D6" s="111">
        <f>ROUND($D$3*E6/$E$3,2)</f>
        <v>3037.95</v>
      </c>
      <c r="E6" s="112">
        <f>E3-E5</f>
        <v>5906.2800000000134</v>
      </c>
      <c r="F6" s="1981"/>
      <c r="G6" s="1200"/>
      <c r="H6" s="274" t="s">
        <v>861</v>
      </c>
      <c r="I6" s="1973">
        <f>ROUND(F31/D31,2)</f>
        <v>1.94</v>
      </c>
      <c r="J6" s="1981"/>
      <c r="K6" s="1981"/>
      <c r="L6" s="1981"/>
    </row>
    <row r="7" spans="1:16" ht="15">
      <c r="A7" s="3327"/>
      <c r="B7" s="3328"/>
      <c r="C7" s="3329"/>
      <c r="D7" s="108" t="s">
        <v>204</v>
      </c>
      <c r="E7" s="114" t="s">
        <v>231</v>
      </c>
      <c r="F7" s="1981"/>
      <c r="G7" s="1155" t="s">
        <v>1647</v>
      </c>
      <c r="H7" s="1156"/>
      <c r="I7" s="3215">
        <f>I6</f>
        <v>1.94</v>
      </c>
      <c r="J7" s="1981"/>
      <c r="K7" s="1981"/>
      <c r="L7" s="1981"/>
    </row>
    <row r="8" spans="1:16">
      <c r="A8" s="110" t="s">
        <v>209</v>
      </c>
      <c r="B8" s="115" t="s">
        <v>210</v>
      </c>
      <c r="C8" s="111" t="s">
        <v>211</v>
      </c>
      <c r="D8" s="111">
        <f t="shared" ref="D8:D15" si="0">ROUND($D$3*E8/$E$3,2)</f>
        <v>60759</v>
      </c>
      <c r="E8" s="116">
        <f>SUMIF('数据-基础表'!BB10:BK10,"地上",'数据-基础表'!BB5:BK5)</f>
        <v>118125.52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60759</v>
      </c>
      <c r="E16" s="120">
        <f>SUM(E8:E15)</f>
        <v>118125.52</v>
      </c>
      <c r="F16" s="1981"/>
      <c r="G16" s="1983"/>
      <c r="H16" s="967" t="s">
        <v>219</v>
      </c>
      <c r="I16" s="968"/>
      <c r="J16" s="1981"/>
      <c r="K16" s="3321" t="s">
        <v>2569</v>
      </c>
      <c r="L16" s="3322"/>
      <c r="M16" s="3322"/>
      <c r="N16" s="3322"/>
      <c r="O16" s="3322"/>
      <c r="P16" s="3323"/>
    </row>
    <row r="17" spans="1:19" ht="15">
      <c r="A17" s="121" t="s">
        <v>216</v>
      </c>
      <c r="B17" s="122" t="s">
        <v>217</v>
      </c>
      <c r="C17" s="2295" t="s">
        <v>2315</v>
      </c>
      <c r="D17" s="108" t="s">
        <v>204</v>
      </c>
      <c r="E17" s="124" t="s">
        <v>205</v>
      </c>
      <c r="F17" s="125"/>
      <c r="G17" s="1364"/>
      <c r="H17" s="969" t="s">
        <v>218</v>
      </c>
      <c r="I17" s="970" t="s">
        <v>2314</v>
      </c>
      <c r="J17" s="1981"/>
      <c r="K17" s="3324" t="s">
        <v>2570</v>
      </c>
      <c r="L17" s="3325"/>
      <c r="M17" s="3326"/>
      <c r="N17" s="3324" t="s">
        <v>2571</v>
      </c>
      <c r="O17" s="3325"/>
      <c r="P17" s="3326"/>
      <c r="R17" s="2296" t="s">
        <v>2313</v>
      </c>
      <c r="S17" s="144"/>
    </row>
    <row r="18" spans="1:19" ht="15">
      <c r="A18" s="117"/>
      <c r="B18" s="128"/>
      <c r="C18" s="129"/>
      <c r="D18" s="2664"/>
      <c r="E18" s="130" t="s">
        <v>220</v>
      </c>
      <c r="F18" s="131" t="s">
        <v>221</v>
      </c>
      <c r="G18" s="1365" t="s">
        <v>222</v>
      </c>
      <c r="H18" s="971" t="s">
        <v>223</v>
      </c>
      <c r="I18" s="972" t="s">
        <v>224</v>
      </c>
      <c r="J18" s="1981"/>
      <c r="K18" s="2626" t="s">
        <v>2572</v>
      </c>
      <c r="L18" s="2627" t="s">
        <v>2573</v>
      </c>
      <c r="M18" s="2628" t="s">
        <v>2574</v>
      </c>
      <c r="N18" s="2626" t="s">
        <v>2572</v>
      </c>
      <c r="O18" s="2627" t="s">
        <v>2573</v>
      </c>
      <c r="P18" s="2628" t="s">
        <v>2574</v>
      </c>
      <c r="R18" s="2297" t="s">
        <v>2311</v>
      </c>
      <c r="S18" s="2297" t="s">
        <v>2312</v>
      </c>
    </row>
    <row r="19" spans="1:19">
      <c r="A19" s="133"/>
      <c r="B19" s="115" t="s">
        <v>225</v>
      </c>
      <c r="C19" s="3048" t="s">
        <v>3140</v>
      </c>
      <c r="D19" s="111">
        <f t="shared" ref="D19:D26" si="1">ROUND($D$3*E19/$E$3,2)</f>
        <v>57721.05</v>
      </c>
      <c r="E19" s="134">
        <f t="shared" ref="E19:E26" si="2">SUM(F19:G19)</f>
        <v>112219.23999999999</v>
      </c>
      <c r="F19" s="135">
        <f>'数据-基础表'!I13</f>
        <v>112219.23999999999</v>
      </c>
      <c r="G19" s="1366"/>
      <c r="H19" s="973">
        <f>ROUND($D$3*I19/$E$3,2)</f>
        <v>0</v>
      </c>
      <c r="I19" s="116">
        <f>IF($I$17="自定义",P19,M19)</f>
        <v>0</v>
      </c>
      <c r="J19" s="1981"/>
      <c r="K19" s="2629">
        <f t="shared" ref="K19:K26" si="3">ROUND(E$28*E19/E$27,2)</f>
        <v>0</v>
      </c>
      <c r="L19" s="274">
        <f t="shared" ref="L19:L26" si="4">ROUND(IF(COUNTIF(C19,"*住宅*")&gt;0,E$29*E19/E$32,0),2)</f>
        <v>0</v>
      </c>
      <c r="M19" s="2630">
        <f>K19+L19</f>
        <v>0</v>
      </c>
      <c r="N19" s="2631"/>
      <c r="O19" s="2632"/>
      <c r="P19" s="2633">
        <f>N19+O19</f>
        <v>0</v>
      </c>
      <c r="R19" s="274">
        <f t="shared" ref="R19:S26" si="5">D19+H19</f>
        <v>57721.05</v>
      </c>
      <c r="S19" s="2298">
        <f t="shared" si="5"/>
        <v>112219.23999999999</v>
      </c>
    </row>
    <row r="20" spans="1:19">
      <c r="A20" s="138"/>
      <c r="B20" s="115" t="s">
        <v>226</v>
      </c>
      <c r="C20" s="3048" t="s">
        <v>3135</v>
      </c>
      <c r="D20" s="111">
        <f t="shared" si="1"/>
        <v>3037.95</v>
      </c>
      <c r="E20" s="134">
        <f t="shared" si="2"/>
        <v>5906.2800000000125</v>
      </c>
      <c r="F20" s="135">
        <f>'数据-基础表'!K13</f>
        <v>5906.2800000000125</v>
      </c>
      <c r="G20" s="1366"/>
      <c r="H20" s="973">
        <f t="shared" ref="H20:H26" si="6">ROUND($D$3*I20/$E$3,2)</f>
        <v>0</v>
      </c>
      <c r="I20" s="116">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3037.95</v>
      </c>
      <c r="S20" s="2298">
        <f t="shared" si="5"/>
        <v>5906.2800000000125</v>
      </c>
    </row>
    <row r="21" spans="1:19" hidden="1">
      <c r="A21" s="138"/>
      <c r="B21" s="115" t="s">
        <v>226</v>
      </c>
      <c r="C21" s="3048" t="s">
        <v>3141</v>
      </c>
      <c r="D21" s="111">
        <f t="shared" si="1"/>
        <v>0</v>
      </c>
      <c r="E21" s="134">
        <f t="shared" si="2"/>
        <v>0</v>
      </c>
      <c r="F21" s="135"/>
      <c r="G21" s="1366"/>
      <c r="H21" s="973">
        <f t="shared" si="6"/>
        <v>0</v>
      </c>
      <c r="I21" s="116">
        <f t="shared" si="7"/>
        <v>0</v>
      </c>
      <c r="J21" s="1981"/>
      <c r="K21" s="2629">
        <f t="shared" si="3"/>
        <v>0</v>
      </c>
      <c r="L21" s="274">
        <f t="shared" si="4"/>
        <v>0</v>
      </c>
      <c r="M21" s="2630">
        <f t="shared" si="8"/>
        <v>0</v>
      </c>
      <c r="N21" s="2631"/>
      <c r="O21" s="2632"/>
      <c r="P21" s="2633">
        <f t="shared" si="9"/>
        <v>0</v>
      </c>
      <c r="R21" s="274">
        <f t="shared" si="5"/>
        <v>0</v>
      </c>
      <c r="S21" s="2298">
        <f t="shared" si="5"/>
        <v>0</v>
      </c>
    </row>
    <row r="22" spans="1:19" hidden="1">
      <c r="A22" s="138"/>
      <c r="B22" s="115" t="s">
        <v>226</v>
      </c>
      <c r="C22" s="3202" t="s">
        <v>3142</v>
      </c>
      <c r="D22" s="111">
        <f t="shared" si="1"/>
        <v>0</v>
      </c>
      <c r="E22" s="134">
        <f t="shared" si="2"/>
        <v>0</v>
      </c>
      <c r="F22" s="140"/>
      <c r="G22" s="1367"/>
      <c r="H22" s="973">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3202" t="s">
        <v>3143</v>
      </c>
      <c r="D23" s="111">
        <f>ROUND($D$3*E23/$E$3,2)</f>
        <v>0</v>
      </c>
      <c r="E23" s="134">
        <f>SUM(F23:G23)</f>
        <v>0</v>
      </c>
      <c r="F23" s="140"/>
      <c r="G23" s="1367"/>
      <c r="H23" s="973">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60759</v>
      </c>
      <c r="E27" s="143">
        <f>IF(SUM(E19:E26)='数据-基础表'!BA5,SUM(E19:E26),IF(F27="地上面积有误","面积有误","地下面积有误"))</f>
        <v>118125.52</v>
      </c>
      <c r="F27" s="134">
        <f>IF(SUM(F19:F26)=E8,SUM(F19:F26),"地上面积有误")</f>
        <v>118125.52</v>
      </c>
      <c r="G27" s="112">
        <f>SUM(G19:G26)</f>
        <v>0</v>
      </c>
      <c r="H27" s="974">
        <f>SUM(H19:H26)</f>
        <v>0</v>
      </c>
      <c r="I27" s="975">
        <f>SUM(I19:I26)</f>
        <v>0</v>
      </c>
      <c r="J27" s="1981"/>
      <c r="K27" s="2638">
        <f>SUM(K19:K26)</f>
        <v>0</v>
      </c>
      <c r="L27" s="2639">
        <f>SUM(L19:L26)</f>
        <v>0</v>
      </c>
      <c r="M27" s="2640">
        <f>SUM(M19:M26)</f>
        <v>0</v>
      </c>
      <c r="N27" s="2638">
        <f t="shared" ref="N27:O27" si="10">SUM(N19:N26)</f>
        <v>0</v>
      </c>
      <c r="O27" s="2639">
        <f t="shared" si="10"/>
        <v>0</v>
      </c>
      <c r="P27" s="2641">
        <f>SUM(P19:P26)</f>
        <v>0</v>
      </c>
      <c r="R27" s="2302">
        <f>IF(SUM(R19:R26)=$D$3,SUM(R19:R26),SUM(R19:R26)&amp;"误差"&amp;ROUND(SUM(R19:R26)-$D$3,2))</f>
        <v>60759</v>
      </c>
      <c r="S27" s="274">
        <f>IF(SUM(S19:S26)=$E$3,SUM(S19:S26),SUM(S19:S26)&amp;"误差"&amp;ROUND(SUM(S19:S26)-E3,2))</f>
        <v>118125.52</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2324</v>
      </c>
      <c r="D31" s="1370">
        <f>D27+D30</f>
        <v>60759</v>
      </c>
      <c r="E31" s="1370">
        <f>E27+E30</f>
        <v>118125.52</v>
      </c>
      <c r="F31" s="1371">
        <f>F27+F30</f>
        <v>118125.52</v>
      </c>
      <c r="G31" s="1372">
        <f>G27+G30</f>
        <v>0</v>
      </c>
      <c r="H31" s="1981"/>
      <c r="I31" s="1981"/>
      <c r="J31" s="1981"/>
      <c r="K31" s="1981"/>
      <c r="L31" s="1981"/>
    </row>
    <row r="32" spans="1:19">
      <c r="A32" s="1981"/>
      <c r="B32" s="2360" t="s">
        <v>2323</v>
      </c>
      <c r="C32" s="2669"/>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2" t="s">
        <v>2575</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2325</v>
      </c>
      <c r="AI5" s="171" t="s">
        <v>2294</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5">
      <c r="A6" s="2299" t="str">
        <f>'数据-汇总表'!C19</f>
        <v>洋房</v>
      </c>
      <c r="B6" s="2334" t="str">
        <f>IF(A6=0,"","经营性")</f>
        <v>经营性</v>
      </c>
      <c r="C6" s="173" t="s">
        <v>924</v>
      </c>
      <c r="D6" s="2305">
        <f>SUMIF(项目基本情况!D$15:I$15,C6,项目基本情况!D$18:I$18)</f>
        <v>70</v>
      </c>
      <c r="E6" s="2306">
        <f>IF(B6="","",SUMIF(项目基本情况!D$15:I$15,C6,项目基本情况!D$17:I$17))</f>
        <v>67350</v>
      </c>
      <c r="F6" s="174">
        <f>SUMIF(项目基本情况!D$15:I$15,C6,项目基本情况!D$19:I$19)</f>
        <v>66.42</v>
      </c>
      <c r="G6" s="175">
        <f>IF(ISERROR(ROUND(POWER(1+H6,D6-F6)*(POWER(1+H6,F6)-1)/(POWER(1+H6,D6)-1),3)),0,ROUND(POWER(1+H6,D6-F6)*(POWER(1+H6,F6)-1)/(POWER(1+H6,D6)-1),3))</f>
        <v>0.99199999999999999</v>
      </c>
      <c r="H6" s="3049">
        <v>4.4999999999999998E-2</v>
      </c>
      <c r="I6" s="3049">
        <v>0.05</v>
      </c>
      <c r="J6" s="3216">
        <v>8.5000000000000006E-2</v>
      </c>
      <c r="K6" s="179">
        <f>SUMIF('数据-汇总表'!C$19:C$33,'数据-取费表'!A6,'数据-汇总表'!E$19:E$33)</f>
        <v>112219.23999999999</v>
      </c>
      <c r="L6" s="3050">
        <v>1800</v>
      </c>
      <c r="M6" s="177">
        <f t="shared" ref="M6:M14" si="0">ROUND(K6*L6/10000,0)</f>
        <v>20199</v>
      </c>
      <c r="N6" s="3051">
        <v>0</v>
      </c>
      <c r="O6" s="177">
        <f>IF($N$5="成新度","——",ROUND(M6*N6,0))</f>
        <v>0</v>
      </c>
      <c r="P6" s="178">
        <f>IF($N$5="成新度","——",M6-O6)</f>
        <v>20199</v>
      </c>
      <c r="Q6" s="3052">
        <v>0.2</v>
      </c>
      <c r="R6" s="179">
        <f>SUMIF('数据-汇总表'!C$19:C$33,A6,'数据-汇总表'!R$19:R$33)</f>
        <v>57721.05</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3217">
        <v>1</v>
      </c>
      <c r="Z6" s="183"/>
      <c r="AA6" s="176"/>
      <c r="AB6" s="176"/>
      <c r="AC6" s="2321"/>
      <c r="AD6" s="184"/>
      <c r="AE6" s="971">
        <f ca="1">IF(AN6="",0,SUMIF(INDIRECT("'"&amp;AN6&amp;"'"&amp;"!E:E"),$AE$5,INDIRECT("'"&amp;AN6&amp;"'"&amp;"!F:F")))</f>
        <v>0</v>
      </c>
      <c r="AF6" s="141"/>
      <c r="AG6" s="1212">
        <f>IF(AF6="",0,AE6-AF6)</f>
        <v>0</v>
      </c>
      <c r="AH6" s="141"/>
      <c r="AI6" s="187"/>
      <c r="AJ6" s="188"/>
      <c r="AK6" s="189"/>
      <c r="AL6" s="190"/>
      <c r="AM6" s="3063"/>
      <c r="AN6" s="2413"/>
      <c r="AO6" s="1997"/>
      <c r="AP6" s="1203">
        <f>ROUND(1-1/(1+H6)^F6,3)</f>
        <v>0.94599999999999995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5">
      <c r="A7" s="2299" t="str">
        <f>'数据-汇总表'!C20</f>
        <v>商业</v>
      </c>
      <c r="B7" s="2334" t="str">
        <f t="shared" ref="B7:B13" si="1">IF(A7=0,"","经营性")</f>
        <v>经营性</v>
      </c>
      <c r="C7" s="173" t="s">
        <v>3119</v>
      </c>
      <c r="D7" s="2305">
        <f>SUMIF(项目基本情况!D$15:I$15,C7,项目基本情况!D$18:I$18)</f>
        <v>40</v>
      </c>
      <c r="E7" s="2306">
        <f>IF(B7="","",SUMIF(项目基本情况!D$15:I$15,C7,项目基本情况!D$17:I$17))</f>
        <v>56392</v>
      </c>
      <c r="F7" s="174">
        <f>SUMIF(项目基本情况!D$15:I$15,C7,项目基本情况!D$19:I$19)</f>
        <v>36.4</v>
      </c>
      <c r="G7" s="175">
        <f t="shared" ref="G7:G11" si="2">IF(ISERROR(ROUND(POWER(1+H7,D7-F7)*(POWER(1+H7,F7)-1)/(POWER(1+H7,D7)-1),3)),0,ROUND(POWER(1+H7,D7-F7)*(POWER(1+H7,F7)-1)/(POWER(1+H7,D7)-1),3))</f>
        <v>0.96799999999999997</v>
      </c>
      <c r="H7" s="3049">
        <v>0.05</v>
      </c>
      <c r="I7" s="3049">
        <v>5.5E-2</v>
      </c>
      <c r="J7" s="3216">
        <v>8.5000000000000006E-2</v>
      </c>
      <c r="K7" s="179">
        <f>SUMIF('数据-汇总表'!C$19:C$33,'数据-取费表'!A7,'数据-汇总表'!E$19:E$33)</f>
        <v>5906.2800000000125</v>
      </c>
      <c r="L7" s="3050">
        <v>2000</v>
      </c>
      <c r="M7" s="177">
        <f t="shared" si="0"/>
        <v>1181</v>
      </c>
      <c r="N7" s="3051">
        <v>0</v>
      </c>
      <c r="O7" s="177">
        <f t="shared" ref="O7:O14" si="3">IF($N$5="成新度","——",ROUND(M7*N7,0))</f>
        <v>0</v>
      </c>
      <c r="P7" s="178">
        <f t="shared" ref="P7:P14" si="4">IF($N$5="成新度","——",M7-O7)</f>
        <v>1181</v>
      </c>
      <c r="Q7" s="3052">
        <v>0.2</v>
      </c>
      <c r="R7" s="179">
        <f>SUMIF('数据-汇总表'!C$19:C$33,A7,'数据-汇总表'!R$19:R$33)</f>
        <v>3037.95</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60</v>
      </c>
      <c r="V7" s="181">
        <v>0.03</v>
      </c>
      <c r="W7" s="181">
        <v>0.25</v>
      </c>
      <c r="X7" s="2318"/>
      <c r="Y7" s="3217">
        <v>1</v>
      </c>
      <c r="Z7" s="183"/>
      <c r="AA7" s="176"/>
      <c r="AB7" s="176"/>
      <c r="AC7" s="2321"/>
      <c r="AD7" s="184"/>
      <c r="AE7" s="971">
        <f t="shared" ref="AE7:AE13" ca="1" si="6">IF(AN7="",0,SUMIF(INDIRECT("'"&amp;AN7&amp;"'"&amp;"!E:E"),$AE$5,INDIRECT("'"&amp;AN7&amp;"'"&amp;"!F:F")))</f>
        <v>34.4</v>
      </c>
      <c r="AF7" s="141"/>
      <c r="AG7" s="1212">
        <f t="shared" ref="AG7:AG13" si="7">IF(AF7="",0,AE7-AF7)</f>
        <v>0</v>
      </c>
      <c r="AH7" s="141"/>
      <c r="AI7" s="187">
        <v>12</v>
      </c>
      <c r="AJ7" s="188"/>
      <c r="AK7" s="189">
        <v>1.4999999999999999E-2</v>
      </c>
      <c r="AL7" s="190">
        <v>1.5E-3</v>
      </c>
      <c r="AM7" s="2411">
        <v>0.01</v>
      </c>
      <c r="AN7" s="2413" t="s">
        <v>3144</v>
      </c>
      <c r="AO7" s="1997"/>
      <c r="AP7" s="1203">
        <f t="shared" ref="AP7:AP13" si="8">ROUND(1-1/(1+H7)^F7,3)</f>
        <v>0.83099999999999996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t="str">
        <f>'数据-汇总表'!C21</f>
        <v>小高层</v>
      </c>
      <c r="B8" s="2334" t="str">
        <f t="shared" si="1"/>
        <v>经营性</v>
      </c>
      <c r="C8" s="173" t="s">
        <v>924</v>
      </c>
      <c r="D8" s="2305">
        <f>SUMIF(项目基本情况!D$15:I$15,C8,项目基本情况!D$18:I$18)</f>
        <v>70</v>
      </c>
      <c r="E8" s="2306">
        <f>IF(B8="","",SUMIF(项目基本情况!D$15:I$15,C8,项目基本情况!D$17:I$17))</f>
        <v>67350</v>
      </c>
      <c r="F8" s="174">
        <f>SUMIF(项目基本情况!D$15:I$15,C8,项目基本情况!D$19:I$19)</f>
        <v>66.42</v>
      </c>
      <c r="G8" s="175">
        <f t="shared" si="2"/>
        <v>0.99199999999999999</v>
      </c>
      <c r="H8" s="3049">
        <v>4.4999999999999998E-2</v>
      </c>
      <c r="I8" s="3049">
        <v>0.05</v>
      </c>
      <c r="J8" s="176">
        <v>0.08</v>
      </c>
      <c r="K8" s="179">
        <f>SUMIF('数据-汇总表'!C$19:C$33,'数据-取费表'!A8,'数据-汇总表'!E$19:E$33)</f>
        <v>0</v>
      </c>
      <c r="L8" s="3050">
        <v>1800</v>
      </c>
      <c r="M8" s="177">
        <f>ROUND(K8*L8/10000,0)</f>
        <v>0</v>
      </c>
      <c r="N8" s="3051">
        <v>0</v>
      </c>
      <c r="O8" s="177">
        <f t="shared" si="3"/>
        <v>0</v>
      </c>
      <c r="P8" s="178">
        <f t="shared" si="4"/>
        <v>0</v>
      </c>
      <c r="Q8" s="3052">
        <v>0.15</v>
      </c>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411"/>
      <c r="AN8" s="2413"/>
      <c r="AO8" s="1997"/>
      <c r="AP8" s="1203">
        <f t="shared" si="8"/>
        <v>0.94599999999999995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t="str">
        <f>'数据-汇总表'!C22</f>
        <v>联排</v>
      </c>
      <c r="B9" s="2334" t="str">
        <f t="shared" si="1"/>
        <v>经营性</v>
      </c>
      <c r="C9" s="173" t="s">
        <v>924</v>
      </c>
      <c r="D9" s="2305">
        <f>SUMIF(项目基本情况!D$15:I$15,C9,项目基本情况!D$18:I$18)</f>
        <v>70</v>
      </c>
      <c r="E9" s="2306">
        <f>IF(B9="","",SUMIF(项目基本情况!D$15:I$15,C9,项目基本情况!D$17:I$17))</f>
        <v>67350</v>
      </c>
      <c r="F9" s="174">
        <f>SUMIF(项目基本情况!D$15:I$15,C9,项目基本情况!D$19:I$19)</f>
        <v>66.42</v>
      </c>
      <c r="G9" s="175">
        <f t="shared" si="2"/>
        <v>0.99199999999999999</v>
      </c>
      <c r="H9" s="3049">
        <v>4.4999999999999998E-2</v>
      </c>
      <c r="I9" s="3049">
        <v>0.05</v>
      </c>
      <c r="J9" s="176">
        <v>0.08</v>
      </c>
      <c r="K9" s="179">
        <f>SUMIF('数据-汇总表'!C$19:C$33,'数据-取费表'!A9,'数据-汇总表'!E$19:E$33)</f>
        <v>0</v>
      </c>
      <c r="L9" s="193">
        <v>1800</v>
      </c>
      <c r="M9" s="177">
        <f t="shared" si="0"/>
        <v>0</v>
      </c>
      <c r="N9" s="3051">
        <v>0</v>
      </c>
      <c r="O9" s="177">
        <f t="shared" si="3"/>
        <v>0</v>
      </c>
      <c r="P9" s="178">
        <f t="shared" si="4"/>
        <v>0</v>
      </c>
      <c r="Q9" s="192">
        <v>0.2</v>
      </c>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411"/>
      <c r="AN9" s="2413"/>
      <c r="AO9" s="1997"/>
      <c r="AP9" s="1203">
        <f t="shared" si="8"/>
        <v>0.94599999999999995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t="str">
        <f>'数据-汇总表'!C23</f>
        <v>独栋</v>
      </c>
      <c r="B10" s="2334" t="str">
        <f t="shared" si="1"/>
        <v>经营性</v>
      </c>
      <c r="C10" s="173" t="s">
        <v>924</v>
      </c>
      <c r="D10" s="2305">
        <f>SUMIF(项目基本情况!D$15:I$15,C10,项目基本情况!D$18:I$18)</f>
        <v>70</v>
      </c>
      <c r="E10" s="2306">
        <f>IF(B10="","",SUMIF(项目基本情况!D$15:I$15,C10,项目基本情况!D$17:I$17))</f>
        <v>67350</v>
      </c>
      <c r="F10" s="174">
        <f>SUMIF(项目基本情况!D$15:I$15,C10,项目基本情况!D$19:I$19)</f>
        <v>66.42</v>
      </c>
      <c r="G10" s="175">
        <f t="shared" si="2"/>
        <v>0.99199999999999999</v>
      </c>
      <c r="H10" s="3049">
        <v>4.4999999999999998E-2</v>
      </c>
      <c r="I10" s="3049">
        <v>0.05</v>
      </c>
      <c r="J10" s="176">
        <v>0.08</v>
      </c>
      <c r="K10" s="179">
        <f>SUMIF('数据-汇总表'!C$19:C$33,'数据-取费表'!A10,'数据-汇总表'!E$19:E$33)</f>
        <v>0</v>
      </c>
      <c r="L10" s="193">
        <v>1800</v>
      </c>
      <c r="M10" s="177">
        <f t="shared" si="0"/>
        <v>0</v>
      </c>
      <c r="N10" s="3051">
        <v>0</v>
      </c>
      <c r="O10" s="177">
        <f t="shared" si="3"/>
        <v>0</v>
      </c>
      <c r="P10" s="178">
        <f t="shared" si="4"/>
        <v>0</v>
      </c>
      <c r="Q10" s="192">
        <v>0.2</v>
      </c>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411"/>
      <c r="AN10" s="2413"/>
      <c r="AO10" s="1997"/>
      <c r="AP10" s="1203">
        <f t="shared" si="8"/>
        <v>0.94599999999999995</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5"/>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5"/>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2316</v>
      </c>
      <c r="B14" s="2303" t="s">
        <v>1681</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2318</v>
      </c>
      <c r="B15" s="2303" t="s">
        <v>1681</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0.99099999999999999</v>
      </c>
      <c r="H16" s="203">
        <f>ROUND(SUMPRODUCT(H6:H13,K6:K13)/SUMPRODUCT((H6:H13&gt;0)*(K6:K13)),3)</f>
        <v>4.4999999999999998E-2</v>
      </c>
      <c r="I16" s="204"/>
      <c r="J16" s="204"/>
      <c r="K16" s="205">
        <f>SUM(K6:K15)</f>
        <v>118125.52</v>
      </c>
      <c r="L16" s="206">
        <f>ROUND(M16*10000/SUM(K6:K14),0)</f>
        <v>1810</v>
      </c>
      <c r="M16" s="206">
        <f>SUM(M6:M14)</f>
        <v>21380</v>
      </c>
      <c r="N16" s="207">
        <f>ROUND(SUMPRODUCT(M6:M14,N6:N14)/M16,3)</f>
        <v>0</v>
      </c>
      <c r="O16" s="206">
        <f>SUM(O6:O14)</f>
        <v>0</v>
      </c>
      <c r="P16" s="206">
        <f>SUM(P6:P14)</f>
        <v>21380</v>
      </c>
      <c r="Q16" s="208">
        <f>ROUND(SUMPRODUCT(Q6:Q13,K6:K13)/SUMPRODUCT((Q6:Q13&gt;0)*(K6:K13)),2)</f>
        <v>0.2</v>
      </c>
      <c r="R16" s="2308">
        <f>SUM(R6:R13)</f>
        <v>60759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2339</v>
      </c>
      <c r="B27" s="227">
        <v>45</v>
      </c>
      <c r="C27" s="3098" t="s">
        <v>3145</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2340</v>
      </c>
      <c r="B28" s="229">
        <v>45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1376">
        <v>150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0.04</v>
      </c>
      <c r="C33" s="2362" t="s">
        <v>2895</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2896</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2897</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2898</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0.01</v>
      </c>
      <c r="C37" s="2362" t="s">
        <v>2899</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2899</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2458</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2459</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12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2900</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2901</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2902</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8" t="s">
        <v>2903</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9" t="s">
        <v>2904</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9" t="s">
        <v>2905</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5">
      <c r="A52" s="247" t="s">
        <v>293</v>
      </c>
      <c r="B52" s="3218">
        <f>SUMIF(A54:A63,B53,B54:B63)</f>
        <v>10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1098</v>
      </c>
      <c r="C53" s="3100" t="s">
        <v>3231</v>
      </c>
      <c r="D53" s="3101"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3" t="s">
        <v>2907</v>
      </c>
      <c r="B54" s="186">
        <v>10</v>
      </c>
      <c r="C54" s="1991">
        <v>30</v>
      </c>
      <c r="D54" s="3102"/>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3" t="s">
        <v>2908</v>
      </c>
      <c r="B55" s="186"/>
      <c r="C55" s="1991">
        <v>24</v>
      </c>
      <c r="D55" s="3102"/>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3" t="s">
        <v>2909</v>
      </c>
      <c r="B56" s="186"/>
      <c r="C56" s="1991">
        <v>18</v>
      </c>
      <c r="D56" s="3102"/>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3" t="s">
        <v>2910</v>
      </c>
      <c r="B57" s="186"/>
      <c r="C57" s="1991">
        <v>12</v>
      </c>
      <c r="D57" s="3102"/>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3" t="s">
        <v>2911</v>
      </c>
      <c r="B58" s="186"/>
      <c r="C58" s="1991">
        <v>3</v>
      </c>
      <c r="D58" s="3102"/>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3" t="s">
        <v>2912</v>
      </c>
      <c r="B59" s="186"/>
      <c r="C59" s="1991">
        <v>1.5</v>
      </c>
      <c r="D59" s="3102"/>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3"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3"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3"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4"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1" sqref="B21"/>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6" t="s">
        <v>1665</v>
      </c>
      <c r="B1" s="3337"/>
      <c r="C1" s="3337"/>
      <c r="D1" s="3337"/>
      <c r="E1" s="3337"/>
      <c r="F1" s="3337"/>
      <c r="G1" s="3337"/>
      <c r="H1" s="1999"/>
      <c r="I1" s="2000"/>
      <c r="J1" s="2001"/>
      <c r="K1" s="1999"/>
      <c r="L1" s="2000"/>
      <c r="M1" s="2001"/>
      <c r="N1" s="1999"/>
      <c r="O1" s="2000"/>
      <c r="P1" s="2001"/>
      <c r="Q1" s="2002"/>
      <c r="R1" s="2003"/>
    </row>
    <row r="2" spans="1:18" ht="14.25" thickBot="1">
      <c r="A2" s="1220"/>
      <c r="B2" s="1221"/>
      <c r="C2" s="1222" t="s">
        <v>1666</v>
      </c>
      <c r="D2" s="1223"/>
      <c r="E2" s="1224"/>
      <c r="F2" s="1225"/>
      <c r="G2" s="1222" t="s">
        <v>1667</v>
      </c>
      <c r="H2" s="2005"/>
      <c r="I2" s="2005"/>
      <c r="J2" s="2005"/>
      <c r="K2" s="2005"/>
      <c r="L2" s="2005"/>
      <c r="M2" s="2005"/>
      <c r="N2" s="2005"/>
      <c r="O2" s="2005"/>
      <c r="P2" s="2005"/>
      <c r="Q2" s="2005"/>
      <c r="R2" s="2005"/>
    </row>
    <row r="3" spans="1:18" ht="54">
      <c r="A3" s="1226" t="s">
        <v>1668</v>
      </c>
      <c r="B3" s="1227" t="s">
        <v>1655</v>
      </c>
      <c r="C3" s="3105" t="s">
        <v>2923</v>
      </c>
      <c r="D3" s="2006"/>
      <c r="E3" s="1228" t="s">
        <v>1668</v>
      </c>
      <c r="F3" s="1229" t="s">
        <v>1656</v>
      </c>
      <c r="G3" s="3109" t="s">
        <v>2922</v>
      </c>
      <c r="H3" s="2005"/>
      <c r="I3" s="2005"/>
      <c r="J3" s="2005"/>
      <c r="K3" s="2005"/>
      <c r="L3" s="2005"/>
      <c r="M3" s="2005"/>
      <c r="N3" s="2005"/>
      <c r="O3" s="2005"/>
      <c r="P3" s="2005"/>
      <c r="Q3" s="2005"/>
      <c r="R3" s="2005"/>
    </row>
    <row r="4" spans="1:18" ht="41.25">
      <c r="A4" s="1228"/>
      <c r="B4" s="1230" t="s">
        <v>1669</v>
      </c>
      <c r="C4" s="3106" t="s">
        <v>2924</v>
      </c>
      <c r="D4" s="2006"/>
      <c r="E4" s="1231"/>
      <c r="F4" s="1232" t="s">
        <v>1670</v>
      </c>
      <c r="G4" s="3107" t="s">
        <v>2919</v>
      </c>
      <c r="H4" s="2005"/>
      <c r="I4" s="2005"/>
      <c r="J4" s="2005"/>
      <c r="K4" s="2005"/>
      <c r="L4" s="2005"/>
      <c r="M4" s="2005"/>
      <c r="N4" s="2005"/>
      <c r="O4" s="2005"/>
      <c r="P4" s="2005"/>
      <c r="Q4" s="2005"/>
      <c r="R4" s="2005"/>
    </row>
    <row r="5" spans="1:18" ht="41.25">
      <c r="A5" s="1228"/>
      <c r="B5" s="1230" t="s">
        <v>1671</v>
      </c>
      <c r="C5" s="3106" t="s">
        <v>2925</v>
      </c>
      <c r="D5" s="2006"/>
      <c r="E5" s="1231"/>
      <c r="F5" s="1230" t="s">
        <v>2549</v>
      </c>
      <c r="G5" s="3107" t="s">
        <v>2920</v>
      </c>
      <c r="H5" s="2005"/>
      <c r="I5" s="2005"/>
      <c r="J5" s="2005"/>
      <c r="K5" s="2005"/>
      <c r="L5" s="2005"/>
      <c r="M5" s="2005"/>
      <c r="N5" s="2005"/>
      <c r="O5" s="2005"/>
      <c r="P5" s="2005"/>
      <c r="Q5" s="2005"/>
      <c r="R5" s="2005"/>
    </row>
    <row r="6" spans="1:18" ht="54">
      <c r="A6" s="1228"/>
      <c r="B6" s="1230" t="s">
        <v>1657</v>
      </c>
      <c r="C6" s="3107" t="s">
        <v>2919</v>
      </c>
      <c r="D6" s="2006"/>
      <c r="E6" s="1231"/>
      <c r="F6" s="1230" t="s">
        <v>2550</v>
      </c>
      <c r="G6" s="3107" t="s">
        <v>2917</v>
      </c>
      <c r="H6" s="2005"/>
      <c r="I6" s="2005"/>
      <c r="J6" s="2005"/>
      <c r="K6" s="2005"/>
      <c r="L6" s="2005"/>
      <c r="M6" s="2005"/>
      <c r="N6" s="2005"/>
      <c r="O6" s="2005"/>
      <c r="P6" s="2005"/>
      <c r="Q6" s="2005"/>
      <c r="R6" s="2005"/>
    </row>
    <row r="7" spans="1:18" ht="41.25" thickBot="1">
      <c r="A7" s="1228"/>
      <c r="B7" s="1230" t="s">
        <v>2549</v>
      </c>
      <c r="C7" s="3107" t="s">
        <v>2920</v>
      </c>
      <c r="D7" s="2007"/>
      <c r="E7" s="1233"/>
      <c r="F7" s="1234" t="s">
        <v>1672</v>
      </c>
      <c r="G7" s="3110" t="s">
        <v>2921</v>
      </c>
      <c r="H7" s="2005"/>
      <c r="I7" s="2005"/>
      <c r="J7" s="2005"/>
      <c r="K7" s="2005"/>
      <c r="L7" s="2005"/>
      <c r="M7" s="2005"/>
      <c r="N7" s="2005"/>
      <c r="O7" s="2005"/>
      <c r="P7" s="2005"/>
      <c r="Q7" s="2005"/>
      <c r="R7" s="2005"/>
    </row>
    <row r="8" spans="1:18" ht="27">
      <c r="A8" s="1228"/>
      <c r="B8" s="1230" t="s">
        <v>2550</v>
      </c>
      <c r="C8" s="3107" t="s">
        <v>2917</v>
      </c>
      <c r="D8" s="2007"/>
      <c r="E8" s="2007"/>
      <c r="F8" s="1552"/>
      <c r="G8" s="1552"/>
      <c r="H8" s="2005"/>
      <c r="I8" s="2005"/>
      <c r="J8" s="2005"/>
      <c r="K8" s="2005"/>
      <c r="L8" s="2005"/>
      <c r="M8" s="2005"/>
      <c r="N8" s="2005"/>
      <c r="O8" s="2005"/>
      <c r="P8" s="2005"/>
      <c r="Q8" s="2005"/>
      <c r="R8" s="2005"/>
    </row>
    <row r="9" spans="1:18" ht="40.5">
      <c r="A9" s="1228"/>
      <c r="B9" s="1230" t="s">
        <v>1658</v>
      </c>
      <c r="C9" s="3106" t="s">
        <v>2918</v>
      </c>
      <c r="D9" s="2006"/>
      <c r="E9" s="2007"/>
      <c r="F9" s="1552"/>
      <c r="G9" s="1552"/>
      <c r="H9" s="2005"/>
      <c r="I9" s="2005"/>
      <c r="J9" s="2005"/>
      <c r="K9" s="2005"/>
      <c r="L9" s="2005"/>
      <c r="M9" s="2005"/>
      <c r="N9" s="2005"/>
      <c r="O9" s="2005"/>
      <c r="P9" s="2005"/>
      <c r="Q9" s="2005"/>
      <c r="R9" s="2005"/>
    </row>
    <row r="10" spans="1:18" s="2013" customFormat="1" ht="15" thickBot="1">
      <c r="A10" s="1235"/>
      <c r="B10" s="1236" t="s">
        <v>1673</v>
      </c>
      <c r="C10" s="3108"/>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3"/>
      <c r="E13" s="2599"/>
      <c r="F13" s="2599"/>
      <c r="G13" s="2599"/>
    </row>
    <row r="14" spans="1:18" ht="14.25" thickBot="1">
      <c r="A14" s="1237"/>
      <c r="B14" s="1238"/>
      <c r="C14" s="1239" t="s">
        <v>1666</v>
      </c>
      <c r="D14" s="2006"/>
      <c r="E14" s="1240"/>
      <c r="F14" s="1240"/>
      <c r="G14" s="1222" t="s">
        <v>1667</v>
      </c>
    </row>
    <row r="15" spans="1:18" ht="54">
      <c r="A15" s="2609" t="s">
        <v>1659</v>
      </c>
      <c r="B15" s="1241" t="s">
        <v>1655</v>
      </c>
      <c r="C15" s="1242" t="str">
        <f>C3</f>
        <v>估价对象周边居住用地比例、居住小区规模和社区发展完善程度，综合评价居住社区成熟度一般</v>
      </c>
      <c r="D15" s="2006"/>
      <c r="E15" s="2606" t="s">
        <v>1660</v>
      </c>
      <c r="F15" s="1241" t="s">
        <v>1675</v>
      </c>
      <c r="G15" s="1243" t="str">
        <f>G3</f>
        <v>估价对象位于XX开发区，园区建设成熟度XX，产业集聚程度XX</v>
      </c>
    </row>
    <row r="16" spans="1:18" ht="40.5">
      <c r="A16" s="2610"/>
      <c r="B16" s="1244" t="s">
        <v>1669</v>
      </c>
      <c r="C16" s="1245" t="str">
        <f>C4</f>
        <v>估价对象位于XX商圈，周边商业氛围成熟，人流量大，商业繁华度好</v>
      </c>
      <c r="D16" s="2006"/>
      <c r="E16" s="2607"/>
      <c r="F16" s="1246" t="s">
        <v>1670</v>
      </c>
      <c r="G16" s="1004" t="str">
        <f>G4</f>
        <v>估价对象周边道路状况、公共交通通达情况、停车便捷程度，综合评价交通便捷度较好</v>
      </c>
    </row>
    <row r="17" spans="1:7" ht="40.5">
      <c r="A17" s="2610"/>
      <c r="B17" s="1244" t="s">
        <v>1671</v>
      </c>
      <c r="C17" s="1245" t="str">
        <f>C5</f>
        <v>估价对象位于XX商圈，周边办公楼项目较多，入驻率高，办公集聚程度较好</v>
      </c>
      <c r="D17" s="2007"/>
      <c r="E17" s="2607"/>
      <c r="F17" s="1246" t="s">
        <v>1676</v>
      </c>
      <c r="G17" s="2817"/>
    </row>
    <row r="18" spans="1:7" ht="54">
      <c r="A18" s="2610"/>
      <c r="B18" s="1246" t="s">
        <v>1657</v>
      </c>
      <c r="C18" s="1004" t="str">
        <f>C6</f>
        <v>估价对象周边道路状况、公共交通通达情况、停车便捷程度，综合评价交通便捷度较好</v>
      </c>
      <c r="D18" s="2007"/>
      <c r="E18" s="2607"/>
      <c r="F18" s="1246" t="s">
        <v>1672</v>
      </c>
      <c r="G18" s="1004" t="str">
        <f>G7</f>
        <v>该园区内是否有污染型企业，绿化情况，卫生条件，整体环境状况判断</v>
      </c>
    </row>
    <row r="19" spans="1:7" ht="27">
      <c r="A19" s="2610"/>
      <c r="B19" s="1246" t="s">
        <v>1661</v>
      </c>
      <c r="C19" s="2817"/>
      <c r="D19" s="2006"/>
      <c r="E19" s="2607"/>
      <c r="F19" s="1230" t="s">
        <v>2549</v>
      </c>
      <c r="G19" s="1004" t="str">
        <f>G5</f>
        <v>估价对象所在区域公共配套设施齐备情况</v>
      </c>
    </row>
    <row r="20" spans="1:7" ht="40.5">
      <c r="A20" s="2610"/>
      <c r="B20" s="1246" t="s">
        <v>1662</v>
      </c>
      <c r="C20" s="1245" t="str">
        <f>C9</f>
        <v>区域自然环境：；人文环境；综合评价环境状况一般</v>
      </c>
      <c r="D20" s="2007"/>
      <c r="E20" s="2607"/>
      <c r="F20" s="1230" t="s">
        <v>2550</v>
      </c>
      <c r="G20" s="1004" t="str">
        <f>G6</f>
        <v>估价对象所在区域基础设施水平</v>
      </c>
    </row>
    <row r="21" spans="1:7" ht="27">
      <c r="A21" s="2610"/>
      <c r="B21" s="1230" t="s">
        <v>2549</v>
      </c>
      <c r="C21" s="1004" t="str">
        <f>C7</f>
        <v>估价对象所在区域公共配套设施齐备情况</v>
      </c>
      <c r="D21" s="2006"/>
      <c r="E21" s="2607"/>
      <c r="F21" s="1246" t="s">
        <v>1663</v>
      </c>
      <c r="G21" s="3111"/>
    </row>
    <row r="22" spans="1:7" ht="27">
      <c r="A22" s="2610"/>
      <c r="B22" s="1230" t="s">
        <v>2550</v>
      </c>
      <c r="C22" s="1004" t="str">
        <f>C8</f>
        <v>估价对象所在区域基础设施水平</v>
      </c>
      <c r="D22" s="2006"/>
      <c r="E22" s="2607"/>
      <c r="F22" s="1246" t="s">
        <v>1673</v>
      </c>
      <c r="G22" s="2817"/>
    </row>
    <row r="23" spans="1:7" ht="15" thickBot="1">
      <c r="A23" s="2610"/>
      <c r="B23" s="1246" t="s">
        <v>1663</v>
      </c>
      <c r="C23" s="3111"/>
      <c r="E23" s="2608"/>
      <c r="F23" s="1247" t="s">
        <v>1677</v>
      </c>
      <c r="G23" s="3112"/>
    </row>
    <row r="24" spans="1:7" ht="14.25" thickBot="1">
      <c r="A24" s="2611"/>
      <c r="B24" s="1247" t="s">
        <v>1664</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customWidth="1"/>
  </cols>
  <sheetData>
    <row r="1" spans="1:9" ht="16.5">
      <c r="A1" s="3069" t="s">
        <v>2849</v>
      </c>
      <c r="B1" s="3069">
        <f>SUM(B14:B23)</f>
        <v>1250503.1299999999</v>
      </c>
      <c r="C1" s="3070"/>
      <c r="D1" s="3070"/>
      <c r="E1" s="3070"/>
      <c r="F1" s="3070"/>
    </row>
    <row r="2" spans="1:9" ht="16.5">
      <c r="A2" s="3069" t="s">
        <v>2850</v>
      </c>
      <c r="B2" s="3069">
        <f>SUM(C14:C23)</f>
        <v>729273.45000000007</v>
      </c>
      <c r="C2" s="3070"/>
      <c r="D2" s="3070"/>
      <c r="E2" s="3070"/>
      <c r="F2" s="3070"/>
    </row>
    <row r="3" spans="1:9" ht="16.5">
      <c r="A3" s="3069" t="s">
        <v>2851</v>
      </c>
      <c r="B3" s="3071">
        <f>项目基本情况!D3</f>
        <v>43104</v>
      </c>
      <c r="C3" s="3070"/>
      <c r="D3" s="3070"/>
      <c r="E3" s="3070"/>
      <c r="F3" s="3070"/>
    </row>
    <row r="4" spans="1:9" ht="33">
      <c r="A4" s="3069" t="s">
        <v>2852</v>
      </c>
      <c r="B4" s="3069" t="s">
        <v>2853</v>
      </c>
      <c r="C4" s="3069" t="s">
        <v>2854</v>
      </c>
      <c r="D4" s="3069" t="s">
        <v>2855</v>
      </c>
      <c r="E4" s="3070"/>
      <c r="F4" s="3070"/>
    </row>
    <row r="5" spans="1:9" ht="16.5">
      <c r="A5" s="3069" t="s">
        <v>2856</v>
      </c>
      <c r="B5" s="3069">
        <f ca="1">SUM(D14:D23)</f>
        <v>183735</v>
      </c>
      <c r="C5" s="3069">
        <f ca="1">ROUND(B5*10000/$B$1,0)</f>
        <v>1469</v>
      </c>
      <c r="D5" s="3069">
        <f ca="1">ROUND(B5*10000/$B$2,0)</f>
        <v>2519</v>
      </c>
      <c r="E5" s="3070"/>
      <c r="F5" s="3070"/>
    </row>
    <row r="6" spans="1:9" ht="16.5">
      <c r="A6" s="3069" t="s">
        <v>2857</v>
      </c>
      <c r="B6" s="3069">
        <f ca="1">SUM(G14:G23)</f>
        <v>183735</v>
      </c>
      <c r="C6" s="3069">
        <f t="shared" ref="C6:C8" ca="1" si="0">ROUND(B6*10000/$B$1,0)</f>
        <v>1469</v>
      </c>
      <c r="D6" s="3069">
        <f t="shared" ref="D6:D8" ca="1" si="1">ROUND(B6*10000/$B$2,0)</f>
        <v>2519</v>
      </c>
      <c r="E6" s="3070"/>
      <c r="F6" s="3070"/>
    </row>
    <row r="7" spans="1:9" ht="16.5">
      <c r="A7" s="3069" t="s">
        <v>2858</v>
      </c>
      <c r="B7" s="3069">
        <f>SUM(H14:H23)</f>
        <v>0</v>
      </c>
      <c r="C7" s="3069">
        <f t="shared" si="0"/>
        <v>0</v>
      </c>
      <c r="D7" s="3069">
        <f t="shared" si="1"/>
        <v>0</v>
      </c>
      <c r="E7" s="3070"/>
      <c r="F7" s="3070"/>
    </row>
    <row r="8" spans="1:9" ht="16.5">
      <c r="A8" s="3069" t="s">
        <v>2859</v>
      </c>
      <c r="B8" s="3069">
        <f>SUM(I14:I23)</f>
        <v>0</v>
      </c>
      <c r="C8" s="3069">
        <f t="shared" si="0"/>
        <v>0</v>
      </c>
      <c r="D8" s="3069">
        <f t="shared" si="1"/>
        <v>0</v>
      </c>
      <c r="E8" s="3070"/>
      <c r="F8" s="3070"/>
    </row>
    <row r="9" spans="1:9" ht="16.5">
      <c r="A9" s="3069" t="s">
        <v>2860</v>
      </c>
      <c r="B9" s="3072"/>
      <c r="C9" s="3070"/>
      <c r="D9" s="3070"/>
      <c r="E9" s="3070"/>
      <c r="F9" s="3070"/>
    </row>
    <row r="10" spans="1:9" ht="16.5">
      <c r="A10" s="3069" t="s">
        <v>2861</v>
      </c>
      <c r="B10" s="3072"/>
      <c r="C10" s="3070"/>
      <c r="D10" s="3070"/>
      <c r="E10" s="3070"/>
      <c r="F10" s="3070"/>
    </row>
    <row r="11" spans="1:9" ht="16.5">
      <c r="A11" s="3069" t="s">
        <v>2878</v>
      </c>
      <c r="B11" s="3072"/>
      <c r="C11" s="3070"/>
      <c r="D11" s="3070"/>
      <c r="E11" s="3070"/>
      <c r="F11" s="3070"/>
    </row>
    <row r="12" spans="1:9" ht="16.5">
      <c r="A12" s="3070"/>
      <c r="B12" s="3070"/>
      <c r="C12" s="3070"/>
      <c r="D12" s="3070"/>
      <c r="E12" s="3070"/>
      <c r="F12" s="3070"/>
    </row>
    <row r="13" spans="1:9" ht="33">
      <c r="A13" s="3075" t="s">
        <v>2877</v>
      </c>
      <c r="B13" s="3073" t="s">
        <v>2849</v>
      </c>
      <c r="C13" s="3073" t="s">
        <v>2850</v>
      </c>
      <c r="D13" s="3073" t="s">
        <v>2862</v>
      </c>
      <c r="E13" s="3069" t="s">
        <v>2876</v>
      </c>
      <c r="F13" s="3069" t="s">
        <v>2855</v>
      </c>
      <c r="G13" s="3073" t="s">
        <v>2863</v>
      </c>
      <c r="H13" s="3073" t="s">
        <v>2864</v>
      </c>
      <c r="I13" s="3073" t="s">
        <v>2865</v>
      </c>
    </row>
    <row r="14" spans="1:9" ht="16.5">
      <c r="A14" s="3076" t="s">
        <v>2875</v>
      </c>
      <c r="B14" s="3073">
        <f>结果表!L38</f>
        <v>118125.52</v>
      </c>
      <c r="C14" s="3073">
        <f>结果表!K38</f>
        <v>60759</v>
      </c>
      <c r="D14" s="3073">
        <f ca="1">结果表!C42</f>
        <v>24354</v>
      </c>
      <c r="E14" s="3073">
        <f ca="1">ROUND(D14*10000/B14,0)</f>
        <v>2062</v>
      </c>
      <c r="F14" s="3073">
        <f ca="1">ROUND(D14*10000/C14,0)</f>
        <v>4008</v>
      </c>
      <c r="G14" s="3073">
        <f ca="1">结果表!C44</f>
        <v>24354</v>
      </c>
      <c r="H14" s="3073" t="str">
        <f>结果表!C45</f>
        <v>——</v>
      </c>
      <c r="I14" s="3073" t="str">
        <f>结果表!C46</f>
        <v>——</v>
      </c>
    </row>
    <row r="15" spans="1:9" ht="16.5">
      <c r="A15" s="3076" t="s">
        <v>2866</v>
      </c>
      <c r="B15" s="3077">
        <f>'[1]数据-基础表'!$B$3</f>
        <v>518030.1</v>
      </c>
      <c r="C15" s="3077">
        <f>'[1]数据-基础表'!$A$3</f>
        <v>172676.7</v>
      </c>
      <c r="D15" s="3077">
        <f>[1]结果表!$G$19</f>
        <v>70081</v>
      </c>
      <c r="E15" s="3073">
        <f t="shared" ref="E15:E23" si="2">ROUND(D15*10000/B15,0)</f>
        <v>1353</v>
      </c>
      <c r="F15" s="3073">
        <f t="shared" ref="F15:F23" si="3">ROUND(D15*10000/C15,0)</f>
        <v>4059</v>
      </c>
      <c r="G15" s="3074">
        <f>D15</f>
        <v>70081</v>
      </c>
      <c r="H15" s="3074"/>
      <c r="I15" s="3077"/>
    </row>
    <row r="16" spans="1:9" ht="16.5">
      <c r="A16" s="3076" t="s">
        <v>2867</v>
      </c>
      <c r="B16" s="3077">
        <f>'[2]数据-基础表'!$B$3</f>
        <v>21080.699999999997</v>
      </c>
      <c r="C16" s="3077">
        <f>'[2]数据-基础表'!$A$3</f>
        <v>7026.9</v>
      </c>
      <c r="D16" s="3077">
        <f>[2]结果表!$G$19</f>
        <v>3677</v>
      </c>
      <c r="E16" s="3073">
        <f t="shared" si="2"/>
        <v>1744</v>
      </c>
      <c r="F16" s="3073">
        <f t="shared" si="3"/>
        <v>5233</v>
      </c>
      <c r="G16" s="3074">
        <f>D16</f>
        <v>3677</v>
      </c>
      <c r="H16" s="3074"/>
      <c r="I16" s="3077"/>
    </row>
    <row r="17" spans="1:9" ht="16.5">
      <c r="A17" s="3076" t="s">
        <v>2868</v>
      </c>
      <c r="B17" s="3077">
        <f>'[3]数据-基础表'!$B$3</f>
        <v>115913.23000000001</v>
      </c>
      <c r="C17" s="3077">
        <f>'[3]数据-基础表'!$A$3</f>
        <v>80863.299999999988</v>
      </c>
      <c r="D17" s="3077">
        <f>[3]结果表!$G$19</f>
        <v>32228</v>
      </c>
      <c r="E17" s="3073">
        <f t="shared" si="2"/>
        <v>2780</v>
      </c>
      <c r="F17" s="3073">
        <f t="shared" si="3"/>
        <v>3985</v>
      </c>
      <c r="G17" s="3074">
        <f>D17</f>
        <v>32228</v>
      </c>
      <c r="H17" s="3074"/>
      <c r="I17" s="3077"/>
    </row>
    <row r="18" spans="1:9" ht="16.5">
      <c r="A18" s="3076" t="s">
        <v>2869</v>
      </c>
      <c r="B18" s="3077">
        <f>'[4]数据-基础表'!$B$3</f>
        <v>14932.5</v>
      </c>
      <c r="C18" s="3077">
        <f>'[4]数据-基础表'!$A$3</f>
        <v>9955</v>
      </c>
      <c r="D18" s="3077">
        <f>[4]结果表!$G$19</f>
        <v>3965</v>
      </c>
      <c r="E18" s="3073">
        <f t="shared" si="2"/>
        <v>2655</v>
      </c>
      <c r="F18" s="3073">
        <f t="shared" si="3"/>
        <v>3983</v>
      </c>
      <c r="G18" s="3077">
        <f>D18</f>
        <v>3965</v>
      </c>
      <c r="H18" s="3077"/>
      <c r="I18" s="3077"/>
    </row>
    <row r="19" spans="1:9" ht="16.5">
      <c r="A19" s="3076" t="s">
        <v>2870</v>
      </c>
      <c r="B19" s="3077">
        <f>'[5]数据-基础表'!$B$3</f>
        <v>204.15</v>
      </c>
      <c r="C19" s="3077">
        <f>'[5]数据-基础表'!$A$3</f>
        <v>4082.9</v>
      </c>
      <c r="D19" s="3077">
        <f>[5]结果表!$G$19</f>
        <v>521</v>
      </c>
      <c r="E19" s="3073">
        <f t="shared" si="2"/>
        <v>25520</v>
      </c>
      <c r="F19" s="3073">
        <f t="shared" si="3"/>
        <v>1276</v>
      </c>
      <c r="G19" s="3077">
        <f>D19</f>
        <v>521</v>
      </c>
      <c r="H19" s="3077"/>
      <c r="I19" s="3077"/>
    </row>
    <row r="20" spans="1:9" ht="16.5">
      <c r="A20" s="3076" t="s">
        <v>2871</v>
      </c>
      <c r="B20" s="3077">
        <f>'[6]数据-基础表'!$B$3</f>
        <v>61505</v>
      </c>
      <c r="C20" s="3077">
        <f>'[6]数据-基础表'!$A$3</f>
        <v>24602</v>
      </c>
      <c r="D20" s="3077">
        <f>[6]结果表!$G$19</f>
        <v>4661</v>
      </c>
      <c r="E20" s="3073">
        <f t="shared" si="2"/>
        <v>758</v>
      </c>
      <c r="F20" s="3073">
        <f t="shared" si="3"/>
        <v>1895</v>
      </c>
      <c r="G20" s="3077">
        <f>D20</f>
        <v>4661</v>
      </c>
      <c r="H20" s="3077"/>
      <c r="I20" s="3077"/>
    </row>
    <row r="21" spans="1:9" ht="16.5">
      <c r="A21" s="3076" t="s">
        <v>2872</v>
      </c>
      <c r="B21" s="3077">
        <f>'[7]数据-基础表'!$B$3</f>
        <v>238760.49</v>
      </c>
      <c r="C21" s="3077">
        <f>'[7]数据-基础表'!$A$3</f>
        <v>159173.65</v>
      </c>
      <c r="D21" s="3077">
        <f>[7]结果表!$G$19</f>
        <v>20283</v>
      </c>
      <c r="E21" s="3073">
        <f t="shared" si="2"/>
        <v>850</v>
      </c>
      <c r="F21" s="3073">
        <f t="shared" si="3"/>
        <v>1274</v>
      </c>
      <c r="G21" s="3077">
        <f>D21</f>
        <v>20283</v>
      </c>
      <c r="H21" s="3077"/>
      <c r="I21" s="3077"/>
    </row>
    <row r="22" spans="1:9" ht="16.5">
      <c r="A22" s="3076" t="s">
        <v>2873</v>
      </c>
      <c r="B22" s="3077">
        <f>'[8]数据-基础表'!$B$3</f>
        <v>161951.44</v>
      </c>
      <c r="C22" s="3077">
        <f>'[8]数据-基础表'!$A$3</f>
        <v>210134</v>
      </c>
      <c r="D22" s="3077">
        <f ca="1">[8]结果表!$G$19</f>
        <v>23965</v>
      </c>
      <c r="E22" s="3073">
        <f t="shared" ca="1" si="2"/>
        <v>1480</v>
      </c>
      <c r="F22" s="3073">
        <f t="shared" ca="1" si="3"/>
        <v>1140</v>
      </c>
      <c r="G22" s="3077">
        <f ca="1">D22</f>
        <v>23965</v>
      </c>
      <c r="H22" s="3077"/>
      <c r="I22" s="3077"/>
    </row>
    <row r="23" spans="1:9" ht="16.5">
      <c r="A23" s="3076" t="s">
        <v>2874</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SheetLayoutView="100" zoomScalePageLayoutView="80" workbookViewId="0">
      <selection activeCell="C34" sqref="C3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2057</v>
      </c>
      <c r="B1" s="1775"/>
      <c r="C1" s="1803" t="s">
        <v>2058</v>
      </c>
      <c r="D1" s="1804" t="s">
        <v>3214</v>
      </c>
      <c r="E1" s="1803" t="s">
        <v>2059</v>
      </c>
      <c r="F1" s="1805" t="s">
        <v>3180</v>
      </c>
      <c r="G1" s="310"/>
      <c r="H1" s="310"/>
      <c r="I1" s="310"/>
      <c r="J1" s="2026"/>
      <c r="K1" s="2026"/>
      <c r="L1" s="2026"/>
      <c r="M1" s="2026"/>
      <c r="N1" s="2026"/>
      <c r="O1" s="2026"/>
      <c r="P1" s="2026"/>
      <c r="Q1" s="2026"/>
      <c r="R1" s="2026"/>
      <c r="S1" s="2026"/>
      <c r="T1" s="2026"/>
      <c r="U1" s="2026"/>
      <c r="V1" s="2026"/>
    </row>
    <row r="2" spans="1:22" ht="21.75" customHeight="1" thickBot="1">
      <c r="A2" s="3383" t="str">
        <f>项目基本情况!K2</f>
        <v>四川省峨眉山市川主乡顺河村3宗住宅、商业出让国有建设用地使用权</v>
      </c>
      <c r="B2" s="3384"/>
      <c r="C2" s="3385"/>
      <c r="D2" s="3385"/>
      <c r="E2" s="3385"/>
      <c r="F2" s="3385"/>
      <c r="G2" s="3384"/>
      <c r="H2" s="3384"/>
      <c r="I2" s="3386"/>
      <c r="J2" s="2027"/>
      <c r="K2" s="2026"/>
      <c r="L2" s="2026"/>
      <c r="M2" s="2026"/>
      <c r="N2" s="2026"/>
      <c r="O2" s="2026"/>
      <c r="P2" s="2026"/>
      <c r="Q2" s="2026"/>
      <c r="R2" s="2026"/>
      <c r="S2" s="2026"/>
      <c r="T2" s="2026"/>
      <c r="U2" s="2026"/>
      <c r="V2" s="2026"/>
    </row>
    <row r="3" spans="1:22" ht="14.25">
      <c r="A3" s="3394" t="s">
        <v>298</v>
      </c>
      <c r="B3" s="3395"/>
      <c r="C3" s="3395"/>
      <c r="D3" s="3395"/>
      <c r="E3" s="3395"/>
      <c r="F3" s="3395"/>
      <c r="G3" s="3395"/>
      <c r="H3" s="3395"/>
      <c r="I3" s="3395"/>
      <c r="J3" s="2027"/>
      <c r="K3" s="2026"/>
      <c r="L3" s="2026"/>
      <c r="M3" s="2026"/>
      <c r="N3" s="2026"/>
      <c r="O3" s="2026"/>
      <c r="P3" s="2026"/>
      <c r="Q3" s="2026"/>
      <c r="R3" s="2026"/>
      <c r="S3" s="2026"/>
      <c r="T3" s="2026"/>
      <c r="U3" s="2026"/>
      <c r="V3" s="2026"/>
    </row>
    <row r="4" spans="1:22" ht="14.25">
      <c r="A4" s="257" t="s">
        <v>299</v>
      </c>
      <c r="B4" s="258" t="s">
        <v>300</v>
      </c>
      <c r="C4" s="259" t="s">
        <v>3181</v>
      </c>
      <c r="D4" s="259" t="s">
        <v>3213</v>
      </c>
      <c r="E4" s="3358" t="s">
        <v>301</v>
      </c>
      <c r="F4" s="3400"/>
      <c r="G4" s="3400"/>
      <c r="H4" s="3400"/>
      <c r="I4" s="3359"/>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87" t="s">
        <v>302</v>
      </c>
      <c r="B5" s="3388">
        <v>25</v>
      </c>
      <c r="C5" s="3396"/>
      <c r="D5" s="3399"/>
      <c r="E5" s="260" t="s">
        <v>303</v>
      </c>
      <c r="F5" s="261"/>
      <c r="G5" s="261"/>
      <c r="H5" s="261"/>
      <c r="I5" s="262"/>
      <c r="J5" s="2027"/>
      <c r="K5" s="2026"/>
      <c r="L5" s="2026"/>
      <c r="M5" s="2026"/>
      <c r="N5" s="2026"/>
      <c r="O5" s="2026"/>
      <c r="P5" s="2026"/>
      <c r="Q5" s="2026"/>
      <c r="R5" s="2026"/>
      <c r="S5" s="2026"/>
      <c r="T5" s="2026"/>
      <c r="U5" s="2026"/>
      <c r="V5" s="2026"/>
    </row>
    <row r="6" spans="1:22" ht="14.25">
      <c r="A6" s="3387"/>
      <c r="B6" s="3388"/>
      <c r="C6" s="3397"/>
      <c r="D6" s="3399"/>
      <c r="E6" s="260" t="s">
        <v>304</v>
      </c>
      <c r="F6" s="261"/>
      <c r="G6" s="261"/>
      <c r="H6" s="261"/>
      <c r="I6" s="262"/>
      <c r="J6" s="2027"/>
      <c r="K6" s="2026"/>
      <c r="L6" s="2026"/>
      <c r="M6" s="2026"/>
      <c r="N6" s="2026"/>
      <c r="O6" s="2026"/>
      <c r="P6" s="2026"/>
      <c r="Q6" s="2026"/>
      <c r="R6" s="2026"/>
      <c r="S6" s="2026"/>
      <c r="T6" s="2026"/>
      <c r="U6" s="2026"/>
      <c r="V6" s="2026"/>
    </row>
    <row r="7" spans="1:22" ht="14.25">
      <c r="A7" s="3387"/>
      <c r="B7" s="3388"/>
      <c r="C7" s="3398"/>
      <c r="D7" s="3399"/>
      <c r="E7" s="260" t="s">
        <v>305</v>
      </c>
      <c r="F7" s="261"/>
      <c r="G7" s="261"/>
      <c r="H7" s="261"/>
      <c r="I7" s="262"/>
      <c r="J7" s="2027"/>
      <c r="K7" s="2026"/>
      <c r="L7" s="2026"/>
      <c r="M7" s="2026"/>
      <c r="N7" s="2026"/>
      <c r="O7" s="2026"/>
      <c r="P7" s="2026"/>
      <c r="Q7" s="2026"/>
      <c r="R7" s="2026"/>
      <c r="S7" s="2026"/>
      <c r="T7" s="2026"/>
      <c r="U7" s="2026"/>
      <c r="V7" s="2026"/>
    </row>
    <row r="8" spans="1:22" ht="14.25">
      <c r="A8" s="3387" t="s">
        <v>306</v>
      </c>
      <c r="B8" s="3388">
        <v>15</v>
      </c>
      <c r="C8" s="3396"/>
      <c r="D8" s="3399"/>
      <c r="E8" s="260" t="s">
        <v>307</v>
      </c>
      <c r="F8" s="261"/>
      <c r="G8" s="261"/>
      <c r="H8" s="261"/>
      <c r="I8" s="262"/>
      <c r="J8" s="2027"/>
      <c r="K8" s="2026"/>
      <c r="L8" s="2026"/>
      <c r="M8" s="2026"/>
      <c r="N8" s="2026"/>
      <c r="O8" s="2026"/>
      <c r="P8" s="2026"/>
      <c r="Q8" s="2026"/>
      <c r="R8" s="2026"/>
      <c r="S8" s="2026"/>
      <c r="T8" s="2026"/>
      <c r="U8" s="2026"/>
      <c r="V8" s="2026"/>
    </row>
    <row r="9" spans="1:22" ht="14.25">
      <c r="A9" s="3387"/>
      <c r="B9" s="3388"/>
      <c r="C9" s="3398"/>
      <c r="D9" s="3399"/>
      <c r="E9" s="260" t="s">
        <v>308</v>
      </c>
      <c r="F9" s="261"/>
      <c r="G9" s="261"/>
      <c r="H9" s="261"/>
      <c r="I9" s="262"/>
      <c r="J9" s="2027"/>
      <c r="K9" s="2026"/>
      <c r="L9" s="2026"/>
      <c r="M9" s="2026"/>
      <c r="N9" s="2026"/>
      <c r="O9" s="2026"/>
      <c r="P9" s="2026"/>
      <c r="Q9" s="2026"/>
      <c r="R9" s="2026"/>
      <c r="S9" s="2026"/>
      <c r="T9" s="2026"/>
      <c r="U9" s="2026"/>
      <c r="V9" s="2026"/>
    </row>
    <row r="10" spans="1:22" ht="14.25">
      <c r="A10" s="3387" t="s">
        <v>309</v>
      </c>
      <c r="B10" s="3388">
        <v>15</v>
      </c>
      <c r="C10" s="3396"/>
      <c r="D10" s="3399"/>
      <c r="E10" s="260" t="s">
        <v>310</v>
      </c>
      <c r="F10" s="261"/>
      <c r="G10" s="261"/>
      <c r="H10" s="261"/>
      <c r="I10" s="262"/>
      <c r="J10" s="2027"/>
      <c r="K10" s="2026"/>
      <c r="L10" s="2026"/>
      <c r="M10" s="2026"/>
      <c r="N10" s="2026"/>
      <c r="O10" s="2026"/>
      <c r="P10" s="2026"/>
      <c r="Q10" s="2026"/>
      <c r="R10" s="2026"/>
      <c r="S10" s="2026"/>
      <c r="T10" s="2026"/>
      <c r="U10" s="2026"/>
      <c r="V10" s="2026"/>
    </row>
    <row r="11" spans="1:22" ht="14.25">
      <c r="A11" s="3387"/>
      <c r="B11" s="3388"/>
      <c r="C11" s="3398"/>
      <c r="D11" s="3399"/>
      <c r="E11" s="260" t="s">
        <v>311</v>
      </c>
      <c r="F11" s="261"/>
      <c r="G11" s="261"/>
      <c r="H11" s="261"/>
      <c r="I11" s="262"/>
      <c r="J11" s="2027"/>
      <c r="K11" s="2026"/>
      <c r="L11" s="2026"/>
      <c r="M11" s="2026"/>
      <c r="N11" s="2026"/>
      <c r="O11" s="2026"/>
      <c r="P11" s="2026"/>
      <c r="Q11" s="2026"/>
      <c r="R11" s="2026"/>
      <c r="S11" s="2026"/>
      <c r="T11" s="2026"/>
      <c r="U11" s="2026"/>
      <c r="V11" s="2026"/>
    </row>
    <row r="12" spans="1:22" ht="14.25">
      <c r="A12" s="3387" t="s">
        <v>312</v>
      </c>
      <c r="B12" s="3388">
        <v>15</v>
      </c>
      <c r="C12" s="3396"/>
      <c r="D12" s="3399"/>
      <c r="E12" s="260" t="s">
        <v>313</v>
      </c>
      <c r="F12" s="261"/>
      <c r="G12" s="261"/>
      <c r="H12" s="261"/>
      <c r="I12" s="262"/>
      <c r="J12" s="2027"/>
      <c r="K12" s="2026"/>
      <c r="L12" s="2026"/>
      <c r="M12" s="2026"/>
      <c r="N12" s="2026"/>
      <c r="O12" s="2026"/>
      <c r="P12" s="2026"/>
      <c r="Q12" s="2026"/>
      <c r="R12" s="2026"/>
      <c r="S12" s="2026"/>
      <c r="T12" s="2026"/>
      <c r="U12" s="2026"/>
      <c r="V12" s="2026"/>
    </row>
    <row r="13" spans="1:22" ht="14.25">
      <c r="A13" s="3387"/>
      <c r="B13" s="3388"/>
      <c r="C13" s="3398"/>
      <c r="D13" s="3399"/>
      <c r="E13" s="260" t="s">
        <v>314</v>
      </c>
      <c r="F13" s="261"/>
      <c r="G13" s="261"/>
      <c r="H13" s="261"/>
      <c r="I13" s="262"/>
      <c r="J13" s="2027"/>
      <c r="K13" s="2026"/>
      <c r="L13" s="2026"/>
      <c r="M13" s="2026"/>
      <c r="N13" s="2026"/>
      <c r="O13" s="2026"/>
      <c r="P13" s="2026"/>
      <c r="Q13" s="2026"/>
      <c r="R13" s="2026"/>
      <c r="S13" s="2026"/>
      <c r="T13" s="2026"/>
      <c r="U13" s="2026"/>
      <c r="V13" s="2026"/>
    </row>
    <row r="14" spans="1:22" ht="14.25">
      <c r="A14" s="3387" t="s">
        <v>315</v>
      </c>
      <c r="B14" s="3388">
        <v>30</v>
      </c>
      <c r="C14" s="3396">
        <v>6</v>
      </c>
      <c r="D14" s="3399">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87"/>
      <c r="B15" s="3388"/>
      <c r="C15" s="3397"/>
      <c r="D15" s="3399"/>
      <c r="E15" s="260" t="s">
        <v>317</v>
      </c>
      <c r="F15" s="261"/>
      <c r="G15" s="261"/>
      <c r="H15" s="261"/>
      <c r="I15" s="262"/>
      <c r="J15" s="2027"/>
      <c r="K15" s="2026"/>
      <c r="L15" s="2026"/>
      <c r="M15" s="2026"/>
      <c r="N15" s="2026"/>
      <c r="O15" s="2026"/>
      <c r="P15" s="2026"/>
      <c r="Q15" s="2026"/>
      <c r="R15" s="2026"/>
      <c r="S15" s="2026"/>
      <c r="T15" s="2026"/>
      <c r="U15" s="2026"/>
      <c r="V15" s="2026"/>
    </row>
    <row r="16" spans="1:22" ht="14.25">
      <c r="A16" s="3387"/>
      <c r="B16" s="3388"/>
      <c r="C16" s="3398"/>
      <c r="D16" s="3399"/>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13385</v>
      </c>
      <c r="D19" s="270">
        <f ca="1">SUMIF(INDIRECT("'"&amp;D4&amp;"'"&amp;"!A:A"),结果表!B19,INDIRECT("'"&amp;D4&amp;"'"&amp;"!B:B"))</f>
        <v>40807</v>
      </c>
      <c r="E19" s="267" t="s">
        <v>323</v>
      </c>
      <c r="F19" s="268" t="s">
        <v>322</v>
      </c>
      <c r="G19" s="271">
        <f ca="1">ROUND(C19*$C$18+D19*$D$18,0)</f>
        <v>24354</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1133</v>
      </c>
      <c r="D20" s="276">
        <f ca="1">SUMIF(INDIRECT("'"&amp;D4&amp;"'"&amp;"!A:A"),结果表!B20,INDIRECT("'"&amp;D4&amp;"'"&amp;"!B:B"))</f>
        <v>3455</v>
      </c>
      <c r="E20" s="273"/>
      <c r="F20" s="274" t="s">
        <v>325</v>
      </c>
      <c r="G20" s="277">
        <f ca="1">ROUND(C20*$C$18+D20*$D$18,0)</f>
        <v>2062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2203</v>
      </c>
      <c r="D21" s="151">
        <f ca="1">SUMIF(INDIRECT("'"&amp;D4&amp;"'"&amp;"!A:A"),结果表!B21,INDIRECT("'"&amp;D4&amp;"'"&amp;"!B:B"))</f>
        <v>6716</v>
      </c>
      <c r="E21" s="273"/>
      <c r="F21" s="279" t="s">
        <v>327</v>
      </c>
      <c r="G21" s="281">
        <f ca="1">ROUND(C21*$C$18+D21*$D$18,0)</f>
        <v>4008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2.0487112439297723</v>
      </c>
      <c r="E22" s="283"/>
      <c r="F22" s="284"/>
      <c r="G22" s="285">
        <f ca="1">ROUND(G19/('数据-汇总表'!D3/666.67),0)</f>
        <v>267</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6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02"/>
      <c r="B25" s="1320" t="s">
        <v>331</v>
      </c>
      <c r="C25" s="289">
        <f>IF(B30=0,0,C30)</f>
        <v>0</v>
      </c>
      <c r="D25" s="290"/>
      <c r="E25" s="310"/>
      <c r="F25" s="310"/>
      <c r="G25" s="310"/>
      <c r="H25" s="310"/>
      <c r="I25" s="310"/>
      <c r="J25" s="2026"/>
      <c r="K25" s="1254" t="str">
        <f ca="1">项目基本情况!B16&amp;"国有建设用地使用权价格："&amp;O38&amp;"万元"</f>
        <v>出让国有建设用地使用权价格：24354万元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大写金额：人民币贰亿肆仟叁佰伍拾肆万元整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单位面积地价：4008元/平方米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楼面地价：2062元/平方米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抵押价格：24354万元</v>
      </c>
      <c r="L29" s="1251"/>
      <c r="M29" s="1251"/>
      <c r="N29" s="1251"/>
      <c r="O29" s="1250"/>
      <c r="P29" s="2026"/>
      <c r="V29" s="2026"/>
    </row>
    <row r="30" spans="1:26" ht="18.75" thickBot="1">
      <c r="A30" s="3164" t="s">
        <v>336</v>
      </c>
      <c r="B30" s="308"/>
      <c r="C30" s="308"/>
      <c r="D30" s="309"/>
      <c r="E30" s="3165" t="s">
        <v>2974</v>
      </c>
      <c r="F30" s="310"/>
      <c r="G30" s="310"/>
      <c r="H30" s="310"/>
      <c r="I30" s="310"/>
      <c r="J30" s="2026"/>
      <c r="K30" s="1257" t="str">
        <f ca="1">IF(K29="——","——","大写金额：人民币"&amp;NUMBERSTRING(INT(O39*10000),2)&amp;"元整")</f>
        <v>大写金额：人民币贰亿肆仟叁佰伍拾肆万元整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337</v>
      </c>
      <c r="B32" s="1380" t="s">
        <v>1690</v>
      </c>
      <c r="C32" s="1381">
        <f ca="1">G19-C24</f>
        <v>24354</v>
      </c>
      <c r="D32" s="1382" t="s">
        <v>1691</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340</v>
      </c>
      <c r="B33" s="1383" t="s">
        <v>1692</v>
      </c>
      <c r="C33" s="263">
        <f ca="1">ROUND(C32*10000/'数据-汇总表'!E3,0)</f>
        <v>2062</v>
      </c>
      <c r="D33" s="1384" t="s">
        <v>1693</v>
      </c>
      <c r="E33" s="3360"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5" t="s">
        <v>1694</v>
      </c>
      <c r="C34" s="263">
        <f ca="1">ROUND(C32*10000/'数据-汇总表'!D3,0)</f>
        <v>4008</v>
      </c>
      <c r="D34" s="1386" t="s">
        <v>1693</v>
      </c>
      <c r="E34" s="3361"/>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267</v>
      </c>
      <c r="D35" s="1389" t="s">
        <v>1695</v>
      </c>
      <c r="E35" s="3362"/>
      <c r="F35" s="300" t="s">
        <v>342</v>
      </c>
      <c r="G35" s="981"/>
      <c r="H35" s="980" t="s">
        <v>343</v>
      </c>
      <c r="I35" s="310"/>
      <c r="J35" s="2026"/>
      <c r="K35" s="3366" t="s">
        <v>350</v>
      </c>
      <c r="L35" s="3366" t="s">
        <v>351</v>
      </c>
      <c r="M35" s="1263" t="s">
        <v>352</v>
      </c>
      <c r="N35" s="3366" t="s">
        <v>353</v>
      </c>
      <c r="O35" s="3366" t="s">
        <v>354</v>
      </c>
      <c r="P35" s="2026"/>
      <c r="V35" s="2026"/>
    </row>
    <row r="36" spans="1:26" ht="16.5" customHeight="1">
      <c r="A36" s="302" t="s">
        <v>344</v>
      </c>
      <c r="B36" s="303" t="s">
        <v>333</v>
      </c>
      <c r="C36" s="304" t="s">
        <v>345</v>
      </c>
      <c r="D36" s="304" t="s">
        <v>346</v>
      </c>
      <c r="E36" s="305" t="s">
        <v>347</v>
      </c>
      <c r="F36" s="310"/>
      <c r="G36" s="310"/>
      <c r="H36" s="310"/>
      <c r="I36" s="310"/>
      <c r="J36" s="2028"/>
      <c r="K36" s="3367"/>
      <c r="L36" s="3367"/>
      <c r="M36" s="1265" t="s">
        <v>355</v>
      </c>
      <c r="N36" s="3367"/>
      <c r="O36" s="3367"/>
      <c r="P36" s="2026"/>
      <c r="V36" s="2026"/>
    </row>
    <row r="37" spans="1:26" ht="16.5" customHeight="1" thickBot="1">
      <c r="A37" s="1259" t="s">
        <v>348</v>
      </c>
      <c r="B37" s="306"/>
      <c r="C37" s="293"/>
      <c r="D37" s="293"/>
      <c r="E37" s="294"/>
      <c r="F37" s="310"/>
      <c r="G37" s="310"/>
      <c r="H37" s="310"/>
      <c r="I37" s="310"/>
      <c r="J37" s="2028"/>
      <c r="K37" s="3368"/>
      <c r="L37" s="3368"/>
      <c r="M37" s="1266"/>
      <c r="N37" s="3368"/>
      <c r="O37" s="3368"/>
      <c r="P37" s="2026"/>
      <c r="V37" s="2026"/>
    </row>
    <row r="38" spans="1:26" ht="16.5" customHeight="1" thickBot="1">
      <c r="A38" s="1259" t="s">
        <v>349</v>
      </c>
      <c r="B38" s="306"/>
      <c r="C38" s="293"/>
      <c r="D38" s="293"/>
      <c r="E38" s="294"/>
      <c r="F38" s="310"/>
      <c r="G38" s="310"/>
      <c r="H38" s="310"/>
      <c r="I38" s="310"/>
      <c r="J38" s="2028"/>
      <c r="K38" s="1267">
        <f>'数据-汇总表'!D3</f>
        <v>60759</v>
      </c>
      <c r="L38" s="1268">
        <f>'数据-汇总表'!E3</f>
        <v>118125.52</v>
      </c>
      <c r="M38" s="1268">
        <f ca="1">C34</f>
        <v>4008</v>
      </c>
      <c r="N38" s="1268">
        <f ca="1">C33</f>
        <v>2062</v>
      </c>
      <c r="O38" s="1269">
        <f ca="1">C32</f>
        <v>24354</v>
      </c>
      <c r="P38" s="2026"/>
      <c r="V38" s="2026"/>
    </row>
    <row r="39" spans="1:26" ht="16.5" customHeight="1" thickBot="1">
      <c r="A39" s="1264"/>
      <c r="B39" s="307"/>
      <c r="C39" s="308"/>
      <c r="D39" s="308"/>
      <c r="E39" s="309"/>
      <c r="F39" s="310"/>
      <c r="G39" s="310"/>
      <c r="H39" s="310"/>
      <c r="I39" s="310"/>
      <c r="J39" s="2028"/>
      <c r="K39" s="3343" t="str">
        <f>MID(A44,3,LEN(A44)-2)</f>
        <v>抵押价格</v>
      </c>
      <c r="L39" s="3344"/>
      <c r="M39" s="3344"/>
      <c r="N39" s="3345"/>
      <c r="O39" s="1391">
        <f ca="1">C44</f>
        <v>24354</v>
      </c>
      <c r="P39" s="2026"/>
      <c r="V39" s="2026"/>
    </row>
    <row r="40" spans="1:26" ht="19.5" thickBot="1">
      <c r="A40" s="104" t="s">
        <v>874</v>
      </c>
      <c r="B40" s="310"/>
      <c r="C40" s="310"/>
      <c r="D40" s="310"/>
      <c r="E40" s="310"/>
      <c r="F40" s="310"/>
      <c r="G40" s="310"/>
      <c r="H40" s="310"/>
      <c r="I40" s="310"/>
      <c r="J40" s="2028"/>
      <c r="K40" s="3343" t="str">
        <f t="shared" ref="K40:K41" si="0">MID(A45,3,LEN(A45)-2)</f>
        <v/>
      </c>
      <c r="L40" s="3344"/>
      <c r="M40" s="3344"/>
      <c r="N40" s="3345"/>
      <c r="O40" s="1391" t="str">
        <f>C45</f>
        <v>——</v>
      </c>
      <c r="P40" s="2026"/>
      <c r="V40" s="2026"/>
    </row>
    <row r="41" spans="1:26" ht="16.5" thickBot="1">
      <c r="A41" s="311" t="s">
        <v>356</v>
      </c>
      <c r="B41" s="312"/>
      <c r="C41" s="313" t="s">
        <v>357</v>
      </c>
      <c r="D41" s="314" t="s">
        <v>358</v>
      </c>
      <c r="E41" s="314" t="s">
        <v>359</v>
      </c>
      <c r="F41" s="315" t="s">
        <v>360</v>
      </c>
      <c r="G41" s="310"/>
      <c r="H41" s="310"/>
      <c r="I41" s="310"/>
      <c r="J41" s="2028"/>
      <c r="K41" s="3343" t="str">
        <f t="shared" si="0"/>
        <v/>
      </c>
      <c r="L41" s="3344"/>
      <c r="M41" s="3344"/>
      <c r="N41" s="3345"/>
      <c r="O41" s="1391" t="str">
        <f>C46</f>
        <v>——</v>
      </c>
      <c r="P41" s="2026"/>
      <c r="V41" s="2026"/>
    </row>
    <row r="42" spans="1:26" ht="29.25">
      <c r="A42" s="3403" t="s">
        <v>2069</v>
      </c>
      <c r="B42" s="3404"/>
      <c r="C42" s="263">
        <f ca="1">C32</f>
        <v>24354</v>
      </c>
      <c r="D42" s="316">
        <f ca="1">C33</f>
        <v>2062</v>
      </c>
      <c r="E42" s="316">
        <f ca="1">C34</f>
        <v>4008</v>
      </c>
      <c r="F42" s="317">
        <f ca="1">C35</f>
        <v>267</v>
      </c>
      <c r="G42" s="310"/>
      <c r="H42" s="310"/>
      <c r="I42" s="318"/>
      <c r="J42" s="2028"/>
      <c r="K42" s="1270" t="s">
        <v>361</v>
      </c>
      <c r="L42" s="2045" t="s">
        <v>362</v>
      </c>
      <c r="M42" s="1271" t="s">
        <v>363</v>
      </c>
      <c r="N42" s="2046" t="s">
        <v>364</v>
      </c>
      <c r="O42" s="2047" t="s">
        <v>365</v>
      </c>
      <c r="P42" s="2026"/>
      <c r="V42" s="2026"/>
    </row>
    <row r="43" spans="1:26" ht="30">
      <c r="A43" s="3413" t="s">
        <v>2735</v>
      </c>
      <c r="B43" s="3414"/>
      <c r="C43" s="263">
        <f>IF(H33="正常操作",G33+G34+G35,G34+G35)</f>
        <v>0</v>
      </c>
      <c r="D43" s="316" t="s">
        <v>43</v>
      </c>
      <c r="E43" s="316" t="s">
        <v>44</v>
      </c>
      <c r="F43" s="317" t="s">
        <v>44</v>
      </c>
      <c r="G43" s="2890" t="s">
        <v>953</v>
      </c>
      <c r="H43" s="310"/>
      <c r="I43" s="318"/>
      <c r="J43" s="2028"/>
      <c r="K43" s="1272" t="str">
        <f>C4</f>
        <v>比较法-住宅、综合</v>
      </c>
      <c r="L43" s="1273">
        <f ca="1">IF(L42="估价结果/万元",C19,C20)</f>
        <v>13385</v>
      </c>
      <c r="M43" s="1274">
        <f>C18</f>
        <v>0.6</v>
      </c>
      <c r="N43" s="1275">
        <f ca="1">IF(N42="测算结果/万元",G19,G20)</f>
        <v>24354</v>
      </c>
      <c r="O43" s="1276">
        <f ca="1">IF(O42="最终结果/万元",C32,C33)</f>
        <v>24354</v>
      </c>
      <c r="P43" s="2026"/>
      <c r="V43" s="2026"/>
    </row>
    <row r="44" spans="1:26" ht="30.75" thickBot="1">
      <c r="A44" s="3403" t="str">
        <f>IF(OR(项目基本情况!E8="抵押价格",项目基本情况!E8="已注销及未注销"),"3.抵押价格","——")</f>
        <v>3.抵押价格</v>
      </c>
      <c r="B44" s="3404"/>
      <c r="C44" s="263">
        <f ca="1">IF(A44="——","——",C42-C43)</f>
        <v>24354</v>
      </c>
      <c r="D44" s="316">
        <f ca="1">ROUND(C44*10000/'数据-汇总表'!E3,0)</f>
        <v>2062</v>
      </c>
      <c r="E44" s="316">
        <f ca="1">ROUND(C44*10000/'数据-汇总表'!D3,0)</f>
        <v>4008</v>
      </c>
      <c r="F44" s="317">
        <f ca="1">ROUND(C44/('数据-汇总表'!D3/666.67),0)</f>
        <v>267</v>
      </c>
      <c r="G44" s="310"/>
      <c r="H44" s="310"/>
      <c r="I44" s="318"/>
      <c r="J44" s="2028"/>
      <c r="K44" s="1277" t="str">
        <f>D4</f>
        <v>剩余法-待开发</v>
      </c>
      <c r="L44" s="1278">
        <f ca="1">IF(L42="估价结果/万元",D19,D20)</f>
        <v>40807</v>
      </c>
      <c r="M44" s="1279">
        <f>D18</f>
        <v>0.4</v>
      </c>
      <c r="N44" s="1280"/>
      <c r="O44" s="1281"/>
      <c r="P44" s="2026"/>
      <c r="V44" s="2026"/>
    </row>
    <row r="45" spans="1:26" ht="15">
      <c r="A45" s="3408" t="str">
        <f>IF(项目基本情况!E8="已注销及未注销","4.抵押担保权已注销时的抵押价格",IF(项目基本情况!E8="已注销","3.抵押担保权已注销时的抵押价格","——"))</f>
        <v>——</v>
      </c>
      <c r="B45" s="340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05" t="str">
        <f>IF(项目基本情况!E9="抵押净值",IF(A45="——","4.抵押净值","5.抵押净值"),"——")</f>
        <v>——</v>
      </c>
      <c r="B46" s="340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71" t="s">
        <v>374</v>
      </c>
      <c r="B63" s="3372"/>
      <c r="C63" s="3373"/>
      <c r="D63" s="340">
        <f ca="1">ROUND(C42*F63,0)</f>
        <v>14612</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410" t="s">
        <v>378</v>
      </c>
      <c r="B64" s="3411"/>
      <c r="C64" s="3411"/>
      <c r="D64" s="3411"/>
      <c r="E64" s="3411"/>
      <c r="F64" s="3411"/>
      <c r="G64" s="3412"/>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407" t="s">
        <v>386</v>
      </c>
      <c r="B66" s="3378"/>
      <c r="C66" s="3378"/>
      <c r="D66" s="260">
        <f ca="1">IF(H66="情况1",0,IF(H66="情况2",D70,IF(H66="情况3",D71,IF(H66="情况4",D72))))</f>
        <v>779</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47" t="s">
        <v>385</v>
      </c>
      <c r="M66" s="3348"/>
      <c r="N66" s="2480"/>
      <c r="O66" s="2481"/>
      <c r="P66" s="2482"/>
      <c r="Q66" s="2026"/>
      <c r="R66" s="2026"/>
      <c r="S66" s="2026"/>
      <c r="T66" s="2026"/>
      <c r="U66" s="2026"/>
      <c r="V66" s="2026"/>
    </row>
    <row r="67" spans="1:22" ht="25.5" customHeight="1">
      <c r="A67" s="351" t="s">
        <v>390</v>
      </c>
      <c r="B67" s="3390" t="s">
        <v>391</v>
      </c>
      <c r="C67" s="3390"/>
      <c r="D67" s="352">
        <v>0</v>
      </c>
      <c r="E67" s="41" t="s">
        <v>392</v>
      </c>
      <c r="F67" s="62" t="s">
        <v>21</v>
      </c>
      <c r="G67" s="3374"/>
      <c r="H67" s="310"/>
      <c r="I67" s="1291"/>
      <c r="J67" s="2033"/>
      <c r="K67" s="1974">
        <v>2</v>
      </c>
      <c r="L67" s="3346" t="s">
        <v>389</v>
      </c>
      <c r="M67" s="3346"/>
      <c r="N67" s="1324">
        <f>'数据-取费表'!B2</f>
        <v>43104</v>
      </c>
      <c r="O67" s="1324"/>
      <c r="P67" s="1324"/>
      <c r="Q67" s="2026"/>
      <c r="R67" s="2026"/>
      <c r="S67" s="2026"/>
      <c r="T67" s="2026"/>
      <c r="U67" s="2026"/>
      <c r="V67" s="2026"/>
    </row>
    <row r="68" spans="1:22" ht="25.5" customHeight="1">
      <c r="A68" s="353"/>
      <c r="B68" s="3390" t="s">
        <v>394</v>
      </c>
      <c r="C68" s="3390"/>
      <c r="D68" s="354"/>
      <c r="E68" s="77"/>
      <c r="F68" s="355"/>
      <c r="G68" s="3375"/>
      <c r="H68" s="310"/>
      <c r="I68" s="1291"/>
      <c r="J68" s="2033"/>
      <c r="K68" s="1974">
        <v>3</v>
      </c>
      <c r="L68" s="3346" t="s">
        <v>393</v>
      </c>
      <c r="M68" s="3346"/>
      <c r="N68" s="1292">
        <f ca="1">C42</f>
        <v>24354</v>
      </c>
      <c r="O68" s="1292"/>
      <c r="P68" s="1292"/>
      <c r="Q68" s="2026"/>
      <c r="R68" s="2026"/>
      <c r="S68" s="2026"/>
      <c r="T68" s="2026"/>
      <c r="U68" s="2026"/>
      <c r="V68" s="2026"/>
    </row>
    <row r="69" spans="1:22" ht="12" customHeight="1">
      <c r="A69" s="356"/>
      <c r="B69" s="3390" t="s">
        <v>395</v>
      </c>
      <c r="C69" s="3390"/>
      <c r="D69" s="357"/>
      <c r="E69" s="73"/>
      <c r="F69" s="355"/>
      <c r="G69" s="3376"/>
      <c r="H69" s="310"/>
      <c r="I69" s="1291"/>
      <c r="J69" s="2033"/>
      <c r="K69" s="1293">
        <v>4</v>
      </c>
      <c r="L69" s="3352" t="s">
        <v>2888</v>
      </c>
      <c r="M69" s="3353"/>
      <c r="N69" s="1294">
        <f ca="1">C44</f>
        <v>24354</v>
      </c>
      <c r="O69" s="1294"/>
      <c r="P69" s="1294"/>
      <c r="Q69" s="2026"/>
      <c r="R69" s="2026"/>
      <c r="S69" s="2026"/>
      <c r="T69" s="2026"/>
      <c r="U69" s="2026"/>
      <c r="V69" s="2026"/>
    </row>
    <row r="70" spans="1:22" ht="24" customHeight="1">
      <c r="A70" s="358" t="s">
        <v>396</v>
      </c>
      <c r="B70" s="3390" t="s">
        <v>397</v>
      </c>
      <c r="C70" s="3390"/>
      <c r="D70" s="357">
        <f ca="1">ROUND(D63*'数据-取费表'!B41/(1+'数据-取费表'!C42),0)</f>
        <v>779</v>
      </c>
      <c r="E70" s="17" t="s">
        <v>398</v>
      </c>
      <c r="F70" s="359">
        <f>'数据-取费表'!B41</f>
        <v>5.6000000000000001E-2</v>
      </c>
      <c r="G70" s="360"/>
      <c r="H70" s="310"/>
      <c r="I70" s="1291"/>
      <c r="J70" s="2033"/>
      <c r="K70" s="3086"/>
      <c r="L70" s="3087"/>
      <c r="M70" s="3087"/>
      <c r="N70" s="3088" t="s">
        <v>2893</v>
      </c>
      <c r="O70" s="3087"/>
      <c r="P70" s="3089"/>
      <c r="Q70" s="2026"/>
      <c r="R70" s="2026"/>
      <c r="S70" s="2026"/>
      <c r="T70" s="2026"/>
      <c r="U70" s="2026"/>
      <c r="V70" s="2026"/>
    </row>
    <row r="71" spans="1:22" ht="12" customHeight="1">
      <c r="A71" s="358" t="s">
        <v>404</v>
      </c>
      <c r="B71" s="3389" t="s">
        <v>405</v>
      </c>
      <c r="C71" s="3401"/>
      <c r="D71" s="357">
        <f ca="1">ROUND(D63*'数据-取费表'!B41/(1+'数据-取费表'!C42),0)</f>
        <v>779</v>
      </c>
      <c r="E71" s="17" t="s">
        <v>398</v>
      </c>
      <c r="F71" s="359">
        <f>'数据-取费表'!B41</f>
        <v>5.6000000000000001E-2</v>
      </c>
      <c r="G71" s="360"/>
      <c r="H71" s="310"/>
      <c r="I71" s="1291"/>
      <c r="J71" s="2033"/>
      <c r="K71" s="3085" t="s">
        <v>399</v>
      </c>
      <c r="L71" s="3354" t="s">
        <v>400</v>
      </c>
      <c r="M71" s="3354"/>
      <c r="N71" s="3085" t="s">
        <v>401</v>
      </c>
      <c r="O71" s="3085" t="s">
        <v>402</v>
      </c>
      <c r="P71" s="3085" t="s">
        <v>403</v>
      </c>
      <c r="Q71" s="2026"/>
      <c r="R71" s="2026"/>
      <c r="S71" s="2026"/>
      <c r="T71" s="2026"/>
      <c r="U71" s="2026"/>
      <c r="V71" s="2026"/>
    </row>
    <row r="72" spans="1:22" ht="12" customHeight="1">
      <c r="A72" s="358" t="s">
        <v>407</v>
      </c>
      <c r="B72" s="3389" t="s">
        <v>408</v>
      </c>
      <c r="C72" s="3401"/>
      <c r="D72" s="357">
        <f ca="1">C86</f>
        <v>667</v>
      </c>
      <c r="E72" s="73" t="s">
        <v>409</v>
      </c>
      <c r="F72" s="359">
        <f>'数据-取费表'!B41</f>
        <v>5.6000000000000001E-2</v>
      </c>
      <c r="G72" s="360"/>
      <c r="H72" s="1297"/>
      <c r="I72" s="1291"/>
      <c r="J72" s="2033"/>
      <c r="K72" s="1974">
        <v>1</v>
      </c>
      <c r="L72" s="3351" t="s">
        <v>406</v>
      </c>
      <c r="M72" s="3351"/>
      <c r="N72" s="1295">
        <f ca="1">D66</f>
        <v>779</v>
      </c>
      <c r="O72" s="1857" t="str">
        <f>E66</f>
        <v>销售额×税（费）率</v>
      </c>
      <c r="P72" s="1296">
        <f>F66</f>
        <v>5.6000000000000001E-2</v>
      </c>
      <c r="Q72" s="2026"/>
      <c r="R72" s="2026"/>
      <c r="S72" s="2026"/>
      <c r="T72" s="2026"/>
      <c r="U72" s="2026"/>
      <c r="V72" s="2026"/>
    </row>
    <row r="73" spans="1:22" ht="24" customHeight="1">
      <c r="A73" s="3377" t="s">
        <v>411</v>
      </c>
      <c r="B73" s="3378"/>
      <c r="C73" s="3378"/>
      <c r="D73" s="361">
        <f>IF(H73="个人住宅",0,ROUND(D63*I73,0))</f>
        <v>0</v>
      </c>
      <c r="E73" s="17" t="s">
        <v>412</v>
      </c>
      <c r="F73" s="359" t="str">
        <f>IF(H73="正常",I73,"免征")</f>
        <v>免征</v>
      </c>
      <c r="G73" s="360"/>
      <c r="H73" s="191" t="s">
        <v>2457</v>
      </c>
      <c r="I73" s="359">
        <f>'数据-取费表'!B49</f>
        <v>5.0000000000000001E-4</v>
      </c>
      <c r="J73" s="2033"/>
      <c r="K73" s="1974">
        <v>2</v>
      </c>
      <c r="L73" s="3351" t="s">
        <v>410</v>
      </c>
      <c r="M73" s="3351"/>
      <c r="N73" s="1295">
        <f t="shared" ref="N73:P74" si="1">D73</f>
        <v>0</v>
      </c>
      <c r="O73" s="1857" t="str">
        <f t="shared" si="1"/>
        <v>销售额×税（费）率</v>
      </c>
      <c r="P73" s="1296" t="str">
        <f t="shared" si="1"/>
        <v>免征</v>
      </c>
      <c r="Q73" s="2026"/>
      <c r="R73" s="2026"/>
      <c r="S73" s="2026"/>
      <c r="T73" s="2026"/>
      <c r="U73" s="2026"/>
      <c r="V73" s="2026"/>
    </row>
    <row r="74" spans="1:22" ht="24.75">
      <c r="A74" s="3377" t="s">
        <v>415</v>
      </c>
      <c r="B74" s="3378"/>
      <c r="C74" s="3378"/>
      <c r="D74" s="361">
        <f ca="1">IF(H74="个人住宅",D75,D76)</f>
        <v>7615</v>
      </c>
      <c r="E74" s="17" t="s">
        <v>416</v>
      </c>
      <c r="F74" s="359" t="str">
        <f>IF(H74="正常",F76,"免征")</f>
        <v>——</v>
      </c>
      <c r="G74" s="982" t="s">
        <v>417</v>
      </c>
      <c r="H74" s="362" t="s">
        <v>413</v>
      </c>
      <c r="I74" s="42"/>
      <c r="J74" s="2033"/>
      <c r="K74" s="1974">
        <v>3</v>
      </c>
      <c r="L74" s="3351" t="s">
        <v>414</v>
      </c>
      <c r="M74" s="3351"/>
      <c r="N74" s="1295">
        <f t="shared" ca="1" si="1"/>
        <v>7615</v>
      </c>
      <c r="O74" s="1857" t="str">
        <f t="shared" si="1"/>
        <v>增值额×税（费）率</v>
      </c>
      <c r="P74" s="1298" t="str">
        <f t="shared" si="1"/>
        <v>——</v>
      </c>
      <c r="Q74" s="2026"/>
      <c r="R74" s="2026"/>
      <c r="S74" s="2026"/>
      <c r="T74" s="2026"/>
      <c r="U74" s="2026"/>
      <c r="V74" s="2026"/>
    </row>
    <row r="75" spans="1:22" ht="24">
      <c r="A75" s="358" t="s">
        <v>418</v>
      </c>
      <c r="B75" s="3358" t="s">
        <v>419</v>
      </c>
      <c r="C75" s="3359"/>
      <c r="D75" s="363">
        <v>0</v>
      </c>
      <c r="E75" s="41" t="s">
        <v>420</v>
      </c>
      <c r="F75" s="364"/>
      <c r="G75" s="360"/>
      <c r="H75" s="42"/>
      <c r="I75" s="42"/>
      <c r="J75" s="2033"/>
      <c r="K75" s="3078">
        <f>IF(H77="非个人房产","",4)</f>
        <v>4</v>
      </c>
      <c r="L75" s="3351" t="str">
        <f>IF(H77="非个人房产","——","个人所得税")</f>
        <v>个人所得税</v>
      </c>
      <c r="M75" s="3351"/>
      <c r="N75" s="1299">
        <f ca="1">D77</f>
        <v>146</v>
      </c>
      <c r="O75" s="1870" t="str">
        <f>E77</f>
        <v>销售额×税（费）率</v>
      </c>
      <c r="P75" s="1300">
        <f>F77</f>
        <v>0.01</v>
      </c>
      <c r="Q75" s="2026"/>
      <c r="R75" s="2026"/>
      <c r="S75" s="2026"/>
      <c r="T75" s="2026"/>
      <c r="U75" s="2026"/>
      <c r="V75" s="2026"/>
    </row>
    <row r="76" spans="1:22" ht="24.75">
      <c r="A76" s="358" t="s">
        <v>396</v>
      </c>
      <c r="B76" s="3358" t="s">
        <v>422</v>
      </c>
      <c r="C76" s="3400"/>
      <c r="D76" s="361">
        <f ca="1">IF(H76="转让取得",C99,C115)</f>
        <v>7615</v>
      </c>
      <c r="E76" s="17" t="s">
        <v>423</v>
      </c>
      <c r="F76" s="53" t="s">
        <v>21</v>
      </c>
      <c r="G76" s="360"/>
      <c r="H76" s="362" t="s">
        <v>424</v>
      </c>
      <c r="I76" s="42"/>
      <c r="J76" s="2033"/>
      <c r="K76" s="3078"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6"/>
      <c r="R76" s="2026"/>
      <c r="S76" s="2026"/>
      <c r="T76" s="2026"/>
      <c r="U76" s="2026"/>
      <c r="V76" s="2026"/>
    </row>
    <row r="77" spans="1:22" ht="26.25" thickBot="1">
      <c r="A77" s="3369" t="s">
        <v>426</v>
      </c>
      <c r="B77" s="3370"/>
      <c r="C77" s="3370"/>
      <c r="D77" s="365">
        <f ca="1">IF(H77="非个人房产","——",IF(H77="个人住宅",0,ROUND(D63*I77,0)))</f>
        <v>146</v>
      </c>
      <c r="E77" s="366" t="str">
        <f>IF(H77="非个人房产","——","销售额×税（费）率")</f>
        <v>销售额×税（费）率</v>
      </c>
      <c r="F77" s="367">
        <f>IF(H77="非个人房产","——",IF(H77="个人住宅","免征",I77))</f>
        <v>0.01</v>
      </c>
      <c r="G77" s="983" t="s">
        <v>417</v>
      </c>
      <c r="H77" s="362" t="s">
        <v>2889</v>
      </c>
      <c r="I77" s="368">
        <v>0.01</v>
      </c>
      <c r="J77" s="2033"/>
      <c r="K77" s="3365">
        <f>IF(AND(K75="",K76=""),4,IF(项目基本情况!K6="上海银行",K76+1,K75+1))</f>
        <v>5</v>
      </c>
      <c r="L77" s="3351" t="s">
        <v>2890</v>
      </c>
      <c r="M77" s="3084" t="s">
        <v>421</v>
      </c>
      <c r="N77" s="1301"/>
      <c r="O77" s="1302">
        <f ca="1">SUMIF(N72:N76,"&lt;9e307")</f>
        <v>8540</v>
      </c>
      <c r="P77" s="1303"/>
      <c r="Q77" s="3082">
        <f ca="1">O77/N69</f>
        <v>0.35066108236839943</v>
      </c>
      <c r="R77" s="2026"/>
      <c r="S77" s="2026"/>
      <c r="T77" s="2026"/>
      <c r="U77" s="2026"/>
      <c r="V77" s="2026"/>
    </row>
    <row r="78" spans="1:22" ht="12" customHeight="1">
      <c r="A78" s="1304"/>
      <c r="B78" s="310"/>
      <c r="C78" s="310"/>
      <c r="D78" s="310"/>
      <c r="E78" s="42"/>
      <c r="F78" s="42"/>
      <c r="G78" s="42"/>
      <c r="H78" s="1002"/>
      <c r="I78" s="310"/>
      <c r="J78" s="2033"/>
      <c r="K78" s="3365"/>
      <c r="L78" s="3351"/>
      <c r="M78" s="3084" t="s">
        <v>425</v>
      </c>
      <c r="N78" s="1301"/>
      <c r="O78" s="1302" t="str">
        <f ca="1">NUMBERSTRING(INT(O77*10000),2)&amp;"元整"</f>
        <v>捌仟伍佰肆拾万元整</v>
      </c>
      <c r="P78" s="1303"/>
      <c r="Q78" s="2026"/>
      <c r="R78" s="2026"/>
      <c r="S78" s="2026"/>
      <c r="T78" s="2026"/>
      <c r="U78" s="2026"/>
      <c r="V78" s="2026"/>
    </row>
    <row r="79" spans="1:22" ht="13.5" thickBot="1">
      <c r="A79" s="3355" t="s">
        <v>427</v>
      </c>
      <c r="B79" s="3355"/>
      <c r="C79" s="3355"/>
      <c r="D79" s="3355"/>
      <c r="E79" s="3355"/>
      <c r="F79" s="42"/>
      <c r="G79" s="42"/>
      <c r="H79" s="1002"/>
      <c r="I79" s="310"/>
      <c r="J79" s="2033"/>
      <c r="K79" s="3349">
        <f>K77+1</f>
        <v>6</v>
      </c>
      <c r="L79" s="3351" t="s">
        <v>2891</v>
      </c>
      <c r="M79" s="3084" t="s">
        <v>421</v>
      </c>
      <c r="N79" s="1301"/>
      <c r="O79" s="1302">
        <f ca="1">N69-O77</f>
        <v>15814</v>
      </c>
      <c r="P79" s="1303"/>
      <c r="Q79" s="2026"/>
      <c r="R79" s="2026"/>
      <c r="S79" s="2026"/>
      <c r="T79" s="2026"/>
      <c r="U79" s="2026"/>
      <c r="V79" s="2026"/>
    </row>
    <row r="80" spans="1:22" ht="25.5">
      <c r="A80" s="3356" t="s">
        <v>428</v>
      </c>
      <c r="B80" s="3357"/>
      <c r="C80" s="993"/>
      <c r="D80" s="993" t="s">
        <v>429</v>
      </c>
      <c r="E80" s="369" t="s">
        <v>430</v>
      </c>
      <c r="F80" s="42"/>
      <c r="G80" s="42"/>
      <c r="H80" s="1002"/>
      <c r="I80" s="310"/>
      <c r="J80" s="2026"/>
      <c r="K80" s="3350"/>
      <c r="L80" s="3351"/>
      <c r="M80" s="3084" t="s">
        <v>425</v>
      </c>
      <c r="N80" s="1301"/>
      <c r="O80" s="1302" t="str">
        <f ca="1">NUMBERSTRING(INT(O79*10000),2)&amp;"元整"</f>
        <v>壹亿伍仟捌佰壹拾肆万元整</v>
      </c>
      <c r="P80" s="1303"/>
      <c r="Q80" s="2026"/>
      <c r="R80" s="2026"/>
      <c r="S80" s="2026"/>
      <c r="T80" s="2026"/>
      <c r="U80" s="2026"/>
      <c r="V80" s="2026"/>
    </row>
    <row r="81" spans="1:26" ht="13.5" thickBot="1">
      <c r="A81" s="380" t="s">
        <v>1825</v>
      </c>
      <c r="B81" s="370" t="s">
        <v>431</v>
      </c>
      <c r="C81" s="371">
        <f ca="1">ROUND((C82+C83)/(1+'数据-取费表'!C42),0)</f>
        <v>13916</v>
      </c>
      <c r="D81" s="372"/>
      <c r="E81" s="373"/>
      <c r="F81" s="42"/>
      <c r="G81" s="42"/>
      <c r="H81" s="1002"/>
      <c r="I81" s="310"/>
      <c r="J81" s="2026"/>
      <c r="K81" s="3078">
        <f>K79+1</f>
        <v>7</v>
      </c>
      <c r="L81" s="3363" t="s">
        <v>2892</v>
      </c>
      <c r="M81" s="3364"/>
      <c r="N81" s="1305"/>
      <c r="O81" s="1306">
        <f ca="1">ROUND(O79*10000/'数据-汇总表'!E3,0)</f>
        <v>1339</v>
      </c>
      <c r="P81" s="1307"/>
      <c r="Q81" s="2026"/>
      <c r="R81" s="2026"/>
      <c r="S81" s="2026"/>
      <c r="T81" s="2026"/>
      <c r="U81" s="2026"/>
      <c r="V81" s="2026"/>
    </row>
    <row r="82" spans="1:26" ht="13.5" thickTop="1">
      <c r="A82" s="374" t="s">
        <v>1826</v>
      </c>
      <c r="B82" s="375" t="s">
        <v>432</v>
      </c>
      <c r="C82" s="376">
        <f ca="1">D63</f>
        <v>14612</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1827</v>
      </c>
      <c r="B83" s="375" t="s">
        <v>433</v>
      </c>
      <c r="C83" s="379">
        <v>0</v>
      </c>
      <c r="D83" s="377"/>
      <c r="E83" s="378"/>
      <c r="F83" s="42"/>
      <c r="G83" s="42"/>
      <c r="H83" s="1002"/>
      <c r="I83" s="310"/>
      <c r="J83" s="2026"/>
      <c r="K83" s="3338" t="s">
        <v>2879</v>
      </c>
      <c r="L83" s="3090" t="s">
        <v>2880</v>
      </c>
      <c r="M83" s="3080">
        <f ca="1">IF(N69&gt;10000,N69*0.5%,IF(AND(N69&gt;1000,N69&lt;=10000),N69*1%,IF(AND(N69&gt;100,N69&lt;=1000),N69*3%,IF(AND(N69&gt;10,N69&lt;=100),N69*5%,N69*8%))))</f>
        <v>121.77</v>
      </c>
      <c r="N83" s="53">
        <f ca="1">ROUND(M83,1)</f>
        <v>121.8</v>
      </c>
      <c r="O83" s="3083"/>
      <c r="P83" s="2026"/>
      <c r="Q83" s="2026"/>
      <c r="R83" s="2026"/>
      <c r="S83" s="2026"/>
      <c r="T83" s="2026"/>
      <c r="U83" s="2026"/>
      <c r="V83" s="2026"/>
    </row>
    <row r="84" spans="1:26" ht="12.75">
      <c r="A84" s="380" t="s">
        <v>1828</v>
      </c>
      <c r="B84" s="381" t="s">
        <v>434</v>
      </c>
      <c r="C84" s="382">
        <v>2000</v>
      </c>
      <c r="D84" s="383" t="s">
        <v>19</v>
      </c>
      <c r="E84" s="3125" t="s">
        <v>2944</v>
      </c>
      <c r="F84" s="42"/>
      <c r="G84" s="42"/>
      <c r="H84" s="1002"/>
      <c r="I84" s="310"/>
      <c r="J84" s="2026"/>
      <c r="K84" s="3338"/>
      <c r="L84" s="3090" t="s">
        <v>2881</v>
      </c>
      <c r="M84" s="3080">
        <f ca="1">IF(N69&gt;2000,N69*0.5%,IF(AND(N69&gt;1000,N69&lt;=2000),N69*0.6%,IF(AND(N69&gt;500,N69&lt;=1000),N69*0.7%,IF(AND(N69&gt;200,N69&lt;=500),N69*0.8%,IF(AND(N69&gt;100,N69&lt;=200),N69*0.9%,IF(AND(N69&gt;50,N69&lt;=100),N69*1%,IF(AND(N69&gt;20,N69&lt;=50),N69*1.5%,IF(AND(N69&gt;10,N69&lt;=20),N69*2%,IF(AND(N69&gt;1,N69&lt;=10),N69*2.5%)))))))))</f>
        <v>121.77</v>
      </c>
      <c r="N84" s="53">
        <f t="shared" ref="N84:N85" ca="1" si="2">ROUND(M84,1)</f>
        <v>121.8</v>
      </c>
      <c r="O84" s="2026" t="s">
        <v>2882</v>
      </c>
      <c r="P84" s="2026"/>
      <c r="Q84" s="2026"/>
      <c r="R84" s="2026"/>
      <c r="S84" s="2026"/>
      <c r="T84" s="2026"/>
      <c r="U84" s="2026"/>
      <c r="V84" s="2026"/>
    </row>
    <row r="85" spans="1:26" ht="12.75">
      <c r="A85" s="380" t="s">
        <v>1829</v>
      </c>
      <c r="B85" s="381" t="s">
        <v>435</v>
      </c>
      <c r="C85" s="384">
        <f ca="1">C81-C84</f>
        <v>11916</v>
      </c>
      <c r="D85" s="377" t="s">
        <v>19</v>
      </c>
      <c r="E85" s="378"/>
      <c r="F85" s="42"/>
      <c r="G85" s="42"/>
      <c r="H85" s="1002"/>
      <c r="I85" s="310"/>
      <c r="J85" s="2026"/>
      <c r="K85" s="3338"/>
      <c r="L85" s="3090" t="s">
        <v>2883</v>
      </c>
      <c r="M85" s="3080">
        <f ca="1">IF(N69&gt;1000,N69*0.1%,IF(AND(N69&gt;500,N69&lt;=1000),N69*0.5%,IF(AND(N69&gt;50,N69&lt;=500),N69*1%,IF(AND(N69&gt;1,N69&lt;=50),N69*1.5%))))</f>
        <v>24.353999999999999</v>
      </c>
      <c r="N85" s="53">
        <f t="shared" ca="1" si="2"/>
        <v>24.4</v>
      </c>
      <c r="O85" s="2026" t="s">
        <v>2882</v>
      </c>
      <c r="P85" s="2026"/>
      <c r="Q85" s="2026"/>
      <c r="R85" s="2026"/>
      <c r="S85" s="2026"/>
      <c r="T85" s="2026"/>
      <c r="U85" s="2026"/>
      <c r="V85" s="2026"/>
    </row>
    <row r="86" spans="1:26" ht="13.5" thickBot="1">
      <c r="A86" s="385" t="s">
        <v>1830</v>
      </c>
      <c r="B86" s="386" t="s">
        <v>436</v>
      </c>
      <c r="C86" s="387">
        <f ca="1">IF(C85&lt;=0,0,ROUND(C85*D86,0))</f>
        <v>667</v>
      </c>
      <c r="D86" s="388">
        <f>'数据-取费表'!B41</f>
        <v>5.6000000000000001E-2</v>
      </c>
      <c r="E86" s="389"/>
      <c r="F86" s="42"/>
      <c r="G86" s="42"/>
      <c r="H86" s="1002"/>
      <c r="I86" s="310"/>
      <c r="J86" s="2026"/>
      <c r="K86" s="3338"/>
      <c r="L86" s="3090" t="s">
        <v>2884</v>
      </c>
      <c r="M86" s="3080">
        <f ca="1">N69*0.5%</f>
        <v>121.77</v>
      </c>
      <c r="N86" s="53">
        <f ca="1">IF(M86&gt;0.5,0.5,ROUND(M86,0))</f>
        <v>0.5</v>
      </c>
      <c r="O86" s="2026" t="s">
        <v>2885</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38"/>
      <c r="L87" s="3090" t="s">
        <v>2886</v>
      </c>
      <c r="M87" s="3080">
        <f ca="1">IF(N69&gt;=10000,(8.25+(N69-10000)*0.01%),IF(AND(N69&gt;=8000,N69&lt;10000),(7.85+(N69-8000)*0.02%),IF(AND(N69&gt;=5000,N69&lt;8000),(6.65+(N69-5000)*0.04%),IF(AND(N69&gt;=2000,N69&lt;5000),(4.25+(PN69-2000)*0.08%),IF(AND(N69&gt;=1000,N69&lt;2000),(2.75+(N69-1000)*0.15%),IF(AND(N69&gt;=100,N69&lt;1000),(0.5+(N69-100)*0.25%),IF(AND(N69&gt;0,N69&lt;100),N69*0.5%)))))))</f>
        <v>9.6853999999999996</v>
      </c>
      <c r="N87" s="53">
        <f ca="1">ROUND(M87*0.9,1)</f>
        <v>8.6999999999999993</v>
      </c>
      <c r="O87" s="3083"/>
      <c r="P87" s="310"/>
      <c r="Q87" s="2026"/>
      <c r="R87" s="2026"/>
      <c r="S87" s="2026"/>
      <c r="T87" s="2026"/>
      <c r="U87" s="2026"/>
      <c r="V87" s="2026"/>
      <c r="W87" s="291"/>
      <c r="X87" s="291"/>
      <c r="Y87" s="291"/>
      <c r="Z87" s="291"/>
    </row>
    <row r="88" spans="1:26" s="1313" customFormat="1" ht="15" thickBot="1">
      <c r="A88" s="3392" t="s">
        <v>437</v>
      </c>
      <c r="B88" s="3393"/>
      <c r="C88" s="3393"/>
      <c r="D88" s="3393"/>
      <c r="E88" s="3393"/>
      <c r="F88" s="3393"/>
      <c r="G88" s="3393"/>
      <c r="H88" s="3393"/>
      <c r="I88" s="1314"/>
      <c r="J88" s="2034"/>
      <c r="K88" s="3338"/>
      <c r="L88" s="3090" t="s">
        <v>2887</v>
      </c>
      <c r="M88" s="3080">
        <f ca="1">IF(N69&gt;10000,N69*0.5%,IF(AND(N69&gt;5000,N69&lt;=10000),N69*1%,IF(AND(N69&gt;1000,N69&lt;=5000),N69*2%,IF(AND(N69&gt;200,N69&lt;=1000),N69*3%,N69*5%))))</f>
        <v>121.77</v>
      </c>
      <c r="N88" s="53">
        <f ca="1">ROUND(M88,1)</f>
        <v>121.8</v>
      </c>
      <c r="O88" s="3083"/>
      <c r="P88" s="11"/>
      <c r="Q88" s="2031"/>
      <c r="R88" s="2031"/>
      <c r="S88" s="2031"/>
      <c r="T88" s="2031"/>
      <c r="U88" s="2031"/>
      <c r="V88" s="2031"/>
      <c r="W88" s="2035"/>
      <c r="X88" s="2035"/>
      <c r="Y88" s="2035"/>
      <c r="Z88" s="2035"/>
    </row>
    <row r="89" spans="1:26" s="1313" customFormat="1" ht="14.25">
      <c r="A89" s="3356" t="s">
        <v>428</v>
      </c>
      <c r="B89" s="3357"/>
      <c r="C89" s="993"/>
      <c r="D89" s="993" t="s">
        <v>429</v>
      </c>
      <c r="E89" s="390" t="s">
        <v>438</v>
      </c>
      <c r="F89" s="391"/>
      <c r="G89" s="391"/>
      <c r="H89" s="392"/>
      <c r="I89" s="1315"/>
      <c r="J89" s="2036"/>
      <c r="K89" s="3338"/>
      <c r="L89" s="3090" t="s">
        <v>27</v>
      </c>
      <c r="M89" s="3081"/>
      <c r="N89" s="53">
        <f ca="1">ROUND(SUM(N83:N88),0)</f>
        <v>399</v>
      </c>
      <c r="O89" s="3091">
        <f ca="1">N89/N69</f>
        <v>1.6383345651638334E-2</v>
      </c>
      <c r="P89" s="2031"/>
      <c r="Q89" s="2031"/>
      <c r="R89" s="2031"/>
      <c r="S89" s="2031"/>
      <c r="T89" s="2031"/>
      <c r="U89" s="2031"/>
      <c r="V89" s="2031"/>
      <c r="W89" s="2035"/>
      <c r="X89" s="2035"/>
      <c r="Y89" s="2035"/>
      <c r="Z89" s="2035"/>
    </row>
    <row r="90" spans="1:26" s="1313" customFormat="1" ht="14.25">
      <c r="A90" s="380" t="s">
        <v>1825</v>
      </c>
      <c r="B90" s="381" t="s">
        <v>439</v>
      </c>
      <c r="C90" s="384">
        <f ca="1">ROUND(D63/(1+'数据-取费表'!C42),0)</f>
        <v>13916</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1831</v>
      </c>
      <c r="B91" s="347" t="s">
        <v>440</v>
      </c>
      <c r="C91" s="384">
        <f ca="1">C92+C96</f>
        <v>2644</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1833</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1834</v>
      </c>
      <c r="B94" s="399" t="s">
        <v>446</v>
      </c>
      <c r="C94" s="377">
        <f>IF(F93="购房发票",ROUND(C93*H93*5%,0),0)</f>
        <v>500</v>
      </c>
      <c r="D94" s="400">
        <v>0.05</v>
      </c>
      <c r="E94" s="3389" t="s">
        <v>447</v>
      </c>
      <c r="F94" s="3390"/>
      <c r="G94" s="3390"/>
      <c r="H94" s="3391"/>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1836</v>
      </c>
      <c r="B96" s="375" t="s">
        <v>450</v>
      </c>
      <c r="C96" s="404">
        <f ca="1">ROUND(D63*D96/(1+'数据-取费表'!C42),0)</f>
        <v>83</v>
      </c>
      <c r="D96" s="405">
        <f>'数据-取费表'!B43</f>
        <v>6.000000000000001E-3</v>
      </c>
      <c r="E96" s="3379" t="s">
        <v>2429</v>
      </c>
      <c r="F96" s="3380"/>
      <c r="G96" s="3380"/>
      <c r="H96" s="338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1837</v>
      </c>
      <c r="B97" s="381" t="s">
        <v>451</v>
      </c>
      <c r="C97" s="384">
        <f ca="1">C90-C91</f>
        <v>11272</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1838</v>
      </c>
      <c r="B98" s="381" t="s">
        <v>452</v>
      </c>
      <c r="C98" s="406">
        <f ca="1">IF(C97&lt;=0,0,C97/C91)</f>
        <v>4.2632375189107412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1839</v>
      </c>
      <c r="B99" s="386" t="s">
        <v>453</v>
      </c>
      <c r="C99" s="407">
        <f ca="1">ROUND(IF(C97&lt;=0,0,IF(C98&gt;=200%,C97*60%-C91*35%,IF(C98&gt;=100%,C97*50%-C91*15%,IF(C98&gt;=50%,C97*40%-C91*5%,IF(C98&lt;50%,C97*30%,0))))),0)</f>
        <v>5838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92" t="s">
        <v>454</v>
      </c>
      <c r="B101" s="3393"/>
      <c r="C101" s="3393"/>
      <c r="D101" s="3393"/>
      <c r="E101" s="3393"/>
      <c r="F101" s="3393"/>
      <c r="G101" s="3393"/>
      <c r="H101" s="339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56" t="s">
        <v>428</v>
      </c>
      <c r="B102" s="3357"/>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1825</v>
      </c>
      <c r="B103" s="381" t="s">
        <v>439</v>
      </c>
      <c r="C103" s="384">
        <f ca="1">ROUND(D63/(1+'数据-取费表'!C42),0)</f>
        <v>13916</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1831</v>
      </c>
      <c r="B104" s="347" t="s">
        <v>440</v>
      </c>
      <c r="C104" s="384">
        <f ca="1">IF(H106="仅含出让金",C105+C108+C109+C110+C111+C112,C105+C109+C110+C111+C112)</f>
        <v>773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1832</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1833</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1840</v>
      </c>
      <c r="B109" s="375" t="s">
        <v>461</v>
      </c>
      <c r="C109" s="404">
        <f>IF(H109="——",IF(F1="现房",'剩余法-现房'!C18,'剩余法-待开发'!C18),I109)</f>
        <v>55</v>
      </c>
      <c r="D109" s="405"/>
      <c r="E109" s="3382" t="s">
        <v>462</v>
      </c>
      <c r="F109" s="3380"/>
      <c r="G109" s="3380"/>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1841</v>
      </c>
      <c r="B110" s="375" t="s">
        <v>463</v>
      </c>
      <c r="C110" s="404">
        <f>ROUND((C105+C108+C109)*D110,0)</f>
        <v>63</v>
      </c>
      <c r="D110" s="405">
        <v>0.1</v>
      </c>
      <c r="E110" s="3382" t="s">
        <v>464</v>
      </c>
      <c r="F110" s="3380"/>
      <c r="G110" s="3380"/>
      <c r="H110" s="3381"/>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1842</v>
      </c>
      <c r="B111" s="375" t="s">
        <v>450</v>
      </c>
      <c r="C111" s="404">
        <f ca="1">ROUND(D63*D111/(1+'数据-取费表'!C42),0)</f>
        <v>83</v>
      </c>
      <c r="D111" s="405">
        <f>'数据-取费表'!B43</f>
        <v>6.000000000000001E-3</v>
      </c>
      <c r="E111" s="3379" t="s">
        <v>2429</v>
      </c>
      <c r="F111" s="3380"/>
      <c r="G111" s="3380"/>
      <c r="H111" s="3381"/>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1843</v>
      </c>
      <c r="B112" s="375" t="s">
        <v>465</v>
      </c>
      <c r="C112" s="404">
        <f>ROUND(C108*D112,0)</f>
        <v>0</v>
      </c>
      <c r="D112" s="405">
        <v>0.2</v>
      </c>
      <c r="E112" s="3382" t="s">
        <v>2454</v>
      </c>
      <c r="F112" s="3380"/>
      <c r="G112" s="3380"/>
      <c r="H112" s="3381"/>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1837</v>
      </c>
      <c r="B113" s="381" t="s">
        <v>451</v>
      </c>
      <c r="C113" s="384">
        <f ca="1">ROUND(C103-C104,0)</f>
        <v>13143</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1838</v>
      </c>
      <c r="B114" s="381" t="s">
        <v>452</v>
      </c>
      <c r="C114" s="406">
        <f ca="1">IF(C113&lt;=0,0,C113/C104)</f>
        <v>17.002587322121602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1839</v>
      </c>
      <c r="B115" s="386" t="s">
        <v>453</v>
      </c>
      <c r="C115" s="407">
        <f ca="1">ROUND(IF(C113&lt;=0,0,IF(C114&gt;=200%,C113*60%-C104*35%,IF(C114&gt;=100%,C113*50%-C104*15%,IF(C114&gt;=50%,C113*40%-C104*5%,IF(C114&lt;50%,C113*30%,0))))),0)</f>
        <v>7615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I40" sqref="I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13385</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1686</v>
      </c>
      <c r="B3" s="509">
        <f>ROUND(B2*10000/'数据-汇总表'!E3,0)</f>
        <v>1133</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2203</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147</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522</v>
      </c>
      <c r="B6" s="512"/>
      <c r="C6" s="3437" t="s">
        <v>523</v>
      </c>
      <c r="D6" s="3438"/>
      <c r="E6" s="3437" t="s">
        <v>524</v>
      </c>
      <c r="F6" s="3438"/>
      <c r="G6" s="3437" t="s">
        <v>525</v>
      </c>
      <c r="H6" s="3438"/>
      <c r="I6" s="3437" t="s">
        <v>526</v>
      </c>
      <c r="J6" s="3438"/>
      <c r="K6" s="513" t="s">
        <v>527</v>
      </c>
      <c r="L6" s="2131"/>
      <c r="M6" s="2130"/>
      <c r="N6" s="2130"/>
      <c r="O6" s="2132"/>
      <c r="P6" s="3439" t="s">
        <v>528</v>
      </c>
      <c r="Q6" s="3440"/>
      <c r="R6" s="3425" t="s">
        <v>524</v>
      </c>
      <c r="S6" s="3426"/>
      <c r="T6" s="3425" t="s">
        <v>525</v>
      </c>
      <c r="U6" s="3426"/>
      <c r="V6" s="3445" t="s">
        <v>526</v>
      </c>
      <c r="W6" s="3445"/>
      <c r="X6" s="1566"/>
      <c r="Y6" s="3425" t="s">
        <v>528</v>
      </c>
      <c r="Z6" s="3426"/>
      <c r="AA6" s="3420" t="s">
        <v>524</v>
      </c>
      <c r="AB6" s="3421" t="s">
        <v>525</v>
      </c>
      <c r="AC6" s="3420" t="s">
        <v>526</v>
      </c>
    </row>
    <row r="7" spans="1:30" ht="20.25">
      <c r="A7" s="514"/>
      <c r="B7" s="515"/>
      <c r="C7" s="3450" t="s">
        <v>2931</v>
      </c>
      <c r="D7" s="3449"/>
      <c r="E7" s="3448" t="s">
        <v>3452</v>
      </c>
      <c r="F7" s="3449"/>
      <c r="G7" s="3448" t="s">
        <v>3457</v>
      </c>
      <c r="H7" s="3449"/>
      <c r="I7" s="3448" t="s">
        <v>3458</v>
      </c>
      <c r="J7" s="3449"/>
      <c r="K7" s="513"/>
      <c r="L7" s="2131"/>
      <c r="M7" s="2130"/>
      <c r="N7" s="2130"/>
      <c r="O7" s="2132"/>
      <c r="P7" s="3441"/>
      <c r="Q7" s="3442"/>
      <c r="R7" s="3427"/>
      <c r="S7" s="3428"/>
      <c r="T7" s="3427"/>
      <c r="U7" s="3428"/>
      <c r="V7" s="3445"/>
      <c r="W7" s="3445"/>
      <c r="X7" s="1566"/>
      <c r="Y7" s="3427"/>
      <c r="Z7" s="3428"/>
      <c r="AA7" s="3421"/>
      <c r="AB7" s="3421"/>
      <c r="AC7" s="3421"/>
    </row>
    <row r="8" spans="1:30" ht="21" thickBot="1">
      <c r="A8" s="514"/>
      <c r="B8" s="515"/>
      <c r="C8" s="3451" t="s">
        <v>2935</v>
      </c>
      <c r="D8" s="3452"/>
      <c r="E8" s="3453" t="s">
        <v>3453</v>
      </c>
      <c r="F8" s="3452"/>
      <c r="G8" s="3446" t="s">
        <v>3455</v>
      </c>
      <c r="H8" s="3447"/>
      <c r="I8" s="3446" t="s">
        <v>3456</v>
      </c>
      <c r="J8" s="3447"/>
      <c r="K8" s="513" t="s">
        <v>529</v>
      </c>
      <c r="L8" s="2131"/>
      <c r="M8" s="2130"/>
      <c r="N8" s="2130"/>
      <c r="O8" s="2132"/>
      <c r="P8" s="3443"/>
      <c r="Q8" s="3444"/>
      <c r="R8" s="3427"/>
      <c r="S8" s="3428"/>
      <c r="T8" s="3429"/>
      <c r="U8" s="3430"/>
      <c r="V8" s="3445"/>
      <c r="W8" s="3445"/>
      <c r="X8" s="1566"/>
      <c r="Y8" s="3429"/>
      <c r="Z8" s="3430"/>
      <c r="AA8" s="3422"/>
      <c r="AB8" s="3422"/>
      <c r="AC8" s="3422"/>
    </row>
    <row r="9" spans="1:30" s="1219" customFormat="1" ht="21" thickBot="1">
      <c r="A9" s="2936"/>
      <c r="B9" s="2943" t="s">
        <v>530</v>
      </c>
      <c r="C9" s="2935">
        <f>'数据-取费表'!B2</f>
        <v>43104</v>
      </c>
      <c r="D9" s="519">
        <v>100</v>
      </c>
      <c r="E9" s="520">
        <v>42977</v>
      </c>
      <c r="F9" s="521">
        <f>SUMIF(72:72,YEAR(E9)&amp;"-"&amp;INT((MONTH(E9)+2)/3),73:73)</f>
        <v>99</v>
      </c>
      <c r="G9" s="522">
        <v>43096</v>
      </c>
      <c r="H9" s="519">
        <f>SUMIF(72:72,YEAR(G9)&amp;"-"&amp;INT((MONTH(G9)+2)/3),73:73)</f>
        <v>99.5</v>
      </c>
      <c r="I9" s="522">
        <v>43096</v>
      </c>
      <c r="J9" s="519">
        <f>SUMIF(72:72,YEAR(I9)&amp;"-"&amp;INT((MONTH(I9)+2)/3),73:73)</f>
        <v>99.5</v>
      </c>
      <c r="K9" s="523"/>
      <c r="L9" s="2133"/>
      <c r="M9" s="2130"/>
      <c r="N9" s="2130"/>
      <c r="O9" s="2134"/>
      <c r="P9" s="3423" t="s">
        <v>531</v>
      </c>
      <c r="Q9" s="3432"/>
      <c r="R9" s="1567" t="s">
        <v>8</v>
      </c>
      <c r="S9" s="1568">
        <f t="shared" ref="S9:S17" si="0">F9</f>
        <v>99</v>
      </c>
      <c r="T9" s="1567" t="s">
        <v>8</v>
      </c>
      <c r="U9" s="1568">
        <f t="shared" ref="U9:U17" si="1">H9</f>
        <v>99.5</v>
      </c>
      <c r="V9" s="1567" t="s">
        <v>8</v>
      </c>
      <c r="W9" s="1568">
        <f t="shared" ref="W9:W17" si="2">J9</f>
        <v>99.5</v>
      </c>
      <c r="X9" s="1569"/>
      <c r="Y9" s="3423" t="s">
        <v>531</v>
      </c>
      <c r="Z9" s="3424"/>
      <c r="AA9" s="1570">
        <f>D9/F9</f>
        <v>1.0101010101010102</v>
      </c>
      <c r="AB9" s="1570">
        <f>D9/H9</f>
        <v>1.0050251256281406</v>
      </c>
      <c r="AC9" s="1570">
        <f>D9/J9</f>
        <v>1.0050251256281406</v>
      </c>
    </row>
    <row r="10" spans="1:30" s="1219" customFormat="1" ht="21" thickBot="1">
      <c r="A10" s="2937"/>
      <c r="B10" s="2944" t="s">
        <v>532</v>
      </c>
      <c r="C10" s="855" t="s">
        <v>533</v>
      </c>
      <c r="D10" s="519">
        <v>100</v>
      </c>
      <c r="E10" s="524" t="s">
        <v>3147</v>
      </c>
      <c r="F10" s="521">
        <f>SUMIF(75:75,E10,76:76)-SUMIF(75:75,C10,76:76)+100</f>
        <v>100</v>
      </c>
      <c r="G10" s="524" t="s">
        <v>3147</v>
      </c>
      <c r="H10" s="519">
        <f>SUMIF(75:75,G10,76:76)-SUMIF(75:75,C10,76:76)+100</f>
        <v>100</v>
      </c>
      <c r="I10" s="524" t="s">
        <v>3147</v>
      </c>
      <c r="J10" s="519">
        <f>SUMIF(75:75,I10,76:76)-SUMIF(75:75,C10,76:76)+100</f>
        <v>100</v>
      </c>
      <c r="K10" s="523"/>
      <c r="L10" s="2133"/>
      <c r="M10" s="2130"/>
      <c r="N10" s="2130"/>
      <c r="O10" s="2134"/>
      <c r="P10" s="3423" t="s">
        <v>534</v>
      </c>
      <c r="Q10" s="3424"/>
      <c r="R10" s="1567" t="s">
        <v>8</v>
      </c>
      <c r="S10" s="1568">
        <f t="shared" si="0"/>
        <v>100</v>
      </c>
      <c r="T10" s="1567" t="s">
        <v>8</v>
      </c>
      <c r="U10" s="1568">
        <f t="shared" si="1"/>
        <v>100</v>
      </c>
      <c r="V10" s="1567" t="s">
        <v>8</v>
      </c>
      <c r="W10" s="1568">
        <f t="shared" si="2"/>
        <v>100</v>
      </c>
      <c r="X10" s="1569"/>
      <c r="Y10" s="3423" t="s">
        <v>534</v>
      </c>
      <c r="Z10" s="3424"/>
      <c r="AA10" s="1570">
        <f t="shared" ref="AA10:AA47" si="3">D10/F10</f>
        <v>1</v>
      </c>
      <c r="AB10" s="1570">
        <f t="shared" ref="AB10:AB47" si="4">D10/H10</f>
        <v>1</v>
      </c>
      <c r="AC10" s="1570">
        <f t="shared" ref="AC10:AC47" si="5">D10/J10</f>
        <v>1</v>
      </c>
    </row>
    <row r="11" spans="1:30" s="1219" customFormat="1" ht="28.5">
      <c r="A11" s="2938"/>
      <c r="B11" s="2945" t="s">
        <v>2761</v>
      </c>
      <c r="C11" s="2932" t="s">
        <v>3104</v>
      </c>
      <c r="D11" s="253">
        <v>100</v>
      </c>
      <c r="E11" s="525" t="s">
        <v>3148</v>
      </c>
      <c r="F11" s="253">
        <f>SUMIF(77:77,E11,78:78)-SUMIF(77:77,C11,78:78)+100</f>
        <v>100</v>
      </c>
      <c r="G11" s="525" t="s">
        <v>3148</v>
      </c>
      <c r="H11" s="253">
        <f>SUMIF(77:77,G11,78:78)-SUMIF(77:77,C11,78:78)+100</f>
        <v>100</v>
      </c>
      <c r="I11" s="525" t="s">
        <v>3148</v>
      </c>
      <c r="J11" s="253">
        <f>SUMIF(77:77,I11,78:78)-SUMIF(77:77,C11,78:78)+100</f>
        <v>100</v>
      </c>
      <c r="K11" s="523"/>
      <c r="L11" s="2133"/>
      <c r="M11" s="2130"/>
      <c r="N11" s="2130"/>
      <c r="O11" s="2135"/>
      <c r="P11" s="3431" t="s">
        <v>536</v>
      </c>
      <c r="Q11" s="1150" t="str">
        <f t="shared" ref="Q11:Q17" si="6">B11</f>
        <v>用途</v>
      </c>
      <c r="R11" s="1567" t="s">
        <v>8</v>
      </c>
      <c r="S11" s="1568">
        <f t="shared" si="0"/>
        <v>100</v>
      </c>
      <c r="T11" s="1567" t="s">
        <v>8</v>
      </c>
      <c r="U11" s="1568">
        <f t="shared" si="1"/>
        <v>100</v>
      </c>
      <c r="V11" s="1567" t="s">
        <v>8</v>
      </c>
      <c r="W11" s="1568">
        <f t="shared" si="2"/>
        <v>100</v>
      </c>
      <c r="X11" s="1569"/>
      <c r="Y11" s="3388" t="s">
        <v>537</v>
      </c>
      <c r="Z11" s="1149" t="str">
        <f t="shared" ref="Z11:Z17" si="7">Q11</f>
        <v>用途</v>
      </c>
      <c r="AA11" s="1570">
        <f t="shared" si="3"/>
        <v>1</v>
      </c>
      <c r="AB11" s="1570">
        <f t="shared" si="4"/>
        <v>1</v>
      </c>
      <c r="AC11" s="1570">
        <f t="shared" si="5"/>
        <v>1</v>
      </c>
    </row>
    <row r="12" spans="1:30" s="1337" customFormat="1" ht="28.5">
      <c r="A12" s="2939"/>
      <c r="B12" s="2944" t="s">
        <v>2762</v>
      </c>
      <c r="C12" s="909" t="str">
        <f>项目基本情况!D20</f>
        <v>住宅66.4年，商业36.4年</v>
      </c>
      <c r="D12" s="254">
        <v>100</v>
      </c>
      <c r="E12" s="528" t="s">
        <v>3149</v>
      </c>
      <c r="F12" s="254">
        <f>ROUND(100/'数据-取费表'!G16,0)</f>
        <v>101</v>
      </c>
      <c r="G12" s="529" t="s">
        <v>3149</v>
      </c>
      <c r="H12" s="254">
        <f>ROUND(100/'数据-取费表'!G16,0)</f>
        <v>101</v>
      </c>
      <c r="I12" s="529" t="s">
        <v>3149</v>
      </c>
      <c r="J12" s="254">
        <f>ROUND(100/'数据-取费表'!G16,0)</f>
        <v>101</v>
      </c>
      <c r="K12" s="530"/>
      <c r="L12" s="2136"/>
      <c r="M12" s="2130"/>
      <c r="N12" s="2130"/>
      <c r="O12" s="2137"/>
      <c r="P12" s="3431"/>
      <c r="Q12" s="1150" t="str">
        <f t="shared" si="6"/>
        <v>土地使用年限（年）</v>
      </c>
      <c r="R12" s="1567" t="s">
        <v>8</v>
      </c>
      <c r="S12" s="1568">
        <f t="shared" si="0"/>
        <v>101</v>
      </c>
      <c r="T12" s="1567" t="s">
        <v>8</v>
      </c>
      <c r="U12" s="1568">
        <f t="shared" si="1"/>
        <v>101</v>
      </c>
      <c r="V12" s="1567" t="s">
        <v>8</v>
      </c>
      <c r="W12" s="1568">
        <f t="shared" si="2"/>
        <v>101</v>
      </c>
      <c r="X12" s="1569"/>
      <c r="Y12" s="3388"/>
      <c r="Z12" s="1149" t="str">
        <f t="shared" si="7"/>
        <v>土地使用年限（年）</v>
      </c>
      <c r="AA12" s="1570">
        <f t="shared" si="3"/>
        <v>0.99009900990099009</v>
      </c>
      <c r="AB12" s="1570">
        <f t="shared" si="4"/>
        <v>0.99009900990099009</v>
      </c>
      <c r="AC12" s="1570">
        <f t="shared" si="5"/>
        <v>0.99009900990099009</v>
      </c>
    </row>
    <row r="13" spans="1:30" ht="20.25">
      <c r="A13" s="2940"/>
      <c r="B13" s="2944" t="s">
        <v>2763</v>
      </c>
      <c r="C13" s="533">
        <f>'数据-汇总表'!I3</f>
        <v>1.94</v>
      </c>
      <c r="D13" s="254">
        <v>100</v>
      </c>
      <c r="E13" s="532">
        <v>1.8</v>
      </c>
      <c r="F13" s="254">
        <f>LOOKUP(E13,82:82,83:83)-LOOKUP(C13,82:82,83:83)+100</f>
        <v>100</v>
      </c>
      <c r="G13" s="533">
        <v>2</v>
      </c>
      <c r="H13" s="254">
        <f>LOOKUP(G13,82:82,83:83)-LOOKUP(C13,82:82,83:83)+100</f>
        <v>100</v>
      </c>
      <c r="I13" s="532">
        <v>2</v>
      </c>
      <c r="J13" s="254">
        <f>LOOKUP(I13,82:82,83:83)-LOOKUP(C13,82:82,83:83)+100</f>
        <v>100</v>
      </c>
      <c r="K13" s="3219">
        <v>2</v>
      </c>
      <c r="L13" s="2138"/>
      <c r="M13" s="2130"/>
      <c r="N13" s="2130"/>
      <c r="O13" s="2139"/>
      <c r="P13" s="3431"/>
      <c r="Q13" s="1150" t="str">
        <f t="shared" si="6"/>
        <v>容积率</v>
      </c>
      <c r="R13" s="1567" t="s">
        <v>8</v>
      </c>
      <c r="S13" s="1568">
        <f t="shared" si="0"/>
        <v>100</v>
      </c>
      <c r="T13" s="1567" t="s">
        <v>8</v>
      </c>
      <c r="U13" s="1568">
        <f t="shared" si="1"/>
        <v>100</v>
      </c>
      <c r="V13" s="1567" t="s">
        <v>8</v>
      </c>
      <c r="W13" s="1568">
        <f t="shared" si="2"/>
        <v>100</v>
      </c>
      <c r="X13" s="1569"/>
      <c r="Y13" s="3388"/>
      <c r="Z13" s="1149" t="str">
        <f t="shared" si="7"/>
        <v>容积率</v>
      </c>
      <c r="AA13" s="1570">
        <f t="shared" si="3"/>
        <v>1</v>
      </c>
      <c r="AB13" s="1570">
        <f t="shared" si="4"/>
        <v>1</v>
      </c>
      <c r="AC13" s="1570">
        <f t="shared" si="5"/>
        <v>1</v>
      </c>
    </row>
    <row r="14" spans="1:30" s="1219" customFormat="1" ht="20.25" hidden="1">
      <c r="A14" s="2937"/>
      <c r="B14" s="2946" t="s">
        <v>2764</v>
      </c>
      <c r="C14" s="2933"/>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431"/>
      <c r="Q14" s="1150" t="str">
        <f t="shared" si="6"/>
        <v>配建</v>
      </c>
      <c r="R14" s="1567" t="s">
        <v>8</v>
      </c>
      <c r="S14" s="1568">
        <f t="shared" si="0"/>
        <v>100</v>
      </c>
      <c r="T14" s="1567" t="s">
        <v>8</v>
      </c>
      <c r="U14" s="1568">
        <f t="shared" si="1"/>
        <v>100</v>
      </c>
      <c r="V14" s="1567" t="s">
        <v>8</v>
      </c>
      <c r="W14" s="1568">
        <f t="shared" si="2"/>
        <v>100</v>
      </c>
      <c r="X14" s="1569"/>
      <c r="Y14" s="3388"/>
      <c r="Z14" s="1149" t="str">
        <f t="shared" si="7"/>
        <v>配建</v>
      </c>
      <c r="AA14" s="1570">
        <f>D14/F14</f>
        <v>1</v>
      </c>
      <c r="AB14" s="1570">
        <f>D14/H14</f>
        <v>1</v>
      </c>
      <c r="AC14" s="1570">
        <f>D14/J14</f>
        <v>1</v>
      </c>
    </row>
    <row r="15" spans="1:30" ht="27.75" thickBot="1">
      <c r="A15" s="2941"/>
      <c r="B15" s="3211" t="s">
        <v>3487</v>
      </c>
      <c r="C15" s="3212" t="s">
        <v>3215</v>
      </c>
      <c r="D15" s="539">
        <v>100</v>
      </c>
      <c r="E15" s="3213" t="s">
        <v>3220</v>
      </c>
      <c r="F15" s="254">
        <f>SUMIF(86:86,E15,87:87)-SUMIF(86:86,C15,87:87)+100</f>
        <v>100</v>
      </c>
      <c r="G15" s="3214" t="s">
        <v>3215</v>
      </c>
      <c r="H15" s="539">
        <f>SUMIF(86:86,G15,87:87)-SUMIF(86:86,C15,87:87)+100</f>
        <v>100</v>
      </c>
      <c r="I15" s="3214" t="s">
        <v>3220</v>
      </c>
      <c r="J15" s="539">
        <f>SUMIF(86:86,I15,87:87)-SUMIF(86:86,C15,87:87)+100</f>
        <v>100</v>
      </c>
      <c r="K15" s="530"/>
      <c r="L15" s="2140"/>
      <c r="M15" s="2130"/>
      <c r="N15" s="2130"/>
      <c r="O15" s="2139"/>
      <c r="P15" s="3431"/>
      <c r="Q15" s="1150" t="str">
        <f t="shared" si="6"/>
        <v>商业建筑面积配比</v>
      </c>
      <c r="R15" s="1567" t="s">
        <v>8</v>
      </c>
      <c r="S15" s="1568">
        <f t="shared" si="0"/>
        <v>100</v>
      </c>
      <c r="T15" s="1567" t="s">
        <v>8</v>
      </c>
      <c r="U15" s="1568">
        <f t="shared" si="1"/>
        <v>100</v>
      </c>
      <c r="V15" s="1567" t="s">
        <v>8</v>
      </c>
      <c r="W15" s="1568">
        <f t="shared" si="2"/>
        <v>100</v>
      </c>
      <c r="X15" s="1569"/>
      <c r="Y15" s="3388"/>
      <c r="Z15" s="1149" t="str">
        <f t="shared" si="7"/>
        <v>商业建筑面积配比</v>
      </c>
      <c r="AA15" s="1570">
        <f>D15/F15</f>
        <v>1</v>
      </c>
      <c r="AB15" s="1570">
        <f>D15/H15</f>
        <v>1</v>
      </c>
      <c r="AC15" s="1570">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31"/>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D16/F16</f>
        <v>1</v>
      </c>
      <c r="AB16" s="1570">
        <f>D16/H16</f>
        <v>1</v>
      </c>
      <c r="AC16" s="1570">
        <f>D16/J16</f>
        <v>1</v>
      </c>
    </row>
    <row r="17" spans="1:29" ht="99.75">
      <c r="A17" s="2934" t="s">
        <v>2759</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98</v>
      </c>
      <c r="G17" s="549"/>
      <c r="H17" s="548">
        <f>SUMIF(90:90,G18,91:91)-SUMIF(90:90,C18,91:91)+100</f>
        <v>100</v>
      </c>
      <c r="I17" s="551"/>
      <c r="J17" s="548">
        <f>SUMIF(90:90,I18,91:91)-SUMIF(90:90,C18,91:91)+100</f>
        <v>100</v>
      </c>
      <c r="K17" s="534">
        <v>2</v>
      </c>
      <c r="L17" s="2140"/>
      <c r="M17" s="2130"/>
      <c r="N17" s="2130"/>
      <c r="O17" s="2139"/>
      <c r="P17" s="3433" t="s">
        <v>541</v>
      </c>
      <c r="Q17" s="1571" t="str">
        <f t="shared" si="6"/>
        <v>居住社区成熟度</v>
      </c>
      <c r="R17" s="1572" t="s">
        <v>8</v>
      </c>
      <c r="S17" s="1573">
        <f t="shared" si="0"/>
        <v>98</v>
      </c>
      <c r="T17" s="1572" t="s">
        <v>8</v>
      </c>
      <c r="U17" s="1573">
        <f t="shared" si="1"/>
        <v>100</v>
      </c>
      <c r="V17" s="1572" t="s">
        <v>8</v>
      </c>
      <c r="W17" s="1573">
        <f t="shared" si="2"/>
        <v>100</v>
      </c>
      <c r="X17" s="1566"/>
      <c r="Y17" s="3433" t="s">
        <v>541</v>
      </c>
      <c r="Z17" s="1574" t="str">
        <f t="shared" si="7"/>
        <v>居住社区成熟度</v>
      </c>
      <c r="AA17" s="1575">
        <f t="shared" si="3"/>
        <v>1.0204081632653061</v>
      </c>
      <c r="AB17" s="1575">
        <f t="shared" si="4"/>
        <v>1</v>
      </c>
      <c r="AC17" s="1575">
        <f t="shared" si="5"/>
        <v>1</v>
      </c>
    </row>
    <row r="18" spans="1:29" ht="20.25">
      <c r="A18" s="531"/>
      <c r="B18" s="552"/>
      <c r="C18" s="553" t="s">
        <v>3150</v>
      </c>
      <c r="D18" s="556"/>
      <c r="E18" s="557" t="s">
        <v>3151</v>
      </c>
      <c r="F18" s="554"/>
      <c r="G18" s="555" t="s">
        <v>3150</v>
      </c>
      <c r="H18" s="558"/>
      <c r="I18" s="557" t="s">
        <v>3150</v>
      </c>
      <c r="J18" s="554"/>
      <c r="K18" s="530"/>
      <c r="L18" s="2140"/>
      <c r="M18" s="2130"/>
      <c r="N18" s="2130"/>
      <c r="O18" s="2139"/>
      <c r="P18" s="3434"/>
      <c r="Q18" s="1571"/>
      <c r="R18" s="1572"/>
      <c r="S18" s="1573"/>
      <c r="T18" s="1572"/>
      <c r="U18" s="1573"/>
      <c r="V18" s="1572"/>
      <c r="W18" s="1573"/>
      <c r="X18" s="1566"/>
      <c r="Y18" s="3434"/>
      <c r="Z18" s="1574"/>
      <c r="AA18" s="1575">
        <v>1</v>
      </c>
      <c r="AB18" s="1575">
        <v>1</v>
      </c>
      <c r="AC18" s="1575">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98</v>
      </c>
      <c r="G19" s="561"/>
      <c r="H19" s="564">
        <f>SUMIF(92:92,G20,93:93)-SUMIF(92:92,C20,93:93)+100</f>
        <v>100</v>
      </c>
      <c r="I19" s="563"/>
      <c r="J19" s="564">
        <f>SUMIF(92:92,I20,93:93)-SUMIF(92:92,C20,93:93)+100</f>
        <v>100</v>
      </c>
      <c r="K19" s="534">
        <v>2</v>
      </c>
      <c r="L19" s="2140"/>
      <c r="M19" s="2130"/>
      <c r="N19" s="2130"/>
      <c r="O19" s="2139"/>
      <c r="P19" s="3434"/>
      <c r="Q19" s="1571" t="str">
        <f>B19</f>
        <v>商业繁华度</v>
      </c>
      <c r="R19" s="1572" t="s">
        <v>8</v>
      </c>
      <c r="S19" s="1573">
        <f>F19</f>
        <v>98</v>
      </c>
      <c r="T19" s="1572" t="s">
        <v>8</v>
      </c>
      <c r="U19" s="1573">
        <f>H19</f>
        <v>100</v>
      </c>
      <c r="V19" s="1572" t="s">
        <v>8</v>
      </c>
      <c r="W19" s="1573">
        <f>J19</f>
        <v>100</v>
      </c>
      <c r="X19" s="1566"/>
      <c r="Y19" s="3434"/>
      <c r="Z19" s="1574" t="str">
        <f>Q19</f>
        <v>商业繁华度</v>
      </c>
      <c r="AA19" s="1575">
        <f t="shared" si="3"/>
        <v>1.0204081632653061</v>
      </c>
      <c r="AB19" s="1575">
        <f t="shared" si="4"/>
        <v>1</v>
      </c>
      <c r="AC19" s="1575">
        <f t="shared" si="5"/>
        <v>1</v>
      </c>
    </row>
    <row r="20" spans="1:29" ht="20.25">
      <c r="A20" s="531"/>
      <c r="B20" s="565"/>
      <c r="C20" s="566" t="s">
        <v>3150</v>
      </c>
      <c r="D20" s="562"/>
      <c r="E20" s="568" t="s">
        <v>3151</v>
      </c>
      <c r="F20" s="558"/>
      <c r="G20" s="567" t="s">
        <v>3150</v>
      </c>
      <c r="H20" s="554"/>
      <c r="I20" s="568" t="s">
        <v>3150</v>
      </c>
      <c r="J20" s="554"/>
      <c r="K20" s="530"/>
      <c r="L20" s="2140"/>
      <c r="M20" s="2130"/>
      <c r="N20" s="2130"/>
      <c r="O20" s="2139"/>
      <c r="P20" s="3434"/>
      <c r="Q20" s="1571"/>
      <c r="R20" s="1572"/>
      <c r="S20" s="1573"/>
      <c r="T20" s="1572"/>
      <c r="U20" s="1573"/>
      <c r="V20" s="1572"/>
      <c r="W20" s="1573"/>
      <c r="X20" s="1566"/>
      <c r="Y20" s="3434"/>
      <c r="Z20" s="1574"/>
      <c r="AA20" s="1575">
        <v>1</v>
      </c>
      <c r="AB20" s="1575">
        <v>1</v>
      </c>
      <c r="AC20" s="1575">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34"/>
      <c r="Q21" s="1571" t="str">
        <f>B21</f>
        <v>办公集聚程度</v>
      </c>
      <c r="R21" s="1572" t="s">
        <v>8</v>
      </c>
      <c r="S21" s="1573">
        <f>F21</f>
        <v>100</v>
      </c>
      <c r="T21" s="1572" t="s">
        <v>8</v>
      </c>
      <c r="U21" s="1573">
        <f>H21</f>
        <v>100</v>
      </c>
      <c r="V21" s="1572" t="s">
        <v>8</v>
      </c>
      <c r="W21" s="1573">
        <f>J21</f>
        <v>100</v>
      </c>
      <c r="X21" s="1566"/>
      <c r="Y21" s="343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34"/>
      <c r="Q22" s="1571"/>
      <c r="R22" s="1572"/>
      <c r="S22" s="1573"/>
      <c r="T22" s="1572"/>
      <c r="U22" s="1573"/>
      <c r="V22" s="1572"/>
      <c r="W22" s="1573"/>
      <c r="X22" s="1566"/>
      <c r="Y22" s="3434"/>
      <c r="Z22" s="1574"/>
      <c r="AA22" s="1575">
        <v>1</v>
      </c>
      <c r="AB22" s="1575">
        <v>1</v>
      </c>
      <c r="AC22" s="1575">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102</v>
      </c>
      <c r="I23" s="563"/>
      <c r="J23" s="558">
        <f>SUMIF(96:96,I24,97:97)-SUMIF(96:96,C24,97:97)+100</f>
        <v>102</v>
      </c>
      <c r="K23" s="534">
        <v>2</v>
      </c>
      <c r="L23" s="2140"/>
      <c r="M23" s="2130"/>
      <c r="N23" s="2130"/>
      <c r="O23" s="2139"/>
      <c r="P23" s="3434"/>
      <c r="Q23" s="1571" t="str">
        <f>B23</f>
        <v>交通便捷度</v>
      </c>
      <c r="R23" s="1572" t="s">
        <v>8</v>
      </c>
      <c r="S23" s="1573">
        <f>F23</f>
        <v>100</v>
      </c>
      <c r="T23" s="1572" t="s">
        <v>8</v>
      </c>
      <c r="U23" s="1573">
        <f>H23</f>
        <v>102</v>
      </c>
      <c r="V23" s="1572" t="s">
        <v>8</v>
      </c>
      <c r="W23" s="1573">
        <f>J23</f>
        <v>102</v>
      </c>
      <c r="X23" s="1566"/>
      <c r="Y23" s="3434"/>
      <c r="Z23" s="1574" t="str">
        <f>Q23</f>
        <v>交通便捷度</v>
      </c>
      <c r="AA23" s="1575">
        <f t="shared" si="3"/>
        <v>1</v>
      </c>
      <c r="AB23" s="1575">
        <f t="shared" si="4"/>
        <v>0.98039215686274506</v>
      </c>
      <c r="AC23" s="1575">
        <f t="shared" si="5"/>
        <v>0.98039215686274506</v>
      </c>
    </row>
    <row r="24" spans="1:29" ht="20.25">
      <c r="A24" s="531"/>
      <c r="B24" s="577"/>
      <c r="C24" s="553" t="s">
        <v>3150</v>
      </c>
      <c r="D24" s="556"/>
      <c r="E24" s="557" t="s">
        <v>3150</v>
      </c>
      <c r="F24" s="554"/>
      <c r="G24" s="555" t="s">
        <v>3152</v>
      </c>
      <c r="H24" s="554"/>
      <c r="I24" s="557" t="s">
        <v>3152</v>
      </c>
      <c r="J24" s="554"/>
      <c r="K24" s="530"/>
      <c r="L24" s="2140"/>
      <c r="M24" s="2130"/>
      <c r="N24" s="2130"/>
      <c r="O24" s="2139"/>
      <c r="P24" s="3434"/>
      <c r="Q24" s="1571"/>
      <c r="R24" s="1572"/>
      <c r="S24" s="1573"/>
      <c r="T24" s="1572"/>
      <c r="U24" s="1573"/>
      <c r="V24" s="1572"/>
      <c r="W24" s="1573"/>
      <c r="X24" s="1566"/>
      <c r="Y24" s="3434"/>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0"/>
      <c r="M25" s="2130"/>
      <c r="N25" s="2130"/>
      <c r="O25" s="2139"/>
      <c r="P25" s="3434"/>
      <c r="Q25" s="1571" t="str">
        <f t="shared" ref="Q25:Q39" si="8">B25</f>
        <v>区域土地利用方向</v>
      </c>
      <c r="R25" s="1572" t="s">
        <v>8</v>
      </c>
      <c r="S25" s="1573">
        <f>F25</f>
        <v>100</v>
      </c>
      <c r="T25" s="1572" t="s">
        <v>8</v>
      </c>
      <c r="U25" s="1573">
        <f>H25</f>
        <v>100</v>
      </c>
      <c r="V25" s="1572" t="s">
        <v>8</v>
      </c>
      <c r="W25" s="1573">
        <f>J25</f>
        <v>100</v>
      </c>
      <c r="X25" s="1566"/>
      <c r="Y25" s="3434"/>
      <c r="Z25" s="1574" t="str">
        <f>Q25</f>
        <v>区域土地利用方向</v>
      </c>
      <c r="AA25" s="1575">
        <f t="shared" si="3"/>
        <v>1</v>
      </c>
      <c r="AB25" s="1575">
        <f t="shared" si="4"/>
        <v>1</v>
      </c>
      <c r="AC25" s="1575">
        <f t="shared" si="5"/>
        <v>1</v>
      </c>
    </row>
    <row r="26" spans="1:29" ht="20.25">
      <c r="A26" s="514"/>
      <c r="B26" s="1006"/>
      <c r="C26" s="553" t="s">
        <v>3152</v>
      </c>
      <c r="D26" s="556"/>
      <c r="E26" s="557" t="s">
        <v>3152</v>
      </c>
      <c r="F26" s="554"/>
      <c r="G26" s="555" t="s">
        <v>3152</v>
      </c>
      <c r="H26" s="554"/>
      <c r="I26" s="557" t="s">
        <v>3152</v>
      </c>
      <c r="J26" s="554"/>
      <c r="K26" s="530"/>
      <c r="L26" s="2140"/>
      <c r="M26" s="2130"/>
      <c r="N26" s="2130"/>
      <c r="O26" s="2139"/>
      <c r="P26" s="3434"/>
      <c r="Q26" s="1571"/>
      <c r="R26" s="1572"/>
      <c r="S26" s="1573"/>
      <c r="T26" s="1572"/>
      <c r="U26" s="1573"/>
      <c r="V26" s="1572"/>
      <c r="W26" s="1573"/>
      <c r="X26" s="1566"/>
      <c r="Y26" s="3434"/>
      <c r="Z26" s="1574"/>
      <c r="AA26" s="1575"/>
      <c r="AB26" s="1575"/>
      <c r="AC26" s="1575"/>
    </row>
    <row r="27" spans="1:29" ht="57">
      <c r="A27" s="514"/>
      <c r="B27" s="577" t="s">
        <v>546</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40"/>
      <c r="M27" s="2130"/>
      <c r="N27" s="2130"/>
      <c r="O27" s="2139"/>
      <c r="P27" s="3434"/>
      <c r="Q27" s="1571" t="str">
        <f t="shared" si="8"/>
        <v>自然及人文环境状况</v>
      </c>
      <c r="R27" s="1572" t="s">
        <v>8</v>
      </c>
      <c r="S27" s="1573">
        <f>F27</f>
        <v>98</v>
      </c>
      <c r="T27" s="1572" t="s">
        <v>8</v>
      </c>
      <c r="U27" s="1573">
        <f>H27</f>
        <v>98</v>
      </c>
      <c r="V27" s="1572" t="s">
        <v>8</v>
      </c>
      <c r="W27" s="1573">
        <f>J27</f>
        <v>98</v>
      </c>
      <c r="X27" s="1566"/>
      <c r="Y27" s="3434"/>
      <c r="Z27" s="1574" t="str">
        <f>Q27</f>
        <v>自然及人文环境状况</v>
      </c>
      <c r="AA27" s="1575">
        <f t="shared" si="3"/>
        <v>1.0204081632653061</v>
      </c>
      <c r="AB27" s="1575">
        <f t="shared" si="4"/>
        <v>1.0204081632653061</v>
      </c>
      <c r="AC27" s="1575">
        <f t="shared" si="5"/>
        <v>1.0204081632653061</v>
      </c>
    </row>
    <row r="28" spans="1:29" ht="20.25">
      <c r="A28" s="514"/>
      <c r="B28" s="565"/>
      <c r="C28" s="553" t="s">
        <v>3153</v>
      </c>
      <c r="D28" s="556"/>
      <c r="E28" s="575" t="s">
        <v>3152</v>
      </c>
      <c r="F28" s="554"/>
      <c r="G28" s="553" t="s">
        <v>3152</v>
      </c>
      <c r="H28" s="554"/>
      <c r="I28" s="575" t="s">
        <v>3152</v>
      </c>
      <c r="J28" s="554"/>
      <c r="K28" s="530"/>
      <c r="L28" s="2140"/>
      <c r="M28" s="2130"/>
      <c r="N28" s="2130"/>
      <c r="O28" s="2139"/>
      <c r="P28" s="3434"/>
      <c r="Q28" s="1571"/>
      <c r="R28" s="1572"/>
      <c r="S28" s="1573"/>
      <c r="T28" s="1572"/>
      <c r="U28" s="1573"/>
      <c r="V28" s="1572"/>
      <c r="W28" s="1573"/>
      <c r="X28" s="1566"/>
      <c r="Y28" s="3434"/>
      <c r="Z28" s="1574"/>
      <c r="AA28" s="1575">
        <v>1</v>
      </c>
      <c r="AB28" s="1575">
        <v>1</v>
      </c>
      <c r="AC28" s="1575">
        <v>1</v>
      </c>
    </row>
    <row r="29" spans="1:29" s="1219" customFormat="1" ht="42.75">
      <c r="A29" s="576"/>
      <c r="B29" s="2613" t="s">
        <v>2551</v>
      </c>
      <c r="C29" s="572" t="str">
        <f>估价对象房地状况!C21</f>
        <v>估价对象所在区域公共配套设施齐备情况</v>
      </c>
      <c r="D29" s="562">
        <v>100</v>
      </c>
      <c r="E29" s="563"/>
      <c r="F29" s="558">
        <f>SUMIF(102:102,E30,103:103)-SUMIF(102:102,C30,103:103)+100</f>
        <v>98</v>
      </c>
      <c r="G29" s="561"/>
      <c r="H29" s="558">
        <f>SUMIF(102:102,G30,103:103)-SUMIF(102:102,C30,103:103)+100</f>
        <v>100</v>
      </c>
      <c r="I29" s="563"/>
      <c r="J29" s="558">
        <f>SUMIF(102:102,I30,103:103)-SUMIF(102:102,C30,103:103)+100</f>
        <v>100</v>
      </c>
      <c r="K29" s="534">
        <v>2</v>
      </c>
      <c r="L29" s="2133"/>
      <c r="M29" s="2130"/>
      <c r="N29" s="2130"/>
      <c r="O29" s="2135"/>
      <c r="P29" s="3434"/>
      <c r="Q29" s="1150" t="str">
        <f t="shared" si="8"/>
        <v>公共配套设施</v>
      </c>
      <c r="R29" s="1567" t="s">
        <v>8</v>
      </c>
      <c r="S29" s="1568">
        <f>F29</f>
        <v>98</v>
      </c>
      <c r="T29" s="1567" t="s">
        <v>8</v>
      </c>
      <c r="U29" s="1568">
        <f>H29</f>
        <v>100</v>
      </c>
      <c r="V29" s="1567" t="s">
        <v>8</v>
      </c>
      <c r="W29" s="1568">
        <f>J29</f>
        <v>100</v>
      </c>
      <c r="X29" s="1569"/>
      <c r="Y29" s="3434"/>
      <c r="Z29" s="1149" t="str">
        <f>Q29</f>
        <v>公共配套设施</v>
      </c>
      <c r="AA29" s="1575">
        <f>D29/F29</f>
        <v>1.0204081632653061</v>
      </c>
      <c r="AB29" s="1575">
        <f>D29/H29</f>
        <v>1</v>
      </c>
      <c r="AC29" s="1575">
        <f>D29/J29</f>
        <v>1</v>
      </c>
    </row>
    <row r="30" spans="1:29" s="1219" customFormat="1" ht="20.25">
      <c r="A30" s="576"/>
      <c r="B30" s="565"/>
      <c r="C30" s="578" t="s">
        <v>3150</v>
      </c>
      <c r="D30" s="556"/>
      <c r="E30" s="575" t="s">
        <v>3151</v>
      </c>
      <c r="F30" s="554"/>
      <c r="G30" s="553" t="s">
        <v>3150</v>
      </c>
      <c r="H30" s="554"/>
      <c r="I30" s="575" t="s">
        <v>3150</v>
      </c>
      <c r="J30" s="554"/>
      <c r="K30" s="530"/>
      <c r="L30" s="2133"/>
      <c r="M30" s="2130"/>
      <c r="N30" s="2130"/>
      <c r="O30" s="2135"/>
      <c r="P30" s="3434"/>
      <c r="Q30" s="1150"/>
      <c r="R30" s="1567"/>
      <c r="S30" s="1568"/>
      <c r="T30" s="1567"/>
      <c r="U30" s="1568"/>
      <c r="V30" s="1567"/>
      <c r="W30" s="1568"/>
      <c r="X30" s="1569"/>
      <c r="Y30" s="3434"/>
      <c r="Z30" s="1149"/>
      <c r="AA30" s="1575">
        <v>1</v>
      </c>
      <c r="AB30" s="1575">
        <v>1</v>
      </c>
      <c r="AC30" s="1575">
        <v>1</v>
      </c>
    </row>
    <row r="31" spans="1:29" s="1219" customFormat="1" ht="28.5">
      <c r="A31" s="576"/>
      <c r="B31" s="2613" t="s">
        <v>2552</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34"/>
      <c r="Q31" s="2600" t="str">
        <f t="shared" ref="Q31" si="9">B31</f>
        <v>基础设施水平</v>
      </c>
      <c r="R31" s="1567" t="s">
        <v>8</v>
      </c>
      <c r="S31" s="1568">
        <f>F31</f>
        <v>100</v>
      </c>
      <c r="T31" s="1567" t="s">
        <v>8</v>
      </c>
      <c r="U31" s="1568">
        <f>H31</f>
        <v>100</v>
      </c>
      <c r="V31" s="1567" t="s">
        <v>8</v>
      </c>
      <c r="W31" s="1568">
        <f>J31</f>
        <v>100</v>
      </c>
      <c r="X31" s="1569"/>
      <c r="Y31" s="3434"/>
      <c r="Z31" s="2597" t="str">
        <f>Q31</f>
        <v>基础设施水平</v>
      </c>
      <c r="AA31" s="1575">
        <f>D31/F31</f>
        <v>1</v>
      </c>
      <c r="AB31" s="1575">
        <f>D31/H31</f>
        <v>1</v>
      </c>
      <c r="AC31" s="1575">
        <f>D31/J31</f>
        <v>1</v>
      </c>
    </row>
    <row r="32" spans="1:29" s="1219" customFormat="1" ht="20.25">
      <c r="A32" s="576"/>
      <c r="B32" s="565"/>
      <c r="C32" s="578" t="s">
        <v>3173</v>
      </c>
      <c r="D32" s="556"/>
      <c r="E32" s="2614" t="s">
        <v>3173</v>
      </c>
      <c r="F32" s="554"/>
      <c r="G32" s="578" t="s">
        <v>3173</v>
      </c>
      <c r="H32" s="554"/>
      <c r="I32" s="578" t="s">
        <v>3173</v>
      </c>
      <c r="J32" s="554"/>
      <c r="K32" s="530"/>
      <c r="L32" s="2133"/>
      <c r="M32" s="2130"/>
      <c r="N32" s="2130"/>
      <c r="O32" s="2135"/>
      <c r="P32" s="3434"/>
      <c r="Q32" s="2600"/>
      <c r="R32" s="1567"/>
      <c r="S32" s="1568"/>
      <c r="T32" s="1567"/>
      <c r="U32" s="1568"/>
      <c r="V32" s="1567"/>
      <c r="W32" s="1568"/>
      <c r="X32" s="1569"/>
      <c r="Y32" s="3434"/>
      <c r="Z32" s="2597"/>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3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4"/>
      <c r="Z33" s="1574" t="str">
        <f t="shared" ref="Z33:Z47" si="13">Q33</f>
        <v>临街状况</v>
      </c>
      <c r="AA33" s="1575">
        <f t="shared" si="3"/>
        <v>1</v>
      </c>
      <c r="AB33" s="1575">
        <f t="shared" si="4"/>
        <v>1</v>
      </c>
      <c r="AC33" s="1575">
        <f t="shared" si="5"/>
        <v>1</v>
      </c>
    </row>
    <row r="34" spans="1:29" ht="27">
      <c r="A34" s="531"/>
      <c r="B34" s="577" t="s">
        <v>549</v>
      </c>
      <c r="C34" s="3206"/>
      <c r="D34" s="562">
        <v>100</v>
      </c>
      <c r="E34" s="563"/>
      <c r="F34" s="558">
        <f>SUMIF(108:108,E35,109:109)-SUMIF(108:108,C35,109:109)+100</f>
        <v>106</v>
      </c>
      <c r="G34" s="561"/>
      <c r="H34" s="558">
        <f>SUMIF(108:108,G35,109:109)-SUMIF(108:108,C35,109:109)+100</f>
        <v>106</v>
      </c>
      <c r="I34" s="563"/>
      <c r="J34" s="558">
        <f>SUMIF(108:108,I35,109:109)-SUMIF(108:108,C35,109:109)+100</f>
        <v>106</v>
      </c>
      <c r="K34" s="534">
        <v>2</v>
      </c>
      <c r="L34" s="2140"/>
      <c r="M34" s="2130"/>
      <c r="N34" s="2130"/>
      <c r="O34" s="2139"/>
      <c r="P34" s="3434"/>
      <c r="Q34" s="1571" t="str">
        <f t="shared" si="8"/>
        <v>毗邻道路的类型与等级</v>
      </c>
      <c r="R34" s="1572" t="s">
        <v>8</v>
      </c>
      <c r="S34" s="1573">
        <f t="shared" si="10"/>
        <v>106</v>
      </c>
      <c r="T34" s="1572" t="s">
        <v>8</v>
      </c>
      <c r="U34" s="1573">
        <f t="shared" si="11"/>
        <v>106</v>
      </c>
      <c r="V34" s="1572" t="s">
        <v>8</v>
      </c>
      <c r="W34" s="1573">
        <f t="shared" si="12"/>
        <v>106</v>
      </c>
      <c r="X34" s="1566"/>
      <c r="Y34" s="3434"/>
      <c r="Z34" s="1574" t="str">
        <f t="shared" si="13"/>
        <v>毗邻道路的类型与等级</v>
      </c>
      <c r="AA34" s="1575">
        <f t="shared" si="3"/>
        <v>0.94339622641509435</v>
      </c>
      <c r="AB34" s="1575">
        <f t="shared" si="4"/>
        <v>0.94339622641509435</v>
      </c>
      <c r="AC34" s="1575">
        <f t="shared" si="5"/>
        <v>0.94339622641509435</v>
      </c>
    </row>
    <row r="35" spans="1:29" ht="21" thickBot="1">
      <c r="A35" s="531"/>
      <c r="B35" s="565"/>
      <c r="C35" s="553" t="s">
        <v>3160</v>
      </c>
      <c r="D35" s="556"/>
      <c r="E35" s="575" t="s">
        <v>3156</v>
      </c>
      <c r="F35" s="554"/>
      <c r="G35" s="553" t="s">
        <v>3156</v>
      </c>
      <c r="H35" s="554"/>
      <c r="I35" s="575" t="s">
        <v>3156</v>
      </c>
      <c r="J35" s="554"/>
      <c r="K35" s="580"/>
      <c r="L35" s="2140"/>
      <c r="M35" s="2130"/>
      <c r="N35" s="2130"/>
      <c r="O35" s="2139"/>
      <c r="P35" s="3434"/>
      <c r="Q35" s="1571"/>
      <c r="R35" s="1572"/>
      <c r="S35" s="1573"/>
      <c r="T35" s="1572"/>
      <c r="U35" s="1573"/>
      <c r="V35" s="1572"/>
      <c r="W35" s="1573"/>
      <c r="X35" s="1566"/>
      <c r="Y35" s="3434"/>
      <c r="Z35" s="1574"/>
      <c r="AA35" s="1575">
        <v>1</v>
      </c>
      <c r="AB35" s="1575">
        <v>1</v>
      </c>
      <c r="AC35" s="1575">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4"/>
      <c r="Q36" s="1571" t="str">
        <f t="shared" si="8"/>
        <v>土地级别</v>
      </c>
      <c r="R36" s="1572" t="s">
        <v>8</v>
      </c>
      <c r="S36" s="1573">
        <f t="shared" si="10"/>
        <v>100</v>
      </c>
      <c r="T36" s="1572" t="s">
        <v>8</v>
      </c>
      <c r="U36" s="1573">
        <f t="shared" si="11"/>
        <v>100</v>
      </c>
      <c r="V36" s="1572" t="s">
        <v>8</v>
      </c>
      <c r="W36" s="1573">
        <f t="shared" si="12"/>
        <v>100</v>
      </c>
      <c r="X36" s="1566"/>
      <c r="Y36" s="343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4"/>
      <c r="Q37" s="1571">
        <f t="shared" si="8"/>
        <v>111</v>
      </c>
      <c r="R37" s="1572" t="s">
        <v>8</v>
      </c>
      <c r="S37" s="1573">
        <f t="shared" si="10"/>
        <v>100</v>
      </c>
      <c r="T37" s="1572" t="s">
        <v>8</v>
      </c>
      <c r="U37" s="1573">
        <f t="shared" si="11"/>
        <v>100</v>
      </c>
      <c r="V37" s="1572" t="s">
        <v>8</v>
      </c>
      <c r="W37" s="1573">
        <f t="shared" si="12"/>
        <v>100</v>
      </c>
      <c r="X37" s="1566"/>
      <c r="Y37" s="343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5" t="s">
        <v>551</v>
      </c>
      <c r="Q38" s="1571">
        <f t="shared" si="8"/>
        <v>111</v>
      </c>
      <c r="R38" s="1572" t="s">
        <v>8</v>
      </c>
      <c r="S38" s="1573">
        <f t="shared" si="10"/>
        <v>100</v>
      </c>
      <c r="T38" s="1572" t="s">
        <v>8</v>
      </c>
      <c r="U38" s="1573">
        <f t="shared" si="11"/>
        <v>100</v>
      </c>
      <c r="V38" s="1572" t="s">
        <v>8</v>
      </c>
      <c r="W38" s="1573">
        <f t="shared" si="12"/>
        <v>100</v>
      </c>
      <c r="X38" s="1566"/>
      <c r="Y38" s="3436" t="s">
        <v>551</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6"/>
      <c r="Q39" s="1571">
        <f t="shared" si="8"/>
        <v>111</v>
      </c>
      <c r="R39" s="1576" t="s">
        <v>8</v>
      </c>
      <c r="S39" s="1577">
        <f t="shared" si="10"/>
        <v>100</v>
      </c>
      <c r="T39" s="1576" t="s">
        <v>8</v>
      </c>
      <c r="U39" s="1577">
        <f t="shared" si="11"/>
        <v>100</v>
      </c>
      <c r="V39" s="1576" t="s">
        <v>8</v>
      </c>
      <c r="W39" s="1577">
        <f t="shared" si="12"/>
        <v>100</v>
      </c>
      <c r="X39" s="1578"/>
      <c r="Y39" s="3436"/>
      <c r="Z39" s="1579">
        <f t="shared" si="13"/>
        <v>111</v>
      </c>
      <c r="AA39" s="1575">
        <f t="shared" si="3"/>
        <v>1</v>
      </c>
      <c r="AB39" s="1575">
        <f t="shared" si="4"/>
        <v>1</v>
      </c>
      <c r="AC39" s="1575">
        <f t="shared" si="5"/>
        <v>1</v>
      </c>
    </row>
    <row r="40" spans="1:29" ht="20.25">
      <c r="A40" s="2931" t="s">
        <v>2760</v>
      </c>
      <c r="B40" s="594" t="s">
        <v>553</v>
      </c>
      <c r="C40" s="595">
        <f>'数据-基础表'!A3</f>
        <v>60759</v>
      </c>
      <c r="D40" s="596">
        <v>100</v>
      </c>
      <c r="E40" s="595">
        <v>8569</v>
      </c>
      <c r="F40" s="596">
        <f>LOOKUP(E40,119:119,120:120)-LOOKUP(C40,119:119,120:120)+100</f>
        <v>98</v>
      </c>
      <c r="G40" s="595">
        <v>16397.5</v>
      </c>
      <c r="H40" s="596">
        <f>LOOKUP(G40,119:119,120:120)-LOOKUP(C40,119:119,120:120)+100</f>
        <v>98</v>
      </c>
      <c r="I40" s="597">
        <v>9434.16</v>
      </c>
      <c r="J40" s="596">
        <f>LOOKUP(I40,119:119,120:120)-LOOKUP(C40,119:119,120:120)+100</f>
        <v>98</v>
      </c>
      <c r="K40" s="580"/>
      <c r="L40" s="2140"/>
      <c r="M40" s="2130"/>
      <c r="N40" s="2130"/>
      <c r="O40" s="2139"/>
      <c r="P40" s="3436"/>
      <c r="Q40" s="1571" t="str">
        <f>B40</f>
        <v>宗地面积</v>
      </c>
      <c r="R40" s="1572" t="s">
        <v>8</v>
      </c>
      <c r="S40" s="1573">
        <f t="shared" si="10"/>
        <v>98</v>
      </c>
      <c r="T40" s="1572" t="s">
        <v>8</v>
      </c>
      <c r="U40" s="1573">
        <f t="shared" si="11"/>
        <v>98</v>
      </c>
      <c r="V40" s="1572" t="s">
        <v>8</v>
      </c>
      <c r="W40" s="1573">
        <f t="shared" si="12"/>
        <v>98</v>
      </c>
      <c r="X40" s="1566"/>
      <c r="Y40" s="3436"/>
      <c r="Z40" s="1574" t="str">
        <f t="shared" si="13"/>
        <v>宗地面积</v>
      </c>
      <c r="AA40" s="1575">
        <f t="shared" si="3"/>
        <v>1.0204081632653061</v>
      </c>
      <c r="AB40" s="1575">
        <f t="shared" si="4"/>
        <v>1.0204081632653061</v>
      </c>
      <c r="AC40" s="1575">
        <f t="shared" si="5"/>
        <v>1.0204081632653061</v>
      </c>
    </row>
    <row r="41" spans="1:29" ht="20.25">
      <c r="A41" s="593"/>
      <c r="B41" s="526" t="s">
        <v>554</v>
      </c>
      <c r="C41" s="598" t="s">
        <v>3165</v>
      </c>
      <c r="D41" s="539">
        <v>100</v>
      </c>
      <c r="E41" s="598" t="s">
        <v>3165</v>
      </c>
      <c r="F41" s="539">
        <f>SUMIF(121:121,E41,122:122)-SUMIF(121:121,C41,122:122)+100</f>
        <v>100</v>
      </c>
      <c r="G41" s="598" t="s">
        <v>3163</v>
      </c>
      <c r="H41" s="539">
        <f>SUMIF(121:121,G41,122:122)-SUMIF(121:121,C41,122:122)+100</f>
        <v>102</v>
      </c>
      <c r="I41" s="598" t="s">
        <v>3163</v>
      </c>
      <c r="J41" s="539">
        <f>SUMIF(121:121,I41,122:122)-SUMIF(121:121,C41,122:122)+100</f>
        <v>102</v>
      </c>
      <c r="K41" s="583">
        <v>2</v>
      </c>
      <c r="L41" s="2140"/>
      <c r="M41" s="2130"/>
      <c r="N41" s="2130"/>
      <c r="O41" s="2139"/>
      <c r="P41" s="3436"/>
      <c r="Q41" s="1571" t="str">
        <f t="shared" ref="Q41:Q47" si="14">B41</f>
        <v>宗地形状</v>
      </c>
      <c r="R41" s="1572" t="s">
        <v>8</v>
      </c>
      <c r="S41" s="1573">
        <f t="shared" si="10"/>
        <v>100</v>
      </c>
      <c r="T41" s="1572" t="s">
        <v>8</v>
      </c>
      <c r="U41" s="1573">
        <f t="shared" si="11"/>
        <v>102</v>
      </c>
      <c r="V41" s="1572" t="s">
        <v>8</v>
      </c>
      <c r="W41" s="1573">
        <f t="shared" si="12"/>
        <v>102</v>
      </c>
      <c r="X41" s="1566"/>
      <c r="Y41" s="3436"/>
      <c r="Z41" s="1574" t="str">
        <f t="shared" si="13"/>
        <v>宗地形状</v>
      </c>
      <c r="AA41" s="1575">
        <f t="shared" si="3"/>
        <v>1</v>
      </c>
      <c r="AB41" s="1575">
        <f t="shared" si="4"/>
        <v>0.98039215686274506</v>
      </c>
      <c r="AC41" s="1575">
        <f t="shared" si="5"/>
        <v>0.98039215686274506</v>
      </c>
    </row>
    <row r="42" spans="1:29" ht="20.25">
      <c r="A42" s="593"/>
      <c r="B42" s="526" t="s">
        <v>555</v>
      </c>
      <c r="C42" s="598" t="s">
        <v>3150</v>
      </c>
      <c r="D42" s="539">
        <v>100</v>
      </c>
      <c r="E42" s="598" t="s">
        <v>3150</v>
      </c>
      <c r="F42" s="539">
        <f>SUMIF(123:123,E42,124:124)-SUMIF(123:123,C42,124:124)+100</f>
        <v>100</v>
      </c>
      <c r="G42" s="598" t="s">
        <v>3150</v>
      </c>
      <c r="H42" s="539">
        <f>SUMIF(123:123,G42,124:124)-SUMIF(123:123,C42,124:124)+100</f>
        <v>100</v>
      </c>
      <c r="I42" s="598" t="s">
        <v>3150</v>
      </c>
      <c r="J42" s="539">
        <f>SUMIF(123:123,I42,124:124)-SUMIF(123:123,C42,124:124)+100</f>
        <v>100</v>
      </c>
      <c r="K42" s="583">
        <v>2</v>
      </c>
      <c r="L42" s="2140"/>
      <c r="M42" s="2130"/>
      <c r="N42" s="2130"/>
      <c r="O42" s="2139"/>
      <c r="P42" s="3436"/>
      <c r="Q42" s="1571" t="str">
        <f t="shared" si="14"/>
        <v>临街宽度及深度</v>
      </c>
      <c r="R42" s="1572" t="s">
        <v>8</v>
      </c>
      <c r="S42" s="1573">
        <f t="shared" si="10"/>
        <v>100</v>
      </c>
      <c r="T42" s="1572" t="s">
        <v>8</v>
      </c>
      <c r="U42" s="1573">
        <f t="shared" si="11"/>
        <v>100</v>
      </c>
      <c r="V42" s="1572" t="s">
        <v>8</v>
      </c>
      <c r="W42" s="1573">
        <f t="shared" si="12"/>
        <v>100</v>
      </c>
      <c r="X42" s="1566"/>
      <c r="Y42" s="3436"/>
      <c r="Z42" s="1574" t="str">
        <f t="shared" si="13"/>
        <v>临街宽度及深度</v>
      </c>
      <c r="AA42" s="1575">
        <f t="shared" si="3"/>
        <v>1</v>
      </c>
      <c r="AB42" s="1575">
        <f t="shared" si="4"/>
        <v>1</v>
      </c>
      <c r="AC42" s="1575">
        <f t="shared" si="5"/>
        <v>1</v>
      </c>
    </row>
    <row r="43" spans="1:29" s="1219" customFormat="1" ht="20.25">
      <c r="A43" s="599"/>
      <c r="B43" s="1893" t="s">
        <v>2425</v>
      </c>
      <c r="C43" s="600" t="s">
        <v>3177</v>
      </c>
      <c r="D43" s="254">
        <v>100</v>
      </c>
      <c r="E43" s="600" t="s">
        <v>3177</v>
      </c>
      <c r="F43" s="539">
        <f>SUMIF(125:125,E43,126:126)-SUMIF(125:125,C43,126:126)+100</f>
        <v>100</v>
      </c>
      <c r="G43" s="600" t="s">
        <v>3177</v>
      </c>
      <c r="H43" s="539">
        <f>SUMIF(125:125,G43,126:126)-SUMIF(125:125,C43,126:126)+100</f>
        <v>100</v>
      </c>
      <c r="I43" s="600" t="s">
        <v>3177</v>
      </c>
      <c r="J43" s="539">
        <f>SUMIF(125:125,I43,126:126)-SUMIF(125:125,C43,126:126)+100</f>
        <v>100</v>
      </c>
      <c r="K43" s="583">
        <v>1</v>
      </c>
      <c r="L43" s="2133"/>
      <c r="M43" s="2130"/>
      <c r="N43" s="2130"/>
      <c r="O43" s="2135"/>
      <c r="P43" s="3436"/>
      <c r="Q43" s="1571" t="str">
        <f t="shared" si="14"/>
        <v>宗地开发程度</v>
      </c>
      <c r="R43" s="1567" t="s">
        <v>8</v>
      </c>
      <c r="S43" s="1568">
        <f t="shared" si="10"/>
        <v>100</v>
      </c>
      <c r="T43" s="1567" t="s">
        <v>8</v>
      </c>
      <c r="U43" s="1568">
        <f t="shared" si="11"/>
        <v>100</v>
      </c>
      <c r="V43" s="1567" t="s">
        <v>8</v>
      </c>
      <c r="W43" s="1568">
        <f t="shared" si="12"/>
        <v>100</v>
      </c>
      <c r="X43" s="1569"/>
      <c r="Y43" s="3436"/>
      <c r="Z43" s="1149" t="str">
        <f t="shared" si="13"/>
        <v>宗地开发程度</v>
      </c>
      <c r="AA43" s="1570">
        <f t="shared" si="3"/>
        <v>1</v>
      </c>
      <c r="AB43" s="1570">
        <f t="shared" si="4"/>
        <v>1</v>
      </c>
      <c r="AC43" s="1570">
        <f t="shared" si="5"/>
        <v>1</v>
      </c>
    </row>
    <row r="44" spans="1:29" ht="21" thickBot="1">
      <c r="A44" s="593"/>
      <c r="B44" s="526" t="s">
        <v>556</v>
      </c>
      <c r="C44" s="598" t="s">
        <v>3150</v>
      </c>
      <c r="D44" s="539">
        <v>100</v>
      </c>
      <c r="E44" s="598" t="s">
        <v>3150</v>
      </c>
      <c r="F44" s="539">
        <f>SUMIF(127:127,E44,128:128)-SUMIF(127:127,C44,128:128)+100</f>
        <v>100</v>
      </c>
      <c r="G44" s="598" t="s">
        <v>3150</v>
      </c>
      <c r="H44" s="539">
        <f>SUMIF(127:127,G44,128:128)-SUMIF(127:127,C44,128:128)+100</f>
        <v>100</v>
      </c>
      <c r="I44" s="598" t="s">
        <v>3150</v>
      </c>
      <c r="J44" s="539">
        <f>SUMIF(127:127,I44,128:128)-SUMIF(127:127,C44,128:128)+100</f>
        <v>100</v>
      </c>
      <c r="K44" s="583">
        <v>2</v>
      </c>
      <c r="L44" s="2140"/>
      <c r="M44" s="2130"/>
      <c r="N44" s="2130"/>
      <c r="O44" s="2139"/>
      <c r="P44" s="3436" t="s">
        <v>551</v>
      </c>
      <c r="Q44" s="1571" t="str">
        <f t="shared" si="14"/>
        <v>工程地质条件</v>
      </c>
      <c r="R44" s="1572" t="s">
        <v>8</v>
      </c>
      <c r="S44" s="1573">
        <f t="shared" si="10"/>
        <v>100</v>
      </c>
      <c r="T44" s="1572" t="s">
        <v>8</v>
      </c>
      <c r="U44" s="1573">
        <f t="shared" si="11"/>
        <v>100</v>
      </c>
      <c r="V44" s="1572" t="s">
        <v>8</v>
      </c>
      <c r="W44" s="1573">
        <f t="shared" si="12"/>
        <v>100</v>
      </c>
      <c r="X44" s="1566"/>
      <c r="Y44" s="3436" t="s">
        <v>551</v>
      </c>
      <c r="Z44" s="1574" t="str">
        <f t="shared" si="13"/>
        <v>工程地质条件</v>
      </c>
      <c r="AA44" s="1575">
        <f t="shared" si="3"/>
        <v>1</v>
      </c>
      <c r="AB44" s="1575">
        <f t="shared" si="4"/>
        <v>1</v>
      </c>
      <c r="AC44" s="1575">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6"/>
      <c r="Q45" s="1571">
        <f t="shared" si="14"/>
        <v>111</v>
      </c>
      <c r="R45" s="1572" t="s">
        <v>8</v>
      </c>
      <c r="S45" s="1573">
        <f t="shared" si="10"/>
        <v>100</v>
      </c>
      <c r="T45" s="1572" t="s">
        <v>8</v>
      </c>
      <c r="U45" s="1573">
        <f t="shared" si="11"/>
        <v>100</v>
      </c>
      <c r="V45" s="1572" t="s">
        <v>8</v>
      </c>
      <c r="W45" s="1573">
        <f t="shared" si="12"/>
        <v>100</v>
      </c>
      <c r="X45" s="1566"/>
      <c r="Y45" s="343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6"/>
      <c r="Q46" s="1571">
        <f t="shared" si="14"/>
        <v>111</v>
      </c>
      <c r="R46" s="1572" t="s">
        <v>8</v>
      </c>
      <c r="S46" s="1573">
        <f t="shared" si="10"/>
        <v>100</v>
      </c>
      <c r="T46" s="1572" t="s">
        <v>8</v>
      </c>
      <c r="U46" s="1573">
        <f t="shared" si="11"/>
        <v>100</v>
      </c>
      <c r="V46" s="1572" t="s">
        <v>8</v>
      </c>
      <c r="W46" s="1573">
        <f t="shared" si="12"/>
        <v>100</v>
      </c>
      <c r="X46" s="1566"/>
      <c r="Y46" s="343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6"/>
      <c r="Q47" s="1571">
        <f t="shared" si="14"/>
        <v>111</v>
      </c>
      <c r="R47" s="1576" t="s">
        <v>8</v>
      </c>
      <c r="S47" s="1577">
        <f t="shared" si="10"/>
        <v>100</v>
      </c>
      <c r="T47" s="1576" t="s">
        <v>8</v>
      </c>
      <c r="U47" s="1577">
        <f t="shared" si="11"/>
        <v>100</v>
      </c>
      <c r="V47" s="1576" t="s">
        <v>8</v>
      </c>
      <c r="W47" s="1577">
        <f t="shared" si="12"/>
        <v>100</v>
      </c>
      <c r="X47" s="1578"/>
      <c r="Y47" s="3436"/>
      <c r="Z47" s="1579">
        <f t="shared" si="13"/>
        <v>111</v>
      </c>
      <c r="AA47" s="1575">
        <f t="shared" si="3"/>
        <v>1</v>
      </c>
      <c r="AB47" s="1575">
        <f t="shared" si="4"/>
        <v>1</v>
      </c>
      <c r="AC47" s="1575">
        <f t="shared" si="5"/>
        <v>1</v>
      </c>
    </row>
    <row r="48" spans="1:29" ht="20.25">
      <c r="A48" s="606" t="s">
        <v>557</v>
      </c>
      <c r="B48" s="607" t="s">
        <v>3179</v>
      </c>
      <c r="C48" s="608" t="s">
        <v>1</v>
      </c>
      <c r="D48" s="609"/>
      <c r="E48" s="610">
        <v>2028</v>
      </c>
      <c r="F48" s="611"/>
      <c r="G48" s="612">
        <v>2420</v>
      </c>
      <c r="H48" s="613"/>
      <c r="I48" s="610">
        <v>2360</v>
      </c>
      <c r="J48" s="613"/>
      <c r="K48" s="1339"/>
      <c r="L48" s="2142"/>
      <c r="M48" s="2130"/>
      <c r="N48" s="2130"/>
      <c r="O48" s="2143"/>
      <c r="P48" s="3431" t="str">
        <f>A48</f>
        <v>成交单价</v>
      </c>
      <c r="Q48" s="3431"/>
      <c r="R48" s="3445">
        <f>E48</f>
        <v>2028</v>
      </c>
      <c r="S48" s="3445"/>
      <c r="T48" s="3445">
        <f>G48</f>
        <v>2420</v>
      </c>
      <c r="U48" s="3445"/>
      <c r="V48" s="3445">
        <f>I48</f>
        <v>2360</v>
      </c>
      <c r="W48" s="3445"/>
      <c r="X48" s="1558"/>
      <c r="Y48" s="1580"/>
      <c r="Z48" s="1558"/>
      <c r="AA48" s="1558"/>
      <c r="AB48" s="1558"/>
      <c r="AC48" s="1558"/>
    </row>
    <row r="49" spans="1:29" ht="21" thickBot="1">
      <c r="A49" s="614" t="s">
        <v>2698</v>
      </c>
      <c r="B49" s="615"/>
      <c r="C49" s="616">
        <f>R50</f>
        <v>2203</v>
      </c>
      <c r="D49" s="617"/>
      <c r="E49" s="616">
        <f>R49</f>
        <v>2117</v>
      </c>
      <c r="F49" s="618"/>
      <c r="G49" s="619">
        <f>T49</f>
        <v>2274</v>
      </c>
      <c r="H49" s="617"/>
      <c r="I49" s="616">
        <f>V49</f>
        <v>2217</v>
      </c>
      <c r="J49" s="617"/>
      <c r="K49" s="1340"/>
      <c r="L49" s="2142"/>
      <c r="M49" s="2130"/>
      <c r="N49" s="2130"/>
      <c r="O49" s="2143"/>
      <c r="P49" s="3431" t="str">
        <f>A49</f>
        <v>比较价格（元/平方米）</v>
      </c>
      <c r="Q49" s="3431"/>
      <c r="R49" s="3457">
        <f>ROUND(PRODUCT(R48,AA9:AA47),0)</f>
        <v>2117</v>
      </c>
      <c r="S49" s="3457"/>
      <c r="T49" s="3457">
        <f>ROUND(PRODUCT(T48,AB9:AB47),0)</f>
        <v>2274</v>
      </c>
      <c r="U49" s="3457"/>
      <c r="V49" s="3457">
        <f>ROUND(PRODUCT(V48,AC9:AC47),0)</f>
        <v>2217</v>
      </c>
      <c r="W49" s="3457"/>
      <c r="X49" s="1558"/>
      <c r="Y49" s="1558"/>
      <c r="Z49" s="1558"/>
      <c r="AA49" s="1558"/>
      <c r="AB49" s="1558"/>
      <c r="AC49" s="1558"/>
    </row>
    <row r="50" spans="1:29" ht="21" thickBot="1">
      <c r="A50" s="620" t="s">
        <v>2937</v>
      </c>
      <c r="B50" s="621"/>
      <c r="C50" s="622">
        <f>R50</f>
        <v>2203</v>
      </c>
      <c r="D50" s="622"/>
      <c r="E50" s="622"/>
      <c r="F50" s="622"/>
      <c r="G50" s="622"/>
      <c r="H50" s="622"/>
      <c r="I50" s="622"/>
      <c r="J50" s="622"/>
      <c r="K50" s="1341"/>
      <c r="L50" s="2142"/>
      <c r="M50" s="2130"/>
      <c r="N50" s="2130"/>
      <c r="O50" s="2143"/>
      <c r="P50" s="3454" t="str">
        <f>A50</f>
        <v>估价对象XX用房的比较价格（楼面单价，元/平方米）</v>
      </c>
      <c r="Q50" s="3455"/>
      <c r="R50" s="3456">
        <f>ROUND(AVERAGE(R49:V49),0)</f>
        <v>2203</v>
      </c>
      <c r="S50" s="3456"/>
      <c r="T50" s="3456"/>
      <c r="U50" s="3456"/>
      <c r="V50" s="3456"/>
      <c r="W50" s="3456"/>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f>IF(E48&lt;E49,E49/E48-1,E48/E49-1)</f>
        <v>4.3885601577909217E-2</v>
      </c>
      <c r="F53" s="626" t="str">
        <f>IF(OR(E53&gt;=0.3,E53&lt;=-0.3),"超过30%","")</f>
        <v/>
      </c>
      <c r="G53" s="625">
        <f>IF(G48&lt;G49,G49/G48-1,G48/G49-1)</f>
        <v>6.4204045734388648E-2</v>
      </c>
      <c r="H53" s="626" t="str">
        <f>IF(OR(G53&gt;=0.3,G53&lt;=-0.3),"超过30%","")</f>
        <v/>
      </c>
      <c r="I53" s="625">
        <f>IF(I48&lt;I49,I49/I48-1,I48/I49-1)</f>
        <v>6.4501578709968532E-2</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f>IF(E49&lt;G49,G49/E49-1,E49/G49-1)</f>
        <v>7.4161549362305124E-2</v>
      </c>
      <c r="F54" s="626" t="str">
        <f>IF(OR(E54&gt;=0.2,E54&lt;=-0.2),"超过20%","")</f>
        <v/>
      </c>
      <c r="G54" s="625">
        <f>IF(G49&lt;I49,I49/G49-1,G49/I49-1)</f>
        <v>2.5710419485791558E-2</v>
      </c>
      <c r="H54" s="626" t="str">
        <f>IF(OR(G54&gt;=0.2,G54&lt;=-0.2),"超过20%","")</f>
        <v/>
      </c>
      <c r="I54" s="625">
        <f>IF(I49&lt;E49,E49/I49-1,I49/E49-1)</f>
        <v>4.7236655644780301E-2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560</v>
      </c>
      <c r="D55" s="627"/>
      <c r="E55" s="625">
        <f>IF(E48&lt;G48,G48/E48-1,E48/G48-1)</f>
        <v>0.19329388560157801</v>
      </c>
      <c r="F55" s="626" t="str">
        <f>IF(OR(E55&gt;=0.3,E55&lt;=-0.3),"超过30%","")</f>
        <v/>
      </c>
      <c r="G55" s="625">
        <f>IF(G48&lt;I48,I48/G48-1,G48/I48-1)</f>
        <v>2.5423728813559254E-2</v>
      </c>
      <c r="H55" s="626" t="str">
        <f>IF(OR(G55&gt;=0.3,G55&lt;=-0.3),"超过30%","")</f>
        <v/>
      </c>
      <c r="I55" s="625">
        <f>IF(I48&lt;E48,E48/I48-1,I48/E48-1)</f>
        <v>0.16370808678500981</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561</v>
      </c>
      <c r="B57" s="629" t="s">
        <v>562</v>
      </c>
      <c r="C57" s="1559" t="s">
        <v>1726</v>
      </c>
      <c r="D57" s="2225" t="s">
        <v>2295</v>
      </c>
      <c r="E57" s="630" t="s">
        <v>563</v>
      </c>
      <c r="F57" s="631" t="s">
        <v>564</v>
      </c>
      <c r="G57" s="3415" t="s">
        <v>2283</v>
      </c>
      <c r="H57" s="3416"/>
      <c r="I57" s="1554" t="s">
        <v>1724</v>
      </c>
      <c r="J57" s="1554" t="str">
        <f>项目基本情况!F41</f>
        <v>四川省峨眉山市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565</v>
      </c>
      <c r="B58" s="633">
        <f>C50</f>
        <v>2203</v>
      </c>
      <c r="C58" s="634">
        <v>1</v>
      </c>
      <c r="D58" s="2226">
        <v>1</v>
      </c>
      <c r="E58" s="634">
        <f>'数据-汇总表'!E8+'数据-汇总表'!E9</f>
        <v>118125.52</v>
      </c>
      <c r="F58" s="635">
        <f t="shared" ref="F58:F67" si="15">ROUND(B58*E58/10000,0)</f>
        <v>26023</v>
      </c>
      <c r="G58" s="3417"/>
      <c r="H58" s="3418"/>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566</v>
      </c>
      <c r="B59" s="637">
        <f>ROUND($C$50*C59*D59,0)</f>
        <v>0</v>
      </c>
      <c r="C59" s="377">
        <f t="shared" ref="C59:C67" si="16">IF($C$57="北京市系数",I59,J59)</f>
        <v>0</v>
      </c>
      <c r="D59" s="2227">
        <v>0.25</v>
      </c>
      <c r="E59" s="638">
        <v>0</v>
      </c>
      <c r="F59" s="635">
        <f t="shared" si="15"/>
        <v>0</v>
      </c>
      <c r="G59" s="3419"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567</v>
      </c>
      <c r="B60" s="637">
        <f t="shared" ref="B60:B67" si="17">ROUND($C$50*C60*D60,0)</f>
        <v>0</v>
      </c>
      <c r="C60" s="377">
        <f t="shared" si="16"/>
        <v>0</v>
      </c>
      <c r="D60" s="2227">
        <v>0.25</v>
      </c>
      <c r="E60" s="638">
        <v>0</v>
      </c>
      <c r="F60" s="635">
        <f t="shared" si="15"/>
        <v>0</v>
      </c>
      <c r="G60" s="3419"/>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568</v>
      </c>
      <c r="B61" s="637">
        <f t="shared" si="17"/>
        <v>0</v>
      </c>
      <c r="C61" s="377">
        <f t="shared" si="16"/>
        <v>0</v>
      </c>
      <c r="D61" s="2227">
        <v>0.25</v>
      </c>
      <c r="E61" s="638">
        <v>0</v>
      </c>
      <c r="F61" s="635">
        <f t="shared" si="15"/>
        <v>0</v>
      </c>
      <c r="G61" s="3419"/>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569</v>
      </c>
      <c r="B62" s="637">
        <f t="shared" si="17"/>
        <v>0</v>
      </c>
      <c r="C62" s="377">
        <f t="shared" si="16"/>
        <v>0</v>
      </c>
      <c r="D62" s="2227">
        <v>0.25</v>
      </c>
      <c r="E62" s="638">
        <v>0</v>
      </c>
      <c r="F62" s="635">
        <f t="shared" si="15"/>
        <v>0</v>
      </c>
      <c r="G62" s="3419"/>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2329</v>
      </c>
      <c r="B63" s="637">
        <f t="shared" si="17"/>
        <v>0</v>
      </c>
      <c r="C63" s="377">
        <f t="shared" si="16"/>
        <v>0</v>
      </c>
      <c r="D63" s="2227">
        <v>0.25</v>
      </c>
      <c r="E63" s="640">
        <f>'数据-汇总表'!E11</f>
        <v>0</v>
      </c>
      <c r="F63" s="635">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570</v>
      </c>
      <c r="B64" s="637">
        <f t="shared" si="17"/>
        <v>0</v>
      </c>
      <c r="C64" s="377">
        <f t="shared" si="16"/>
        <v>0</v>
      </c>
      <c r="D64" s="2227">
        <v>0.25</v>
      </c>
      <c r="E64" s="640">
        <f>'数据-汇总表'!E12</f>
        <v>0</v>
      </c>
      <c r="F64" s="635">
        <f t="shared" si="15"/>
        <v>0</v>
      </c>
      <c r="G64" s="1944" t="s">
        <v>1679</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571</v>
      </c>
      <c r="B65" s="637">
        <f t="shared" si="17"/>
        <v>0</v>
      </c>
      <c r="C65" s="377">
        <f t="shared" si="16"/>
        <v>0</v>
      </c>
      <c r="D65" s="2227">
        <v>0.25</v>
      </c>
      <c r="E65" s="640">
        <f>'数据-汇总表'!E13</f>
        <v>0</v>
      </c>
      <c r="F65" s="635">
        <f t="shared" si="15"/>
        <v>0</v>
      </c>
      <c r="G65" s="1944" t="s">
        <v>924</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572</v>
      </c>
      <c r="B66" s="637">
        <f t="shared" si="17"/>
        <v>0</v>
      </c>
      <c r="C66" s="377">
        <f t="shared" si="16"/>
        <v>0</v>
      </c>
      <c r="D66" s="2227">
        <v>0.25</v>
      </c>
      <c r="E66" s="640">
        <f>'数据-汇总表'!E14</f>
        <v>0</v>
      </c>
      <c r="F66" s="635">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573</v>
      </c>
      <c r="B67" s="637">
        <f t="shared" si="17"/>
        <v>0</v>
      </c>
      <c r="C67" s="377">
        <f t="shared" si="16"/>
        <v>0</v>
      </c>
      <c r="D67" s="2227">
        <v>0.25</v>
      </c>
      <c r="E67" s="640">
        <f>'数据-汇总表'!E15</f>
        <v>0</v>
      </c>
      <c r="F67" s="635">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574</v>
      </c>
      <c r="B68" s="642" t="s">
        <v>17</v>
      </c>
      <c r="C68" s="642" t="s">
        <v>18</v>
      </c>
      <c r="D68" s="642" t="s">
        <v>2296</v>
      </c>
      <c r="E68" s="642">
        <f>IF(B48="楼面地价",SUM(E58:E67),'数据-汇总表'!D3)</f>
        <v>60759</v>
      </c>
      <c r="F68" s="643">
        <f>IF(B48="楼面地价",SUM(F58:F67),ROUND(C50*E68/10000,0))</f>
        <v>13385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3" t="s">
        <v>575</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90" t="s">
        <v>2535</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9" customFormat="1" ht="27" customHeight="1">
      <c r="A73" s="2830" t="s">
        <v>2652</v>
      </c>
      <c r="B73" s="478" t="str">
        <f>"北京市平均增长率"&amp;TEXT(SUMIF(基准地价!N21:N25,A73,基准地价!P21:P25),"0.00%")</f>
        <v>北京市平均增长率0.00%</v>
      </c>
      <c r="C73" s="893">
        <v>100</v>
      </c>
      <c r="D73" s="729">
        <v>99.5</v>
      </c>
      <c r="E73" s="729">
        <v>99</v>
      </c>
      <c r="F73" s="729">
        <v>98.5</v>
      </c>
      <c r="G73" s="729">
        <v>98</v>
      </c>
      <c r="H73" s="729"/>
      <c r="I73" s="729"/>
      <c r="J73" s="729"/>
      <c r="K73" s="729"/>
      <c r="L73" s="729"/>
      <c r="M73" s="2816"/>
      <c r="N73" s="2817"/>
      <c r="O73" s="2160"/>
      <c r="P73" s="2156"/>
      <c r="Q73" s="1991"/>
      <c r="R73" s="1991"/>
      <c r="S73" s="1991"/>
      <c r="T73" s="1991"/>
      <c r="U73" s="1991"/>
      <c r="V73" s="1991"/>
      <c r="W73" s="1991"/>
      <c r="X73" s="1991"/>
      <c r="Y73" s="1991"/>
      <c r="Z73" s="1991"/>
      <c r="AA73" s="1991"/>
      <c r="AB73" s="1991"/>
      <c r="AC73" s="1991"/>
    </row>
    <row r="74" spans="1:29" s="1219" customFormat="1" ht="15" customHeight="1" thickBot="1">
      <c r="A74" s="2820" t="s">
        <v>2651</v>
      </c>
      <c r="B74" s="2829"/>
      <c r="C74" s="2814"/>
      <c r="D74" s="2815"/>
      <c r="E74" s="2815"/>
      <c r="F74" s="2815"/>
      <c r="G74" s="2815"/>
      <c r="H74" s="2815"/>
      <c r="I74" s="2815"/>
      <c r="J74" s="2815"/>
      <c r="K74" s="2815"/>
      <c r="L74" s="2815"/>
      <c r="M74" s="2815"/>
      <c r="N74" s="2815"/>
      <c r="O74" s="2160"/>
      <c r="P74" s="2156"/>
      <c r="Q74" s="2156"/>
      <c r="R74" s="1991"/>
      <c r="S74" s="1991"/>
      <c r="T74" s="1991"/>
      <c r="U74" s="1991"/>
      <c r="V74" s="1991"/>
      <c r="W74" s="1991"/>
      <c r="X74" s="1991"/>
      <c r="Y74" s="1991"/>
      <c r="Z74" s="1991"/>
      <c r="AA74" s="1991"/>
      <c r="AB74" s="1991"/>
      <c r="AC74" s="1991"/>
    </row>
    <row r="75" spans="1:29" s="1219" customFormat="1" ht="15">
      <c r="A75" s="658" t="s">
        <v>532</v>
      </c>
      <c r="B75" s="647"/>
      <c r="C75" s="659" t="s">
        <v>577</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
      <c r="A77" s="663" t="s">
        <v>578</v>
      </c>
      <c r="B77" s="664" t="s">
        <v>535</v>
      </c>
      <c r="C77" s="3203" t="s">
        <v>3146</v>
      </c>
      <c r="D77" s="3203" t="s">
        <v>3454</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538</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539</v>
      </c>
      <c r="C81" s="681" t="str">
        <f>C82&amp;"（含）"&amp;"-"&amp;D82</f>
        <v>0（含）-1.5</v>
      </c>
      <c r="D81" s="681" t="str">
        <f t="shared" ref="D81:L81" si="20">D82&amp;"（含）"&amp;"-"&amp;E82</f>
        <v>1.5（含）-3</v>
      </c>
      <c r="E81" s="681" t="str">
        <f t="shared" si="20"/>
        <v>3（含）-4.5</v>
      </c>
      <c r="F81" s="681" t="str">
        <f t="shared" si="20"/>
        <v>4.5（含）-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1.5</v>
      </c>
      <c r="E82" s="540">
        <v>3</v>
      </c>
      <c r="F82" s="540">
        <v>4.5</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102</v>
      </c>
      <c r="E83" s="678">
        <f t="shared" ref="E83:M83" si="21">IF($B$48="单位面积地价",D83+$K13,D83-$K13)</f>
        <v>104</v>
      </c>
      <c r="F83" s="678">
        <f t="shared" si="21"/>
        <v>106</v>
      </c>
      <c r="G83" s="678">
        <f t="shared" si="21"/>
        <v>108</v>
      </c>
      <c r="H83" s="678">
        <f t="shared" si="21"/>
        <v>110</v>
      </c>
      <c r="I83" s="678">
        <f t="shared" si="21"/>
        <v>112</v>
      </c>
      <c r="J83" s="678">
        <f t="shared" si="21"/>
        <v>114</v>
      </c>
      <c r="K83" s="678">
        <f t="shared" si="21"/>
        <v>116</v>
      </c>
      <c r="L83" s="678">
        <f t="shared" si="21"/>
        <v>118</v>
      </c>
      <c r="M83" s="678">
        <f t="shared" si="21"/>
        <v>120</v>
      </c>
      <c r="N83" s="2164"/>
      <c r="O83" s="2164"/>
      <c r="P83" s="2163"/>
      <c r="Q83" s="2156"/>
      <c r="R83" s="2143"/>
      <c r="S83" s="2143"/>
      <c r="T83" s="2143"/>
      <c r="U83" s="2143"/>
      <c r="V83" s="2143"/>
      <c r="W83" s="2143"/>
      <c r="X83" s="2143"/>
      <c r="Y83" s="2143"/>
      <c r="Z83" s="2143"/>
      <c r="AA83" s="2143"/>
      <c r="AB83" s="2143"/>
      <c r="AC83" s="2143"/>
    </row>
    <row r="84" spans="1:29" s="1338" customFormat="1" ht="15.75" hidden="1"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商业建筑面积配比</v>
      </c>
      <c r="C86" s="687" t="s">
        <v>3215</v>
      </c>
      <c r="D86" s="687" t="s">
        <v>3216</v>
      </c>
      <c r="E86" s="687" t="s">
        <v>3217</v>
      </c>
      <c r="F86" s="687" t="s">
        <v>3218</v>
      </c>
      <c r="G86" s="687" t="s">
        <v>3219</v>
      </c>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v>100</v>
      </c>
      <c r="D87" s="691">
        <v>98</v>
      </c>
      <c r="E87" s="691">
        <v>96</v>
      </c>
      <c r="F87" s="691">
        <v>94</v>
      </c>
      <c r="G87" s="691">
        <v>92</v>
      </c>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hidden="1"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585</v>
      </c>
      <c r="C92" s="707" t="s">
        <v>580</v>
      </c>
      <c r="D92" s="707" t="s">
        <v>581</v>
      </c>
      <c r="E92" s="707" t="s">
        <v>582</v>
      </c>
      <c r="F92" s="707" t="s">
        <v>583</v>
      </c>
      <c r="G92" s="707" t="s">
        <v>584</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586</v>
      </c>
      <c r="C94" s="707" t="s">
        <v>580</v>
      </c>
      <c r="D94" s="707" t="s">
        <v>581</v>
      </c>
      <c r="E94" s="707" t="s">
        <v>582</v>
      </c>
      <c r="F94" s="707" t="s">
        <v>583</v>
      </c>
      <c r="G94" s="707" t="s">
        <v>584</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587</v>
      </c>
      <c r="C96" s="707" t="s">
        <v>580</v>
      </c>
      <c r="D96" s="707" t="s">
        <v>581</v>
      </c>
      <c r="E96" s="707" t="s">
        <v>582</v>
      </c>
      <c r="F96" s="707" t="s">
        <v>583</v>
      </c>
      <c r="G96" s="707" t="s">
        <v>584</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2551</v>
      </c>
      <c r="C102" s="702" t="s">
        <v>580</v>
      </c>
      <c r="D102" s="702" t="s">
        <v>581</v>
      </c>
      <c r="E102" s="702" t="s">
        <v>582</v>
      </c>
      <c r="F102" s="702" t="s">
        <v>583</v>
      </c>
      <c r="G102" s="702" t="s">
        <v>584</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2553</v>
      </c>
      <c r="C104" s="2620" t="s">
        <v>2554</v>
      </c>
      <c r="D104" s="2620" t="s">
        <v>2555</v>
      </c>
      <c r="E104" s="2620" t="s">
        <v>2556</v>
      </c>
      <c r="F104" s="2620" t="s">
        <v>2557</v>
      </c>
      <c r="G104" s="2620" t="s">
        <v>2558</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590</v>
      </c>
      <c r="D106" s="673" t="s">
        <v>591</v>
      </c>
      <c r="E106" s="673" t="s">
        <v>592</v>
      </c>
      <c r="F106" s="673" t="s">
        <v>593</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549</v>
      </c>
      <c r="C108" s="3204" t="s">
        <v>3154</v>
      </c>
      <c r="D108" s="3204" t="s">
        <v>3155</v>
      </c>
      <c r="E108" s="3204" t="s">
        <v>3157</v>
      </c>
      <c r="F108" s="3204" t="s">
        <v>3158</v>
      </c>
      <c r="G108" s="3204" t="s">
        <v>3159</v>
      </c>
      <c r="H108" s="3205" t="s">
        <v>3161</v>
      </c>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550</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hidden="1"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552</v>
      </c>
      <c r="B118" s="664" t="s">
        <v>594</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7" t="str">
        <f t="shared" si="25"/>
        <v>(含)-</v>
      </c>
      <c r="K118" s="3117" t="str">
        <f t="shared" si="25"/>
        <v>(含)-</v>
      </c>
      <c r="L118" s="3118" t="str">
        <f t="shared" si="25"/>
        <v>(含)-</v>
      </c>
      <c r="M118" s="311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595</v>
      </c>
      <c r="C121" s="3205" t="s">
        <v>3162</v>
      </c>
      <c r="D121" s="3205" t="s">
        <v>3164</v>
      </c>
      <c r="E121" s="3205" t="s">
        <v>3166</v>
      </c>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596</v>
      </c>
      <c r="C123" s="3204" t="s">
        <v>3167</v>
      </c>
      <c r="D123" s="3204" t="s">
        <v>3168</v>
      </c>
      <c r="E123" s="3204" t="s">
        <v>3169</v>
      </c>
      <c r="F123" s="3205" t="s">
        <v>3170</v>
      </c>
      <c r="G123" s="3205" t="s">
        <v>3171</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4" t="s">
        <v>3172</v>
      </c>
      <c r="D125" s="1374" t="s">
        <v>3174</v>
      </c>
      <c r="E125" s="1374" t="s">
        <v>3175</v>
      </c>
      <c r="F125" s="1374" t="s">
        <v>3176</v>
      </c>
      <c r="G125" s="1374" t="s">
        <v>3178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597</v>
      </c>
      <c r="C127" s="3204" t="s">
        <v>3167</v>
      </c>
      <c r="D127" s="3204" t="s">
        <v>3168</v>
      </c>
      <c r="E127" s="3205" t="s">
        <v>3169</v>
      </c>
      <c r="F127" s="3205" t="s">
        <v>3170</v>
      </c>
      <c r="G127" s="3205" t="s">
        <v>3171</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hidden="1"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21">
        <f>MATCH(B1,'数据-取费表'!A6:A16,0)+5</f>
        <v>11</v>
      </c>
    </row>
    <row r="2" spans="1:31" s="2039" customFormat="1" ht="18" customHeight="1">
      <c r="A2" s="2099" t="s">
        <v>467</v>
      </c>
      <c r="B2" s="2103">
        <f ca="1">C36</f>
        <v>40807</v>
      </c>
      <c r="C2" s="2102"/>
      <c r="D2" s="2102"/>
      <c r="E2" s="2102"/>
      <c r="F2" s="2102"/>
      <c r="G2" s="2102"/>
      <c r="H2" s="2102"/>
      <c r="I2" s="2102"/>
      <c r="J2" s="2102"/>
      <c r="K2" s="2102"/>
    </row>
    <row r="3" spans="1:31" s="2039" customFormat="1" ht="18" customHeight="1">
      <c r="A3" s="2104" t="s">
        <v>1686</v>
      </c>
      <c r="B3" s="2105">
        <f ca="1">ROUND(B2*10000/IF(B1="",'数据-汇总表'!E3,INDIRECT("'数据-取费表'!K"&amp;$K$1)),0)</f>
        <v>3455</v>
      </c>
      <c r="C3" s="2102"/>
      <c r="D3" s="2102"/>
      <c r="E3" s="2102"/>
      <c r="F3" s="2102"/>
      <c r="G3" s="2102"/>
      <c r="H3" s="2102"/>
      <c r="I3" s="2102"/>
      <c r="J3" s="2102"/>
      <c r="K3" s="2102"/>
    </row>
    <row r="4" spans="1:31" s="2039" customFormat="1" ht="18" customHeight="1">
      <c r="A4" s="425" t="s">
        <v>468</v>
      </c>
      <c r="B4" s="426">
        <f ca="1">ROUND(B2*10000/IF(B1="",'数据-汇总表'!D3,INDIRECT("'数据-取费表'!R"&amp;$K$1)),0)</f>
        <v>6716</v>
      </c>
      <c r="C4" s="427"/>
      <c r="D4" s="421"/>
      <c r="E4" s="421"/>
      <c r="F4" s="421"/>
      <c r="G4" s="421"/>
      <c r="H4" s="421"/>
      <c r="I4" s="421"/>
      <c r="J4" s="421"/>
      <c r="K4" s="421"/>
    </row>
    <row r="5" spans="1:31" s="2039" customFormat="1" ht="18" customHeight="1" thickBot="1">
      <c r="A5" s="428"/>
      <c r="B5" s="429">
        <f ca="1">ROUND(B2/(IF(B1="",'数据-汇总表'!D3,INDIRECT("'数据-取费表'!R"&amp;$K$1))/666.67),0)</f>
        <v>448</v>
      </c>
      <c r="C5" s="430" t="s">
        <v>469</v>
      </c>
      <c r="D5" s="421"/>
      <c r="E5" s="421"/>
      <c r="F5" s="421"/>
      <c r="G5" s="421"/>
      <c r="H5" s="421"/>
      <c r="I5" s="421"/>
      <c r="J5" s="421"/>
      <c r="K5" s="421"/>
    </row>
    <row r="6" spans="1:31" s="2109" customFormat="1" ht="16.5" customHeight="1">
      <c r="A6" s="2852" t="s">
        <v>1844</v>
      </c>
      <c r="B6" s="2853"/>
      <c r="C6" s="2854">
        <f ca="1">SUM(C10:K10)</f>
        <v>97693</v>
      </c>
      <c r="D6" s="2853"/>
      <c r="E6" s="2853"/>
      <c r="F6" s="2853"/>
      <c r="G6" s="2853"/>
      <c r="H6" s="2853"/>
      <c r="I6" s="2853"/>
      <c r="J6" s="2853"/>
      <c r="K6" s="2855"/>
    </row>
    <row r="7" spans="1:31" s="2111" customFormat="1" ht="15">
      <c r="A7" s="2856" t="s">
        <v>470</v>
      </c>
      <c r="B7" s="2857" t="s">
        <v>471</v>
      </c>
      <c r="C7" s="435" t="s">
        <v>3137</v>
      </c>
      <c r="D7" s="435" t="s">
        <v>3119</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1847</v>
      </c>
      <c r="B8" s="260" t="s">
        <v>472</v>
      </c>
      <c r="C8" s="2858">
        <f>'不动产比较法-住宅'!B3</f>
        <v>8251</v>
      </c>
      <c r="D8" s="2858">
        <f ca="1">不动产收益法!B3</f>
        <v>8637</v>
      </c>
      <c r="E8" s="2858"/>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1848</v>
      </c>
      <c r="B9" s="260" t="s">
        <v>473</v>
      </c>
      <c r="C9" s="440">
        <f>SUMIF('数据-汇总表'!$C19:$C33,'剩余法-待开发'!C7,'数据-汇总表'!$E19:$E33)</f>
        <v>112219.23999999999</v>
      </c>
      <c r="D9" s="440">
        <f>SUMIF('数据-汇总表'!$C19:$C33,'剩余法-待开发'!D7,'数据-汇总表'!$E19:$E33)</f>
        <v>5906.2800000000125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3">
        <f>'不动产比较法-住宅'!B2</f>
        <v>92592</v>
      </c>
      <c r="D10" s="3053">
        <f ca="1">不动产收益法!B2</f>
        <v>5101</v>
      </c>
      <c r="E10" s="3053"/>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9">
        <f ca="1">IF(B1="",'数据-取费表'!P16,INDIRECT("'数据-取费表'!p"&amp;$K$1)+INDIRECT("'数据-取费表'!t"&amp;$K$1))</f>
        <v>21380</v>
      </c>
      <c r="D13" s="2868"/>
      <c r="E13" s="2869"/>
      <c r="F13" s="2870"/>
      <c r="G13" s="2836"/>
      <c r="H13" s="2837"/>
      <c r="I13" s="2837"/>
      <c r="J13" s="2837"/>
      <c r="K13" s="2838"/>
    </row>
    <row r="14" spans="1:31" s="2114" customFormat="1" ht="13.5" customHeight="1">
      <c r="A14" s="2866" t="s">
        <v>1851</v>
      </c>
      <c r="B14" s="2867" t="s">
        <v>480</v>
      </c>
      <c r="C14" s="53">
        <f ca="1">ROUND(C13*F14,0)</f>
        <v>855</v>
      </c>
      <c r="D14" s="2868"/>
      <c r="E14" s="2869"/>
      <c r="F14" s="2871">
        <f>'数据-取费表'!B33</f>
        <v>0.04</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1010</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2363</v>
      </c>
      <c r="D16" s="2868">
        <f ca="1">IF(B1="",'数据-汇总表'!E3,INDIRECT("'数据-取费表'!K"&amp;$K$1)+INDIRECT("'数据-取费表'!S"&amp;$K$1))</f>
        <v>118125.52</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321</v>
      </c>
      <c r="D17" s="474"/>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25929</v>
      </c>
      <c r="D18" s="2877"/>
      <c r="E18" s="467"/>
      <c r="F18" s="467"/>
      <c r="G18" s="2840" t="s">
        <v>2431</v>
      </c>
      <c r="H18" s="2841"/>
      <c r="I18" s="2841"/>
      <c r="J18" s="2841"/>
      <c r="K18" s="2842"/>
    </row>
    <row r="19" spans="1:14" s="2114" customFormat="1" ht="13.5" customHeight="1">
      <c r="A19" s="2874" t="s">
        <v>1856</v>
      </c>
      <c r="B19" s="2875" t="s">
        <v>488</v>
      </c>
      <c r="C19" s="2832">
        <f ca="1">ROUND(D19*E19/10000,0)</f>
        <v>1772</v>
      </c>
      <c r="D19" s="2878">
        <f ca="1">D16</f>
        <v>118125.52</v>
      </c>
      <c r="E19" s="2832">
        <f>'数据-取费表'!B32</f>
        <v>150</v>
      </c>
      <c r="F19" s="467"/>
      <c r="G19" s="2836" t="s">
        <v>489</v>
      </c>
      <c r="H19" s="2837"/>
      <c r="I19" s="2841"/>
      <c r="J19" s="2841"/>
      <c r="K19" s="2842"/>
    </row>
    <row r="20" spans="1:14" s="2114" customFormat="1" ht="13.5" customHeight="1">
      <c r="A20" s="2874" t="s">
        <v>1857</v>
      </c>
      <c r="B20" s="2875" t="s">
        <v>490</v>
      </c>
      <c r="C20" s="2832">
        <f ca="1">C21+C22-IF(B1="",'数据-取费表'!B29,IF(G20="已全部缴纳",C21+C22,H20))</f>
        <v>532</v>
      </c>
      <c r="D20" s="2878"/>
      <c r="E20" s="2832"/>
      <c r="F20" s="2879"/>
      <c r="G20" s="3113"/>
      <c r="H20" s="2834"/>
      <c r="I20" s="2835" t="s">
        <v>2656</v>
      </c>
      <c r="J20" s="2841"/>
      <c r="K20" s="2842"/>
    </row>
    <row r="21" spans="1:14" s="2114" customFormat="1" ht="13.5" customHeight="1">
      <c r="A21" s="2866" t="s">
        <v>1858</v>
      </c>
      <c r="B21" s="2867" t="s">
        <v>491</v>
      </c>
      <c r="C21" s="53">
        <f ca="1">ROUND(D21*E21/10000,0)</f>
        <v>505</v>
      </c>
      <c r="D21" s="2868">
        <f ca="1">IF(B1="",'数据-汇总表'!E5,IF(INDIRECT("'数据-取费表'!c"&amp;$K$1)="住宅",INDIRECT("'数据-取费表'!k"&amp;$K$1),0))</f>
        <v>112219.23999999999</v>
      </c>
      <c r="E21" s="53">
        <f>'数据-取费表'!B27</f>
        <v>45</v>
      </c>
      <c r="F21" s="2871"/>
      <c r="G21" s="26"/>
      <c r="H21" s="51"/>
      <c r="I21" s="51"/>
      <c r="J21" s="51"/>
      <c r="K21" s="2843"/>
    </row>
    <row r="22" spans="1:14" s="2114" customFormat="1" ht="13.5" customHeight="1">
      <c r="A22" s="2866" t="s">
        <v>1859</v>
      </c>
      <c r="B22" s="2867" t="s">
        <v>492</v>
      </c>
      <c r="C22" s="53">
        <f ca="1">ROUND(D22*E22/10000,0)</f>
        <v>27</v>
      </c>
      <c r="D22" s="2868">
        <f ca="1">IF(B1="",'数据-汇总表'!E6,IF(INDIRECT("'数据-取费表'!c"&amp;$K$1)="住宅",INDIRECT("'数据-取费表'!s"&amp;$K$1),INDIRECT("'数据-取费表'!k"&amp;$K$1)+INDIRECT("'数据-取费表'!s"&amp;$K$1)))</f>
        <v>5906.2800000000134</v>
      </c>
      <c r="E22" s="53">
        <f>'数据-取费表'!B28</f>
        <v>45</v>
      </c>
      <c r="F22" s="2871"/>
      <c r="G22" s="26"/>
      <c r="H22" s="51"/>
      <c r="I22" s="51"/>
      <c r="J22" s="51"/>
      <c r="K22" s="2843"/>
    </row>
    <row r="23" spans="1:14" s="2114" customFormat="1" ht="13.5" customHeight="1">
      <c r="A23" s="2874" t="s">
        <v>1860</v>
      </c>
      <c r="B23" s="3059" t="s">
        <v>2839</v>
      </c>
      <c r="C23" s="2876">
        <f ca="1">ROUND((C18+C19+C20)*F23,0)</f>
        <v>282</v>
      </c>
      <c r="D23" s="467"/>
      <c r="E23" s="467"/>
      <c r="F23" s="2880">
        <f>'数据-取费表'!B37</f>
        <v>0.01</v>
      </c>
      <c r="G23" s="2836" t="s">
        <v>2432</v>
      </c>
      <c r="H23" s="2837"/>
      <c r="I23" s="2837"/>
      <c r="J23" s="2837"/>
      <c r="K23" s="2838"/>
      <c r="L23" s="2116"/>
      <c r="M23" s="2116"/>
      <c r="N23" s="2116"/>
    </row>
    <row r="24" spans="1:14" s="2114" customFormat="1" ht="13.5" customHeight="1">
      <c r="A24" s="2874" t="s">
        <v>1861</v>
      </c>
      <c r="B24" s="3059" t="s">
        <v>2842</v>
      </c>
      <c r="C24" s="2876">
        <f ca="1">ROUND(C6*F24,0)</f>
        <v>1954</v>
      </c>
      <c r="D24" s="474"/>
      <c r="E24" s="472"/>
      <c r="F24" s="2880">
        <f>'数据-取费表'!B38</f>
        <v>0.02</v>
      </c>
      <c r="G24" s="2845" t="s">
        <v>499</v>
      </c>
      <c r="H24" s="2839"/>
      <c r="I24" s="2839"/>
      <c r="J24" s="2839"/>
      <c r="K24" s="278"/>
      <c r="L24" s="2116"/>
      <c r="M24" s="2116"/>
      <c r="N24" s="2116"/>
    </row>
    <row r="25" spans="1:14" s="2117" customFormat="1" ht="13.5" customHeight="1">
      <c r="A25" s="2874" t="s">
        <v>1862</v>
      </c>
      <c r="B25" s="3059" t="s">
        <v>2840</v>
      </c>
      <c r="C25" s="466">
        <f>ROUND(F25/(1+'数据-取费表'!C42),4)</f>
        <v>2.9000000000000001E-2</v>
      </c>
      <c r="D25" s="461" t="s">
        <v>2834</v>
      </c>
      <c r="E25" s="468"/>
      <c r="F25" s="2880">
        <f>'数据-取费表'!B48+'数据-取费表'!B49</f>
        <v>3.0499999999999999E-2</v>
      </c>
      <c r="G25" s="2844" t="s">
        <v>2291</v>
      </c>
      <c r="H25" s="2837"/>
      <c r="I25" s="2837"/>
      <c r="J25" s="2837"/>
      <c r="K25" s="2838"/>
    </row>
    <row r="26" spans="1:14" s="2116" customFormat="1" ht="13.5" customHeight="1">
      <c r="A26" s="2874" t="s">
        <v>1863</v>
      </c>
      <c r="B26" s="3060" t="s">
        <v>2841</v>
      </c>
      <c r="C26" s="2881">
        <f ca="1">C28</f>
        <v>1447</v>
      </c>
      <c r="D26" s="466">
        <f ca="1">C27</f>
        <v>0.10009999999999999</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2" t="s">
        <v>1858</v>
      </c>
      <c r="B27" s="2882" t="s">
        <v>496</v>
      </c>
      <c r="C27" s="2883">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2" t="s">
        <v>1859</v>
      </c>
      <c r="B28" s="2882" t="s">
        <v>2843</v>
      </c>
      <c r="C28" s="2884">
        <f ca="1">ROUND(IF('数据-取费表'!B22&lt;=1,(C18+C19+C20+C23+C24)*F26*'数据-取费表'!B24/2,(C18+C19+C20+C23+C24)*(POWER((1+F26),'数据-取费表'!B24/2)-1)),0)</f>
        <v>1447</v>
      </c>
      <c r="D28" s="471"/>
      <c r="E28" s="472"/>
      <c r="F28" s="473"/>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5210</v>
      </c>
      <c r="D29" s="467"/>
      <c r="E29" s="467"/>
      <c r="F29" s="3061">
        <f>'数据-取费表'!B41</f>
        <v>5.6000000000000001E-2</v>
      </c>
      <c r="G29" s="2845" t="s">
        <v>498</v>
      </c>
      <c r="H29" s="2837"/>
      <c r="I29" s="2837"/>
      <c r="J29" s="2837"/>
      <c r="K29" s="2838"/>
    </row>
    <row r="30" spans="1:14" s="2119" customFormat="1" ht="13.5" customHeight="1">
      <c r="A30" s="1634" t="s">
        <v>1865</v>
      </c>
      <c r="B30" s="2886" t="s">
        <v>500</v>
      </c>
      <c r="C30" s="2881">
        <f ca="1">C31</f>
        <v>37126</v>
      </c>
      <c r="D30" s="476">
        <f ca="1">C32</f>
        <v>0.12909999999999999</v>
      </c>
      <c r="E30" s="468" t="s">
        <v>495</v>
      </c>
      <c r="F30" s="470"/>
      <c r="G30" s="2836" t="s">
        <v>501</v>
      </c>
      <c r="H30" s="2837"/>
      <c r="I30" s="2837"/>
      <c r="J30" s="2837"/>
      <c r="K30" s="2838"/>
    </row>
    <row r="31" spans="1:14" s="2118" customFormat="1" ht="13.5" customHeight="1">
      <c r="A31" s="802" t="s">
        <v>1858</v>
      </c>
      <c r="B31" s="2882"/>
      <c r="C31" s="449">
        <f ca="1">C18+C19+C20+C23+C24+C26+C29</f>
        <v>37126</v>
      </c>
      <c r="D31" s="471"/>
      <c r="E31" s="472"/>
      <c r="F31" s="473"/>
      <c r="G31" s="260"/>
      <c r="H31" s="2839"/>
      <c r="I31" s="2839"/>
      <c r="J31" s="2839"/>
      <c r="K31" s="278"/>
    </row>
    <row r="32" spans="1:14" s="2118" customFormat="1" ht="13.5" customHeight="1">
      <c r="A32" s="802" t="s">
        <v>1859</v>
      </c>
      <c r="B32" s="2882"/>
      <c r="C32" s="53">
        <f ca="1">ROUND(C25+D26,4)</f>
        <v>0.12909999999999999</v>
      </c>
      <c r="D32" s="471"/>
      <c r="E32" s="472"/>
      <c r="F32" s="473"/>
      <c r="G32" s="260"/>
      <c r="H32" s="2839"/>
      <c r="I32" s="2839"/>
      <c r="J32" s="2839"/>
      <c r="K32" s="278"/>
    </row>
    <row r="33" spans="1:11" s="2120" customFormat="1" ht="13.5" customHeight="1">
      <c r="A33" s="3058" t="s">
        <v>2838</v>
      </c>
      <c r="B33" s="3056" t="s">
        <v>2836</v>
      </c>
      <c r="C33" s="477">
        <f ca="1">C35</f>
        <v>6094</v>
      </c>
      <c r="D33" s="466">
        <f ca="1">C34</f>
        <v>0.20580000000000001</v>
      </c>
      <c r="E33" s="468" t="s">
        <v>495</v>
      </c>
      <c r="F33" s="478">
        <f ca="1">IF(B1="",'数据-取费表'!Q16,INDIRECT("'数据-取费表'!q"&amp;$K$1))</f>
        <v>0.2</v>
      </c>
      <c r="G33" s="2840"/>
      <c r="H33" s="2841"/>
      <c r="I33" s="2841"/>
      <c r="J33" s="2841"/>
      <c r="K33" s="2842"/>
    </row>
    <row r="34" spans="1:11" s="2121" customFormat="1" ht="13.5" customHeight="1">
      <c r="A34" s="374" t="s">
        <v>1858</v>
      </c>
      <c r="B34" s="2887" t="s">
        <v>502</v>
      </c>
      <c r="C34" s="471">
        <f ca="1">ROUND((1+C25)*F33,4)</f>
        <v>0.20580000000000001</v>
      </c>
      <c r="D34" s="471"/>
      <c r="E34" s="472"/>
      <c r="F34" s="479"/>
      <c r="G34" s="260" t="s">
        <v>2292</v>
      </c>
      <c r="H34" s="2839"/>
      <c r="I34" s="2839"/>
      <c r="J34" s="2839"/>
      <c r="K34" s="278"/>
    </row>
    <row r="35" spans="1:11" s="2121" customFormat="1" ht="13.5" customHeight="1" thickBot="1">
      <c r="A35" s="1635" t="s">
        <v>1859</v>
      </c>
      <c r="B35" s="3057" t="s">
        <v>2844</v>
      </c>
      <c r="C35" s="1627">
        <f ca="1">ROUND((C18+C19+C20+C23+C24)*F33,0)</f>
        <v>6094</v>
      </c>
      <c r="D35" s="1628"/>
      <c r="E35" s="2888"/>
      <c r="F35" s="1629"/>
      <c r="G35" s="2846"/>
      <c r="H35" s="2847"/>
      <c r="I35" s="2847"/>
      <c r="J35" s="2847"/>
      <c r="K35" s="2848"/>
    </row>
    <row r="36" spans="1:11" s="2083" customFormat="1" ht="13.5" customHeight="1" thickBot="1">
      <c r="A36" s="283" t="s">
        <v>1846</v>
      </c>
      <c r="B36" s="2850"/>
      <c r="C36" s="2889">
        <f ca="1">ROUND((C6-C30-C33)/(1+D30+D33),0)</f>
        <v>40807</v>
      </c>
      <c r="D36" s="2850"/>
      <c r="E36" s="2850"/>
      <c r="F36" s="2850"/>
      <c r="G36" s="2849" t="s">
        <v>2845</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50" t="str">
        <f>项目基本情况!B1</f>
        <v>四川省峨眉山市川主乡顺河村3宗住宅、商业出让国有建设用地使用权抵押价格预评估</v>
      </c>
      <c r="C37" s="3250"/>
      <c r="D37" s="3250"/>
      <c r="E37" s="3250"/>
      <c r="F37" s="3250"/>
      <c r="G37" s="3250"/>
      <c r="H37" s="3250"/>
      <c r="I37" s="3250"/>
    </row>
    <row r="38" spans="1:9">
      <c r="A38" s="1655"/>
      <c r="B38" s="1655"/>
    </row>
    <row r="39" spans="1:9">
      <c r="A39" s="1653" t="s">
        <v>1903</v>
      </c>
      <c r="B39" s="1653" t="s">
        <v>2048</v>
      </c>
    </row>
    <row r="40" spans="1:9">
      <c r="A40" s="1653"/>
      <c r="B40" s="1653" t="str">
        <f>项目基本情况!B5</f>
        <v>四川德胜集团文化旅游投资发展有限公司</v>
      </c>
    </row>
    <row r="41" spans="1:9">
      <c r="A41" s="1653"/>
      <c r="B41" s="1653"/>
    </row>
    <row r="42" spans="1:9">
      <c r="A42" s="1653" t="s">
        <v>1903</v>
      </c>
      <c r="B42" s="1653" t="s">
        <v>2049</v>
      </c>
    </row>
    <row r="43" spans="1:9">
      <c r="A43" s="1653"/>
      <c r="B43" s="1653" t="s">
        <v>1905</v>
      </c>
    </row>
    <row r="44" spans="1:9">
      <c r="A44" s="1653"/>
      <c r="B44" s="1653"/>
    </row>
    <row r="45" spans="1:9">
      <c r="A45" s="1653" t="s">
        <v>1903</v>
      </c>
      <c r="B45" s="1653" t="s">
        <v>2047</v>
      </c>
    </row>
    <row r="46" spans="1:9" s="1653" customFormat="1" ht="12.75">
      <c r="B46" s="1653" t="str">
        <f>项目基本情况!K4</f>
        <v>王鹏、郑燚</v>
      </c>
    </row>
    <row r="47" spans="1:9">
      <c r="A47" s="1653"/>
      <c r="B47" s="1653"/>
    </row>
    <row r="48" spans="1:9">
      <c r="A48" s="1653" t="s">
        <v>1903</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3"/>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1686</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2657</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1847</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1849</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1866</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1850</v>
      </c>
      <c r="B13" s="448" t="s">
        <v>479</v>
      </c>
      <c r="C13" s="449">
        <f ca="1">IF(B1="",'数据-取费表'!M16,INDIRECT("'数据-取费表'!M"&amp;$K$1)+INDIRECT("'数据-取费表'!t"&amp;$K$1))</f>
        <v>21380</v>
      </c>
      <c r="D13" s="450"/>
      <c r="E13" s="364"/>
      <c r="F13" s="451"/>
      <c r="G13" s="443"/>
      <c r="H13" s="446"/>
      <c r="I13" s="446"/>
      <c r="J13" s="446"/>
      <c r="K13" s="447"/>
    </row>
    <row r="14" spans="1:41" s="2114" customFormat="1" ht="13.5" customHeight="1">
      <c r="A14" s="1632" t="s">
        <v>1851</v>
      </c>
      <c r="B14" s="448" t="s">
        <v>480</v>
      </c>
      <c r="C14" s="53">
        <f ca="1">ROUND(C13*F14,0)</f>
        <v>855</v>
      </c>
      <c r="D14" s="450"/>
      <c r="E14" s="364"/>
      <c r="F14" s="452">
        <f>'数据-取费表'!B33</f>
        <v>0.04</v>
      </c>
      <c r="G14" s="443" t="s">
        <v>503</v>
      </c>
      <c r="H14" s="446"/>
      <c r="I14" s="446"/>
      <c r="J14" s="446"/>
      <c r="K14" s="447"/>
    </row>
    <row r="15" spans="1:41" s="2114" customFormat="1" ht="13.5" customHeight="1">
      <c r="A15" s="1632" t="s">
        <v>1852</v>
      </c>
      <c r="B15" s="448" t="s">
        <v>482</v>
      </c>
      <c r="C15" s="53">
        <f ca="1">ROUND(IF(B1="",SUMIF('数据-取费表'!C:C,"住宅",'数据-取费表'!M:M)*F15,IF(INDIRECT("'数据-取费表'!c"&amp;$K$1)="住宅",INDIRECT("'数据-取费表'!M"&amp;$K$1)*F15,0)),0)</f>
        <v>1010</v>
      </c>
      <c r="D15" s="450"/>
      <c r="E15" s="364"/>
      <c r="F15" s="452">
        <f>'数据-取费表'!B34</f>
        <v>0.05</v>
      </c>
      <c r="G15" s="443" t="s">
        <v>503</v>
      </c>
      <c r="H15" s="446"/>
      <c r="I15" s="446"/>
      <c r="J15" s="446"/>
      <c r="K15" s="447"/>
    </row>
    <row r="16" spans="1:41" s="2115" customFormat="1" ht="13.5" customHeight="1">
      <c r="A16" s="1632" t="s">
        <v>1853</v>
      </c>
      <c r="B16" s="448" t="s">
        <v>484</v>
      </c>
      <c r="C16" s="53">
        <f ca="1">ROUND(D16*E16/10000,0)</f>
        <v>2363</v>
      </c>
      <c r="D16" s="450">
        <f ca="1">IF(B1="",'数据-汇总表'!E3,INDIRECT("'数据-取费表'!K"&amp;$K$1)+INDIRECT("'数据-取费表'!S"&amp;$K$1))</f>
        <v>118125.52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1854</v>
      </c>
      <c r="B17" s="448" t="s">
        <v>485</v>
      </c>
      <c r="C17" s="453">
        <f ca="1">ROUND(C13*F17,0)</f>
        <v>321</v>
      </c>
      <c r="D17" s="454"/>
      <c r="E17" s="453"/>
      <c r="F17" s="455">
        <f>'数据-取费表'!B36</f>
        <v>1.4999999999999999E-2</v>
      </c>
      <c r="G17" s="443" t="s">
        <v>503</v>
      </c>
      <c r="H17" s="456"/>
      <c r="I17" s="456"/>
      <c r="J17" s="456"/>
      <c r="K17" s="457"/>
    </row>
    <row r="18" spans="1:14" s="2117" customFormat="1" ht="13.5" customHeight="1">
      <c r="A18" s="1633" t="s">
        <v>1855</v>
      </c>
      <c r="B18" s="458" t="s">
        <v>487</v>
      </c>
      <c r="C18" s="459">
        <f ca="1">SUM(C13:C17)</f>
        <v>25929</v>
      </c>
      <c r="D18" s="460"/>
      <c r="E18" s="461"/>
      <c r="F18" s="461"/>
      <c r="G18" s="1326" t="s">
        <v>2433</v>
      </c>
      <c r="H18" s="446"/>
      <c r="I18" s="446"/>
      <c r="J18" s="446"/>
      <c r="K18" s="447"/>
    </row>
    <row r="19" spans="1:14" s="2117" customFormat="1" ht="13.5" customHeight="1">
      <c r="A19" s="1633" t="s">
        <v>1856</v>
      </c>
      <c r="B19" s="458" t="s">
        <v>493</v>
      </c>
      <c r="C19" s="459">
        <f ca="1">ROUND(C18*F19,0)</f>
        <v>259</v>
      </c>
      <c r="D19" s="461"/>
      <c r="E19" s="461"/>
      <c r="F19" s="465">
        <f>'数据-取费表'!B37</f>
        <v>0.01</v>
      </c>
      <c r="G19" s="443" t="s">
        <v>504</v>
      </c>
      <c r="H19" s="446"/>
      <c r="I19" s="446"/>
      <c r="J19" s="446"/>
      <c r="K19" s="447"/>
      <c r="L19" s="2119"/>
      <c r="M19" s="2119"/>
      <c r="N19" s="2119"/>
    </row>
    <row r="20" spans="1:14" s="2117" customFormat="1" ht="13.5" customHeight="1">
      <c r="A20" s="1633" t="s">
        <v>1857</v>
      </c>
      <c r="B20" s="458" t="s">
        <v>505</v>
      </c>
      <c r="C20" s="3054">
        <f>F20</f>
        <v>0.02</v>
      </c>
      <c r="D20" s="468" t="s">
        <v>506</v>
      </c>
      <c r="E20" s="468"/>
      <c r="F20" s="485">
        <f>'数据-取费表'!B38</f>
        <v>0.02</v>
      </c>
      <c r="G20" s="1326" t="s">
        <v>507</v>
      </c>
      <c r="H20" s="446"/>
      <c r="I20" s="446"/>
      <c r="J20" s="446"/>
      <c r="K20" s="447"/>
      <c r="L20" s="2119"/>
      <c r="M20" s="2119"/>
      <c r="N20" s="2119"/>
    </row>
    <row r="21" spans="1:14" s="2119" customFormat="1" ht="13.5" customHeight="1">
      <c r="A21" s="1633" t="s">
        <v>1860</v>
      </c>
      <c r="B21" s="460" t="s">
        <v>494</v>
      </c>
      <c r="C21" s="469">
        <f ca="1">C22</f>
        <v>1244</v>
      </c>
      <c r="D21" s="466">
        <f ca="1">C23</f>
        <v>1E-3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2" t="s">
        <v>1850</v>
      </c>
      <c r="B22" s="1327" t="s">
        <v>2436</v>
      </c>
      <c r="C22" s="486">
        <f ca="1">ROUND(IF('数据-取费表'!B22&lt;=1,(C18+C19)*F21*'数据-取费表'!B20/2,(C18+C19)*(POWER((1+F21),'数据-取费表'!B20/2)-1)),0)</f>
        <v>1244</v>
      </c>
      <c r="D22" s="471"/>
      <c r="E22" s="472"/>
      <c r="F22" s="473"/>
      <c r="G22" s="2589" t="str">
        <f>IF('数据-取费表'!B22&lt;=1,"((1)+(2))×年利率×建设期÷2","((1)+(2))×((1+年利率)^(建设期÷2)-1)")</f>
        <v>((1)+(2))×((1+年利率)^(建设期÷2)-1)</v>
      </c>
      <c r="H22" s="456"/>
      <c r="I22" s="456"/>
      <c r="J22" s="456"/>
      <c r="K22" s="457"/>
    </row>
    <row r="23" spans="1:14" s="2118" customFormat="1" ht="13.5" customHeight="1">
      <c r="A23" s="1632" t="s">
        <v>1851</v>
      </c>
      <c r="B23" s="1327" t="s">
        <v>509</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3" t="s">
        <v>1861</v>
      </c>
      <c r="B24" s="3056" t="s">
        <v>2837</v>
      </c>
      <c r="C24" s="477">
        <f ca="1">C25</f>
        <v>5238</v>
      </c>
      <c r="D24" s="488">
        <f ca="1">C26</f>
        <v>4.0000000000000001E-3</v>
      </c>
      <c r="E24" s="468" t="s">
        <v>508</v>
      </c>
      <c r="F24" s="478">
        <f ca="1">IF(B1="",'数据-取费表'!Q16,INDIRECT("'数据-取费表'!q"&amp;$K$1))</f>
        <v>0.2</v>
      </c>
      <c r="G24" s="443"/>
      <c r="H24" s="446"/>
      <c r="I24" s="446"/>
      <c r="J24" s="446"/>
      <c r="K24" s="447"/>
    </row>
    <row r="25" spans="1:14" s="2118" customFormat="1" ht="13.5" customHeight="1">
      <c r="A25" s="1632" t="s">
        <v>1850</v>
      </c>
      <c r="B25" s="1327" t="s">
        <v>2437</v>
      </c>
      <c r="C25" s="489">
        <f ca="1">ROUND((C18+C19)*F24,0)</f>
        <v>5238</v>
      </c>
      <c r="D25" s="471"/>
      <c r="E25" s="472"/>
      <c r="F25" s="479"/>
      <c r="G25" s="1325" t="s">
        <v>2434</v>
      </c>
      <c r="H25" s="456"/>
      <c r="I25" s="456"/>
      <c r="J25" s="456"/>
      <c r="K25" s="457"/>
    </row>
    <row r="26" spans="1:14" s="2118" customFormat="1" ht="13.5" customHeight="1">
      <c r="A26" s="1632" t="s">
        <v>1851</v>
      </c>
      <c r="B26" s="1327" t="s">
        <v>510</v>
      </c>
      <c r="C26" s="490">
        <f ca="1">ROUND(F20*F24,4)</f>
        <v>4.0000000000000001E-3</v>
      </c>
      <c r="D26" s="471"/>
      <c r="E26" s="480"/>
      <c r="F26" s="479"/>
      <c r="G26" s="1325" t="s">
        <v>511</v>
      </c>
      <c r="H26" s="456"/>
      <c r="I26" s="456"/>
      <c r="J26" s="456"/>
      <c r="K26" s="457"/>
    </row>
    <row r="27" spans="1:14" s="2118" customFormat="1" ht="13.5" customHeight="1">
      <c r="A27" s="1636" t="s">
        <v>1869</v>
      </c>
      <c r="B27" s="458" t="s">
        <v>512</v>
      </c>
      <c r="C27" s="3055">
        <f>ROUND(F27/(1+'数据-取费表'!C42),4)</f>
        <v>5.33E-2</v>
      </c>
      <c r="D27" s="461" t="s">
        <v>2835</v>
      </c>
      <c r="E27" s="461"/>
      <c r="F27" s="465">
        <f>'数据-取费表'!B41</f>
        <v>5.6000000000000001E-2</v>
      </c>
      <c r="G27" s="1958" t="s">
        <v>2293</v>
      </c>
      <c r="H27" s="446"/>
      <c r="I27" s="446"/>
      <c r="J27" s="446"/>
      <c r="K27" s="447"/>
    </row>
    <row r="28" spans="1:14" s="2119" customFormat="1" ht="13.5" customHeight="1">
      <c r="A28" s="1636" t="s">
        <v>1870</v>
      </c>
      <c r="B28" s="475" t="s">
        <v>513</v>
      </c>
      <c r="C28" s="469">
        <f ca="1">ROUND((C18+C19+C21+C24)/(1-C20-D21-D24-C27),0)</f>
        <v>35445</v>
      </c>
      <c r="D28" s="476"/>
      <c r="E28" s="468"/>
      <c r="F28" s="470"/>
      <c r="G28" s="1326" t="s">
        <v>2435</v>
      </c>
      <c r="H28" s="446"/>
      <c r="I28" s="446"/>
      <c r="J28" s="446"/>
      <c r="K28" s="447"/>
    </row>
    <row r="29" spans="1:14" s="2119" customFormat="1" ht="13.5" customHeight="1">
      <c r="A29" s="1636" t="s">
        <v>1871</v>
      </c>
      <c r="B29" s="475" t="s">
        <v>514</v>
      </c>
      <c r="C29" s="491">
        <f ca="1">IF(B1="",'数据-取费表'!N16,INDIRECT("'数据-取费表'!N"&amp;$K$1))</f>
        <v>0</v>
      </c>
      <c r="D29" s="492"/>
      <c r="E29" s="493"/>
      <c r="F29" s="494"/>
      <c r="G29" s="443"/>
      <c r="H29" s="446"/>
      <c r="I29" s="446"/>
      <c r="J29" s="446"/>
      <c r="K29" s="447"/>
    </row>
    <row r="30" spans="1:14" s="2119" customFormat="1" ht="13.5" customHeight="1">
      <c r="A30" s="442">
        <v>2</v>
      </c>
      <c r="B30" s="475" t="s">
        <v>515</v>
      </c>
      <c r="C30" s="496">
        <f ca="1">ROUND(C28*C29,0)</f>
        <v>0</v>
      </c>
      <c r="D30" s="492"/>
      <c r="E30" s="497"/>
      <c r="F30" s="498"/>
      <c r="G30" s="1328" t="s">
        <v>516</v>
      </c>
      <c r="H30" s="495"/>
      <c r="I30" s="495"/>
      <c r="J30" s="446"/>
      <c r="K30" s="447"/>
    </row>
    <row r="31" spans="1:14" s="2124" customFormat="1" ht="13.5" customHeight="1">
      <c r="A31" s="2504" t="s">
        <v>1867</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5" t="s">
        <v>2456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1687</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522</v>
      </c>
      <c r="B6" s="512"/>
      <c r="C6" s="3437" t="s">
        <v>523</v>
      </c>
      <c r="D6" s="3438"/>
      <c r="E6" s="3463" t="s">
        <v>524</v>
      </c>
      <c r="F6" s="3464"/>
      <c r="G6" s="3437" t="s">
        <v>525</v>
      </c>
      <c r="H6" s="3438"/>
      <c r="I6" s="3437" t="s">
        <v>526</v>
      </c>
      <c r="J6" s="3438"/>
      <c r="K6" s="513" t="s">
        <v>527</v>
      </c>
      <c r="L6" s="2131"/>
      <c r="M6" s="2132"/>
      <c r="N6" s="2132"/>
      <c r="O6" s="2132"/>
      <c r="P6" s="3439" t="s">
        <v>528</v>
      </c>
      <c r="Q6" s="3440"/>
      <c r="R6" s="3425" t="s">
        <v>524</v>
      </c>
      <c r="S6" s="3426"/>
      <c r="T6" s="3425" t="s">
        <v>525</v>
      </c>
      <c r="U6" s="3426"/>
      <c r="V6" s="3445" t="s">
        <v>526</v>
      </c>
      <c r="W6" s="3445"/>
      <c r="X6" s="1566"/>
      <c r="Y6" s="3425" t="s">
        <v>528</v>
      </c>
      <c r="Z6" s="3426"/>
      <c r="AA6" s="3420" t="s">
        <v>524</v>
      </c>
      <c r="AB6" s="3421" t="s">
        <v>525</v>
      </c>
      <c r="AC6" s="3420" t="s">
        <v>526</v>
      </c>
    </row>
    <row r="7" spans="1:29" ht="15">
      <c r="A7" s="514"/>
      <c r="B7" s="515"/>
      <c r="C7" s="3450" t="s">
        <v>2931</v>
      </c>
      <c r="D7" s="3449"/>
      <c r="E7" s="3465" t="s">
        <v>2932</v>
      </c>
      <c r="F7" s="3466"/>
      <c r="G7" s="3450" t="s">
        <v>2933</v>
      </c>
      <c r="H7" s="3449"/>
      <c r="I7" s="3450" t="s">
        <v>2934</v>
      </c>
      <c r="J7" s="3449"/>
      <c r="K7" s="513"/>
      <c r="L7" s="2131"/>
      <c r="M7" s="2132"/>
      <c r="N7" s="2132"/>
      <c r="O7" s="2132"/>
      <c r="P7" s="3441"/>
      <c r="Q7" s="3442"/>
      <c r="R7" s="3427"/>
      <c r="S7" s="3428"/>
      <c r="T7" s="3427"/>
      <c r="U7" s="3428"/>
      <c r="V7" s="3445"/>
      <c r="W7" s="3445"/>
      <c r="X7" s="1566"/>
      <c r="Y7" s="3427"/>
      <c r="Z7" s="3428"/>
      <c r="AA7" s="3421"/>
      <c r="AB7" s="3421"/>
      <c r="AC7" s="3421"/>
    </row>
    <row r="8" spans="1:29" ht="15.75" thickBot="1">
      <c r="A8" s="516"/>
      <c r="B8" s="517"/>
      <c r="C8" s="3467" t="s">
        <v>2935</v>
      </c>
      <c r="D8" s="3447"/>
      <c r="E8" s="3468" t="s">
        <v>2935</v>
      </c>
      <c r="F8" s="3469"/>
      <c r="G8" s="3467" t="s">
        <v>2935</v>
      </c>
      <c r="H8" s="3447"/>
      <c r="I8" s="3467" t="s">
        <v>2935</v>
      </c>
      <c r="J8" s="3447"/>
      <c r="K8" s="513" t="s">
        <v>529</v>
      </c>
      <c r="L8" s="2131"/>
      <c r="M8" s="2132"/>
      <c r="N8" s="2132"/>
      <c r="O8" s="2132"/>
      <c r="P8" s="3443"/>
      <c r="Q8" s="3444"/>
      <c r="R8" s="3427"/>
      <c r="S8" s="3428"/>
      <c r="T8" s="3429"/>
      <c r="U8" s="3430"/>
      <c r="V8" s="3445"/>
      <c r="W8" s="3445"/>
      <c r="X8" s="1566"/>
      <c r="Y8" s="3429"/>
      <c r="Z8" s="3430"/>
      <c r="AA8" s="3422"/>
      <c r="AB8" s="3422"/>
      <c r="AC8" s="3422"/>
    </row>
    <row r="9" spans="1:29" s="1219" customFormat="1" ht="15.75" thickBot="1">
      <c r="A9" s="2936"/>
      <c r="B9" s="2943" t="s">
        <v>530</v>
      </c>
      <c r="C9" s="518">
        <f>'数据-取费表'!B2</f>
        <v>43104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23" t="s">
        <v>531</v>
      </c>
      <c r="Q9" s="3432"/>
      <c r="R9" s="1567" t="s">
        <v>8</v>
      </c>
      <c r="S9" s="1568">
        <f t="shared" ref="S9:S17" si="0">F9</f>
        <v>0</v>
      </c>
      <c r="T9" s="1567" t="s">
        <v>8</v>
      </c>
      <c r="U9" s="1568">
        <f t="shared" ref="U9:U17" si="1">H9</f>
        <v>0</v>
      </c>
      <c r="V9" s="1567" t="s">
        <v>8</v>
      </c>
      <c r="W9" s="1568">
        <f t="shared" ref="W9:W17" si="2">J9</f>
        <v>0</v>
      </c>
      <c r="X9" s="1569"/>
      <c r="Y9" s="3423" t="s">
        <v>531</v>
      </c>
      <c r="Z9" s="3424"/>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23" t="s">
        <v>534</v>
      </c>
      <c r="Q10" s="3424"/>
      <c r="R10" s="1567" t="s">
        <v>8</v>
      </c>
      <c r="S10" s="1568">
        <f t="shared" si="0"/>
        <v>0</v>
      </c>
      <c r="T10" s="1567" t="s">
        <v>8</v>
      </c>
      <c r="U10" s="1568">
        <f t="shared" si="1"/>
        <v>0</v>
      </c>
      <c r="V10" s="1567" t="s">
        <v>8</v>
      </c>
      <c r="W10" s="1568">
        <f t="shared" si="2"/>
        <v>0</v>
      </c>
      <c r="X10" s="1569"/>
      <c r="Y10" s="3423" t="s">
        <v>534</v>
      </c>
      <c r="Z10" s="3424"/>
      <c r="AA10" s="1570" t="e">
        <f t="shared" ref="AA10:AA42" si="3">D10/F10</f>
        <v>#DIV/0!</v>
      </c>
      <c r="AB10" s="1570" t="e">
        <f t="shared" ref="AB10:AB42" si="4">D10/H10</f>
        <v>#DIV/0!</v>
      </c>
      <c r="AC10" s="1570" t="e">
        <f t="shared" ref="AC10:AC42" si="5">D10/J10</f>
        <v>#DIV/0!</v>
      </c>
    </row>
    <row r="11" spans="1:29" s="1219" customFormat="1" ht="15">
      <c r="A11" s="2938"/>
      <c r="B11" s="2945" t="s">
        <v>2761</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31" t="s">
        <v>536</v>
      </c>
      <c r="Q11" s="1150" t="str">
        <f t="shared" ref="Q11:Q17" si="6">B11</f>
        <v>用途</v>
      </c>
      <c r="R11" s="1567" t="s">
        <v>8</v>
      </c>
      <c r="S11" s="1568">
        <f t="shared" si="0"/>
        <v>100</v>
      </c>
      <c r="T11" s="1567" t="s">
        <v>8</v>
      </c>
      <c r="U11" s="1568">
        <f t="shared" si="1"/>
        <v>100</v>
      </c>
      <c r="V11" s="1567" t="s">
        <v>8</v>
      </c>
      <c r="W11" s="1568">
        <f t="shared" si="2"/>
        <v>100</v>
      </c>
      <c r="X11" s="1569"/>
      <c r="Y11" s="3388" t="s">
        <v>537</v>
      </c>
      <c r="Z11" s="1149" t="str">
        <f t="shared" ref="Z11:Z17" si="7">Q11</f>
        <v>用途</v>
      </c>
      <c r="AA11" s="1570">
        <f t="shared" si="3"/>
        <v>1</v>
      </c>
      <c r="AB11" s="1570">
        <f t="shared" si="4"/>
        <v>1</v>
      </c>
      <c r="AC11" s="1570">
        <f t="shared" si="5"/>
        <v>1</v>
      </c>
    </row>
    <row r="12" spans="1:29" s="1337" customFormat="1" ht="27">
      <c r="A12" s="2939"/>
      <c r="B12" s="2944" t="s">
        <v>2762</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31"/>
      <c r="Q12" s="1150" t="str">
        <f t="shared" si="6"/>
        <v>土地使用年限（年）</v>
      </c>
      <c r="R12" s="1567" t="s">
        <v>8</v>
      </c>
      <c r="S12" s="1568">
        <f t="shared" si="0"/>
        <v>101</v>
      </c>
      <c r="T12" s="1567" t="s">
        <v>8</v>
      </c>
      <c r="U12" s="1568">
        <f t="shared" si="1"/>
        <v>101</v>
      </c>
      <c r="V12" s="1567" t="s">
        <v>8</v>
      </c>
      <c r="W12" s="1568">
        <f t="shared" si="2"/>
        <v>101</v>
      </c>
      <c r="X12" s="1569"/>
      <c r="Y12" s="3388"/>
      <c r="Z12" s="1149" t="str">
        <f t="shared" si="7"/>
        <v>土地使用年限（年）</v>
      </c>
      <c r="AA12" s="1570">
        <f t="shared" si="3"/>
        <v>0.99009900990099009</v>
      </c>
      <c r="AB12" s="1570">
        <f t="shared" si="4"/>
        <v>0.99009900990099009</v>
      </c>
      <c r="AC12" s="1570">
        <f t="shared" si="5"/>
        <v>0.99009900990099009</v>
      </c>
    </row>
    <row r="13" spans="1:29" ht="15">
      <c r="A13" s="2940"/>
      <c r="B13" s="2944" t="s">
        <v>2763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31"/>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31"/>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31"/>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31"/>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 t="shared" si="3"/>
        <v>1</v>
      </c>
      <c r="AB16" s="1570">
        <f t="shared" si="4"/>
        <v>1</v>
      </c>
      <c r="AC16" s="1570">
        <f t="shared" si="5"/>
        <v>1</v>
      </c>
    </row>
    <row r="17" spans="1:29" ht="57">
      <c r="A17" s="2934" t="s">
        <v>2759</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3" t="s">
        <v>541</v>
      </c>
      <c r="Q17" s="1571" t="str">
        <f t="shared" si="6"/>
        <v>产业集聚程度</v>
      </c>
      <c r="R17" s="1572" t="s">
        <v>8</v>
      </c>
      <c r="S17" s="1573">
        <f t="shared" si="0"/>
        <v>100</v>
      </c>
      <c r="T17" s="1572" t="s">
        <v>8</v>
      </c>
      <c r="U17" s="1573">
        <f t="shared" si="1"/>
        <v>100</v>
      </c>
      <c r="V17" s="1572" t="s">
        <v>8</v>
      </c>
      <c r="W17" s="1573">
        <f t="shared" si="2"/>
        <v>100</v>
      </c>
      <c r="X17" s="1566"/>
      <c r="Y17" s="3433"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34"/>
      <c r="Q18" s="1571"/>
      <c r="R18" s="1572"/>
      <c r="S18" s="1573"/>
      <c r="T18" s="1572"/>
      <c r="U18" s="1573"/>
      <c r="V18" s="1572"/>
      <c r="W18" s="1573"/>
      <c r="X18" s="1566"/>
      <c r="Y18" s="3434"/>
      <c r="Z18" s="1574"/>
      <c r="AA18" s="1575">
        <v>1</v>
      </c>
      <c r="AB18" s="1575">
        <v>1</v>
      </c>
      <c r="AC18" s="1575">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4"/>
      <c r="Q19" s="1571" t="str">
        <f>B19</f>
        <v>交通便捷度</v>
      </c>
      <c r="R19" s="1572" t="s">
        <v>8</v>
      </c>
      <c r="S19" s="1573">
        <f>F19</f>
        <v>100</v>
      </c>
      <c r="T19" s="1572" t="s">
        <v>8</v>
      </c>
      <c r="U19" s="1573">
        <f>H19</f>
        <v>100</v>
      </c>
      <c r="V19" s="1572" t="s">
        <v>8</v>
      </c>
      <c r="W19" s="1573">
        <f>J19</f>
        <v>100</v>
      </c>
      <c r="X19" s="1566"/>
      <c r="Y19" s="343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34"/>
      <c r="Q21" s="1571" t="str">
        <f t="shared" ref="Q21:Q35" si="8">B21</f>
        <v>区域土地利用方向</v>
      </c>
      <c r="R21" s="1572" t="s">
        <v>8</v>
      </c>
      <c r="S21" s="1573">
        <f>F21</f>
        <v>100</v>
      </c>
      <c r="T21" s="1572" t="s">
        <v>8</v>
      </c>
      <c r="U21" s="1573">
        <f>H21</f>
        <v>100</v>
      </c>
      <c r="V21" s="1572" t="s">
        <v>8</v>
      </c>
      <c r="W21" s="1573">
        <f>J21</f>
        <v>100</v>
      </c>
      <c r="X21" s="1566"/>
      <c r="Y21" s="343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434"/>
      <c r="Q22" s="1571"/>
      <c r="R22" s="1572"/>
      <c r="S22" s="1573"/>
      <c r="T22" s="1572"/>
      <c r="U22" s="1573"/>
      <c r="V22" s="1572"/>
      <c r="W22" s="1573"/>
      <c r="X22" s="1566"/>
      <c r="Y22" s="3434"/>
      <c r="Z22" s="1574"/>
      <c r="AA22" s="1575"/>
      <c r="AB22" s="1575"/>
      <c r="AC22" s="1575"/>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4"/>
      <c r="Q23" s="1571" t="str">
        <f t="shared" si="8"/>
        <v>环境状况</v>
      </c>
      <c r="R23" s="1572" t="s">
        <v>8</v>
      </c>
      <c r="S23" s="1573">
        <f>F23</f>
        <v>100</v>
      </c>
      <c r="T23" s="1572" t="s">
        <v>8</v>
      </c>
      <c r="U23" s="1573">
        <f>H23</f>
        <v>100</v>
      </c>
      <c r="V23" s="1572" t="s">
        <v>8</v>
      </c>
      <c r="W23" s="1573">
        <f>J23</f>
        <v>100</v>
      </c>
      <c r="X23" s="1566"/>
      <c r="Y23" s="343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34"/>
      <c r="Q24" s="1571"/>
      <c r="R24" s="1572"/>
      <c r="S24" s="1573"/>
      <c r="T24" s="1572"/>
      <c r="U24" s="1573"/>
      <c r="V24" s="1572"/>
      <c r="W24" s="1573"/>
      <c r="X24" s="1566"/>
      <c r="Y24" s="3434"/>
      <c r="Z24" s="1574"/>
      <c r="AA24" s="1575">
        <v>1</v>
      </c>
      <c r="AB24" s="1575">
        <v>1</v>
      </c>
      <c r="AC24" s="1575">
        <v>1</v>
      </c>
    </row>
    <row r="25" spans="1:29" s="1219" customFormat="1" ht="42.75">
      <c r="A25" s="576"/>
      <c r="B25" s="2615"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4"/>
      <c r="Q25" s="1150" t="str">
        <f t="shared" si="8"/>
        <v>公共配套设施</v>
      </c>
      <c r="R25" s="1567" t="s">
        <v>8</v>
      </c>
      <c r="S25" s="1568">
        <f>F25</f>
        <v>100</v>
      </c>
      <c r="T25" s="1567" t="s">
        <v>8</v>
      </c>
      <c r="U25" s="1568">
        <f>H25</f>
        <v>100</v>
      </c>
      <c r="V25" s="1567" t="s">
        <v>8</v>
      </c>
      <c r="W25" s="1568">
        <f>J25</f>
        <v>100</v>
      </c>
      <c r="X25" s="1569"/>
      <c r="Y25" s="3434"/>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3"/>
      <c r="M26" s="2134"/>
      <c r="N26" s="2134"/>
      <c r="O26" s="2135"/>
      <c r="P26" s="3434"/>
      <c r="Q26" s="1150"/>
      <c r="R26" s="1567"/>
      <c r="S26" s="1568"/>
      <c r="T26" s="1567"/>
      <c r="U26" s="1568"/>
      <c r="V26" s="1567"/>
      <c r="W26" s="1568"/>
      <c r="X26" s="1569"/>
      <c r="Y26" s="3434"/>
      <c r="Z26" s="1149"/>
      <c r="AA26" s="1570">
        <v>1</v>
      </c>
      <c r="AB26" s="1570">
        <v>1</v>
      </c>
      <c r="AC26" s="1570">
        <v>1</v>
      </c>
    </row>
    <row r="27" spans="1:29" s="1219" customFormat="1" ht="28.5">
      <c r="A27" s="576"/>
      <c r="B27" s="2615"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4"/>
      <c r="Q27" s="2600" t="str">
        <f t="shared" ref="Q27" si="9">B27</f>
        <v>基础设施水平</v>
      </c>
      <c r="R27" s="1567" t="s">
        <v>8</v>
      </c>
      <c r="S27" s="1568">
        <f>F27</f>
        <v>100</v>
      </c>
      <c r="T27" s="1567" t="s">
        <v>8</v>
      </c>
      <c r="U27" s="1568">
        <f>H27</f>
        <v>100</v>
      </c>
      <c r="V27" s="1567" t="s">
        <v>8</v>
      </c>
      <c r="W27" s="1568">
        <f>J27</f>
        <v>100</v>
      </c>
      <c r="X27" s="1569"/>
      <c r="Y27" s="3434"/>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3"/>
      <c r="M28" s="2134"/>
      <c r="N28" s="2134"/>
      <c r="O28" s="2135"/>
      <c r="P28" s="3434"/>
      <c r="Q28" s="2600"/>
      <c r="R28" s="1567"/>
      <c r="S28" s="1568"/>
      <c r="T28" s="1567"/>
      <c r="U28" s="1568"/>
      <c r="V28" s="1567"/>
      <c r="W28" s="1568"/>
      <c r="X28" s="1569"/>
      <c r="Y28" s="3434"/>
      <c r="Z28" s="2597"/>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4"/>
      <c r="Z29" s="1574" t="str">
        <f t="shared" ref="Z29:Z42" si="13">Q29</f>
        <v>临街状况</v>
      </c>
      <c r="AA29" s="1575">
        <f t="shared" si="3"/>
        <v>1</v>
      </c>
      <c r="AB29" s="1575">
        <f t="shared" si="4"/>
        <v>1</v>
      </c>
      <c r="AC29" s="1575">
        <f t="shared" si="5"/>
        <v>1</v>
      </c>
    </row>
    <row r="30" spans="1:29" ht="27">
      <c r="A30" s="531"/>
      <c r="B30" s="921" t="s">
        <v>549</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4"/>
      <c r="Q30" s="1571" t="str">
        <f t="shared" si="8"/>
        <v>毗邻道路的类型与等级</v>
      </c>
      <c r="R30" s="1572" t="s">
        <v>8</v>
      </c>
      <c r="S30" s="1573">
        <f t="shared" si="10"/>
        <v>100</v>
      </c>
      <c r="T30" s="1572" t="s">
        <v>8</v>
      </c>
      <c r="U30" s="1573">
        <f t="shared" si="11"/>
        <v>100</v>
      </c>
      <c r="V30" s="1572" t="s">
        <v>8</v>
      </c>
      <c r="W30" s="1573">
        <f t="shared" si="12"/>
        <v>100</v>
      </c>
      <c r="X30" s="1566"/>
      <c r="Y30" s="3434"/>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0"/>
      <c r="M31" s="2132"/>
      <c r="N31" s="2132"/>
      <c r="O31" s="2139"/>
      <c r="P31" s="3434"/>
      <c r="Q31" s="1571"/>
      <c r="R31" s="1572"/>
      <c r="S31" s="1573"/>
      <c r="T31" s="1572"/>
      <c r="U31" s="1573"/>
      <c r="V31" s="1572"/>
      <c r="W31" s="1573"/>
      <c r="X31" s="1566"/>
      <c r="Y31" s="3434"/>
      <c r="Z31" s="1574"/>
      <c r="AA31" s="1575">
        <v>1</v>
      </c>
      <c r="AB31" s="1575">
        <v>1</v>
      </c>
      <c r="AC31" s="1575">
        <v>1</v>
      </c>
    </row>
    <row r="32" spans="1:29" ht="15">
      <c r="A32" s="531"/>
      <c r="B32" s="526" t="s">
        <v>550</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4"/>
      <c r="Q32" s="1571" t="str">
        <f t="shared" si="8"/>
        <v>土地级别</v>
      </c>
      <c r="R32" s="1572" t="s">
        <v>8</v>
      </c>
      <c r="S32" s="1573">
        <f t="shared" si="10"/>
        <v>100</v>
      </c>
      <c r="T32" s="1572" t="s">
        <v>8</v>
      </c>
      <c r="U32" s="1573">
        <f t="shared" si="11"/>
        <v>100</v>
      </c>
      <c r="V32" s="1572" t="s">
        <v>8</v>
      </c>
      <c r="W32" s="1573">
        <f t="shared" si="12"/>
        <v>100</v>
      </c>
      <c r="X32" s="1566"/>
      <c r="Y32" s="343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4"/>
      <c r="Q33" s="1571">
        <f t="shared" si="8"/>
        <v>111</v>
      </c>
      <c r="R33" s="1572" t="s">
        <v>8</v>
      </c>
      <c r="S33" s="1573">
        <f t="shared" si="10"/>
        <v>100</v>
      </c>
      <c r="T33" s="1572" t="s">
        <v>8</v>
      </c>
      <c r="U33" s="1573">
        <f t="shared" si="11"/>
        <v>100</v>
      </c>
      <c r="V33" s="1572" t="s">
        <v>8</v>
      </c>
      <c r="W33" s="1573">
        <f t="shared" si="12"/>
        <v>100</v>
      </c>
      <c r="X33" s="1566"/>
      <c r="Y33" s="343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5" t="s">
        <v>551</v>
      </c>
      <c r="Q34" s="1571">
        <f t="shared" si="8"/>
        <v>111</v>
      </c>
      <c r="R34" s="1572" t="s">
        <v>8</v>
      </c>
      <c r="S34" s="1573">
        <f t="shared" si="10"/>
        <v>100</v>
      </c>
      <c r="T34" s="1572" t="s">
        <v>8</v>
      </c>
      <c r="U34" s="1573">
        <f t="shared" si="11"/>
        <v>100</v>
      </c>
      <c r="V34" s="1572" t="s">
        <v>8</v>
      </c>
      <c r="W34" s="1573">
        <f t="shared" si="12"/>
        <v>100</v>
      </c>
      <c r="X34" s="1566"/>
      <c r="Y34" s="3436" t="s">
        <v>551</v>
      </c>
      <c r="Z34" s="1574">
        <f t="shared" si="13"/>
        <v>111</v>
      </c>
      <c r="AA34" s="1575">
        <f t="shared" si="3"/>
        <v>1</v>
      </c>
      <c r="AB34" s="1575">
        <f t="shared" si="4"/>
        <v>1</v>
      </c>
      <c r="AC34" s="1575">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6"/>
      <c r="Q35" s="1571">
        <f t="shared" si="8"/>
        <v>111</v>
      </c>
      <c r="R35" s="1576" t="s">
        <v>8</v>
      </c>
      <c r="S35" s="1577">
        <f t="shared" si="10"/>
        <v>100</v>
      </c>
      <c r="T35" s="1576" t="s">
        <v>8</v>
      </c>
      <c r="U35" s="1577">
        <f t="shared" si="11"/>
        <v>100</v>
      </c>
      <c r="V35" s="1576" t="s">
        <v>8</v>
      </c>
      <c r="W35" s="1577">
        <f t="shared" si="12"/>
        <v>100</v>
      </c>
      <c r="X35" s="1578"/>
      <c r="Y35" s="3436"/>
      <c r="Z35" s="1579">
        <f t="shared" si="13"/>
        <v>111</v>
      </c>
      <c r="AA35" s="1575">
        <f t="shared" si="3"/>
        <v>1</v>
      </c>
      <c r="AB35" s="1575">
        <f t="shared" si="4"/>
        <v>1</v>
      </c>
      <c r="AC35" s="1575">
        <f t="shared" si="5"/>
        <v>1</v>
      </c>
    </row>
    <row r="36" spans="1:29" ht="15">
      <c r="A36" s="2931" t="s">
        <v>2760</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6"/>
      <c r="Q36" s="1571" t="str">
        <f>B36</f>
        <v>宗地面积</v>
      </c>
      <c r="R36" s="1572" t="s">
        <v>8</v>
      </c>
      <c r="S36" s="1573" t="e">
        <f t="shared" si="10"/>
        <v>#N/A</v>
      </c>
      <c r="T36" s="1572" t="s">
        <v>8</v>
      </c>
      <c r="U36" s="1573" t="e">
        <f t="shared" si="11"/>
        <v>#N/A</v>
      </c>
      <c r="V36" s="1572" t="s">
        <v>8</v>
      </c>
      <c r="W36" s="1573" t="e">
        <f t="shared" si="12"/>
        <v>#N/A</v>
      </c>
      <c r="X36" s="1566"/>
      <c r="Y36" s="3436"/>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6"/>
      <c r="Q37" s="1571" t="str">
        <f t="shared" ref="Q37:Q42" si="14">B37</f>
        <v>宗地形状</v>
      </c>
      <c r="R37" s="1572" t="s">
        <v>8</v>
      </c>
      <c r="S37" s="1573">
        <f t="shared" si="10"/>
        <v>100</v>
      </c>
      <c r="T37" s="1572" t="s">
        <v>8</v>
      </c>
      <c r="U37" s="1573">
        <f t="shared" si="11"/>
        <v>100</v>
      </c>
      <c r="V37" s="1572" t="s">
        <v>8</v>
      </c>
      <c r="W37" s="1573">
        <f t="shared" si="12"/>
        <v>100</v>
      </c>
      <c r="X37" s="1566"/>
      <c r="Y37" s="3436"/>
      <c r="Z37" s="1574" t="str">
        <f t="shared" si="13"/>
        <v>宗地形状</v>
      </c>
      <c r="AA37" s="1575">
        <f t="shared" si="3"/>
        <v>1</v>
      </c>
      <c r="AB37" s="1575">
        <f t="shared" si="4"/>
        <v>1</v>
      </c>
      <c r="AC37" s="1575">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6"/>
      <c r="Q38" s="1571" t="str">
        <f t="shared" si="14"/>
        <v>宗地开发程度</v>
      </c>
      <c r="R38" s="1567" t="s">
        <v>8</v>
      </c>
      <c r="S38" s="1568">
        <f t="shared" si="10"/>
        <v>100</v>
      </c>
      <c r="T38" s="1567" t="s">
        <v>8</v>
      </c>
      <c r="U38" s="1568">
        <f t="shared" si="11"/>
        <v>100</v>
      </c>
      <c r="V38" s="1567" t="s">
        <v>8</v>
      </c>
      <c r="W38" s="1568">
        <f t="shared" si="12"/>
        <v>100</v>
      </c>
      <c r="X38" s="1569"/>
      <c r="Y38" s="3436"/>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6" t="s">
        <v>602</v>
      </c>
      <c r="Q39" s="1571" t="str">
        <f t="shared" si="14"/>
        <v>工程地质条件</v>
      </c>
      <c r="R39" s="1572" t="s">
        <v>8</v>
      </c>
      <c r="S39" s="1573">
        <f t="shared" si="10"/>
        <v>100</v>
      </c>
      <c r="T39" s="1572" t="s">
        <v>8</v>
      </c>
      <c r="U39" s="1573">
        <f t="shared" si="11"/>
        <v>100</v>
      </c>
      <c r="V39" s="1572" t="s">
        <v>8</v>
      </c>
      <c r="W39" s="1573">
        <f t="shared" si="12"/>
        <v>100</v>
      </c>
      <c r="X39" s="1566"/>
      <c r="Y39" s="3436"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6"/>
      <c r="Q40" s="1571">
        <f t="shared" si="14"/>
        <v>111</v>
      </c>
      <c r="R40" s="1572" t="s">
        <v>8</v>
      </c>
      <c r="S40" s="1573">
        <f t="shared" si="10"/>
        <v>100</v>
      </c>
      <c r="T40" s="1572" t="s">
        <v>8</v>
      </c>
      <c r="U40" s="1573">
        <f t="shared" si="11"/>
        <v>100</v>
      </c>
      <c r="V40" s="1572" t="s">
        <v>8</v>
      </c>
      <c r="W40" s="1573">
        <f t="shared" si="12"/>
        <v>100</v>
      </c>
      <c r="X40" s="1566"/>
      <c r="Y40" s="343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6"/>
      <c r="Q41" s="1571">
        <f t="shared" si="14"/>
        <v>111</v>
      </c>
      <c r="R41" s="1572" t="s">
        <v>8</v>
      </c>
      <c r="S41" s="1573">
        <f t="shared" si="10"/>
        <v>100</v>
      </c>
      <c r="T41" s="1572" t="s">
        <v>8</v>
      </c>
      <c r="U41" s="1573">
        <f t="shared" si="11"/>
        <v>100</v>
      </c>
      <c r="V41" s="1572" t="s">
        <v>8</v>
      </c>
      <c r="W41" s="1573">
        <f t="shared" si="12"/>
        <v>100</v>
      </c>
      <c r="X41" s="1566"/>
      <c r="Y41" s="343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6"/>
      <c r="Q42" s="1571">
        <f t="shared" si="14"/>
        <v>111</v>
      </c>
      <c r="R42" s="1576" t="s">
        <v>8</v>
      </c>
      <c r="S42" s="1577">
        <f t="shared" si="10"/>
        <v>100</v>
      </c>
      <c r="T42" s="1576" t="s">
        <v>8</v>
      </c>
      <c r="U42" s="1577">
        <f t="shared" si="11"/>
        <v>100</v>
      </c>
      <c r="V42" s="1576" t="s">
        <v>8</v>
      </c>
      <c r="W42" s="1577">
        <f t="shared" si="12"/>
        <v>100</v>
      </c>
      <c r="X42" s="1578"/>
      <c r="Y42" s="3436"/>
      <c r="Z42" s="1579">
        <f t="shared" si="13"/>
        <v>111</v>
      </c>
      <c r="AA42" s="1575">
        <f t="shared" si="3"/>
        <v>1</v>
      </c>
      <c r="AB42" s="1575">
        <f t="shared" si="4"/>
        <v>1</v>
      </c>
      <c r="AC42" s="1575">
        <f t="shared" si="5"/>
        <v>1</v>
      </c>
    </row>
    <row r="43" spans="1:29" ht="15">
      <c r="A43" s="606" t="s">
        <v>557</v>
      </c>
      <c r="B43" s="607" t="s">
        <v>2936</v>
      </c>
      <c r="C43" s="608" t="s">
        <v>1</v>
      </c>
      <c r="D43" s="609"/>
      <c r="E43" s="610"/>
      <c r="F43" s="611"/>
      <c r="G43" s="612"/>
      <c r="H43" s="613"/>
      <c r="I43" s="610"/>
      <c r="J43" s="613"/>
      <c r="K43" s="1339"/>
      <c r="L43" s="2142"/>
      <c r="M43" s="2132"/>
      <c r="N43" s="2132"/>
      <c r="O43" s="2143"/>
      <c r="P43" s="3431" t="str">
        <f>A43</f>
        <v>成交单价</v>
      </c>
      <c r="Q43" s="3431"/>
      <c r="R43" s="3445">
        <f>E43</f>
        <v>0</v>
      </c>
      <c r="S43" s="3445"/>
      <c r="T43" s="3445">
        <f>G43</f>
        <v>0</v>
      </c>
      <c r="U43" s="3445"/>
      <c r="V43" s="3445">
        <f>I43</f>
        <v>0</v>
      </c>
      <c r="W43" s="3445"/>
      <c r="X43" s="1558"/>
      <c r="Y43" s="1580"/>
      <c r="Z43" s="1558"/>
      <c r="AA43" s="1558"/>
      <c r="AB43" s="1558"/>
      <c r="AC43" s="1558"/>
    </row>
    <row r="44" spans="1:29" ht="15.75" thickBot="1">
      <c r="A44" s="614" t="s">
        <v>2698</v>
      </c>
      <c r="B44" s="615"/>
      <c r="C44" s="616" t="e">
        <f>R45</f>
        <v>#DIV/0!</v>
      </c>
      <c r="D44" s="617"/>
      <c r="E44" s="616" t="e">
        <f>R44</f>
        <v>#DIV/0!</v>
      </c>
      <c r="F44" s="618"/>
      <c r="G44" s="619" t="e">
        <f>T44</f>
        <v>#DIV/0!</v>
      </c>
      <c r="H44" s="617"/>
      <c r="I44" s="616" t="e">
        <f>V44</f>
        <v>#DIV/0!</v>
      </c>
      <c r="J44" s="617"/>
      <c r="K44" s="1340"/>
      <c r="L44" s="2142"/>
      <c r="M44" s="2132"/>
      <c r="N44" s="2132"/>
      <c r="O44" s="2143"/>
      <c r="P44" s="3431" t="str">
        <f>A44</f>
        <v>比较价格（元/平方米）</v>
      </c>
      <c r="Q44" s="3431"/>
      <c r="R44" s="3457" t="e">
        <f>ROUND(PRODUCT(R43,AA9:AA42),0)</f>
        <v>#DIV/0!</v>
      </c>
      <c r="S44" s="3457"/>
      <c r="T44" s="3457" t="e">
        <f>ROUND(PRODUCT(T43,AB9:AB42),0)</f>
        <v>#DIV/0!</v>
      </c>
      <c r="U44" s="3457"/>
      <c r="V44" s="3457" t="e">
        <f>ROUND(PRODUCT(V43,AC9:AC42),0)</f>
        <v>#DIV/0!</v>
      </c>
      <c r="W44" s="3457"/>
      <c r="X44" s="1558"/>
      <c r="Y44" s="1558"/>
      <c r="Z44" s="1558"/>
      <c r="AA44" s="1558"/>
      <c r="AB44" s="1558"/>
      <c r="AC44" s="1558"/>
    </row>
    <row r="45" spans="1:29" ht="15.75" thickBot="1">
      <c r="A45" s="620" t="s">
        <v>2937</v>
      </c>
      <c r="B45" s="621"/>
      <c r="C45" s="622" t="e">
        <f>R45</f>
        <v>#DIV/0!</v>
      </c>
      <c r="D45" s="622"/>
      <c r="E45" s="622"/>
      <c r="F45" s="622"/>
      <c r="G45" s="622"/>
      <c r="H45" s="622"/>
      <c r="I45" s="622"/>
      <c r="J45" s="622"/>
      <c r="K45" s="1341"/>
      <c r="L45" s="2142"/>
      <c r="M45" s="2132"/>
      <c r="N45" s="2132"/>
      <c r="O45" s="2143"/>
      <c r="P45" s="3454" t="str">
        <f>A45</f>
        <v>估价对象XX用房的比较价格（楼面单价，元/平方米）</v>
      </c>
      <c r="Q45" s="3455"/>
      <c r="R45" s="3456" t="e">
        <f>ROUND(AVERAGE(R44:V44),0)</f>
        <v>#DIV/0!</v>
      </c>
      <c r="S45" s="3456"/>
      <c r="T45" s="3456"/>
      <c r="U45" s="3456"/>
      <c r="V45" s="3456"/>
      <c r="W45" s="3456"/>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561</v>
      </c>
      <c r="B52" s="629" t="s">
        <v>562</v>
      </c>
      <c r="C52" s="1559" t="s">
        <v>1726</v>
      </c>
      <c r="D52" s="2225" t="s">
        <v>2295</v>
      </c>
      <c r="E52" s="630" t="s">
        <v>563</v>
      </c>
      <c r="F52" s="1949" t="s">
        <v>564</v>
      </c>
      <c r="G52" s="3458" t="s">
        <v>2286</v>
      </c>
      <c r="H52" s="3459"/>
      <c r="I52" s="1950" t="s">
        <v>1949</v>
      </c>
      <c r="J52" s="1554" t="str">
        <f>项目基本情况!F41</f>
        <v>四川省峨眉山市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565</v>
      </c>
      <c r="B53" s="633" t="e">
        <f>C45</f>
        <v>#DIV/0!</v>
      </c>
      <c r="C53" s="634">
        <v>1</v>
      </c>
      <c r="D53" s="2226">
        <v>1</v>
      </c>
      <c r="E53" s="634">
        <f>'数据-汇总表'!E8+'数据-汇总表'!E9</f>
        <v>118125.52</v>
      </c>
      <c r="F53" s="1948" t="e">
        <f t="shared" ref="F53:F62" si="15">ROUND(B53*E53/10000,0)</f>
        <v>#DIV/0!</v>
      </c>
      <c r="G53" s="3460"/>
      <c r="H53" s="3461"/>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566</v>
      </c>
      <c r="B54" s="637" t="e">
        <f>ROUND($C$45*C54*D54,0)</f>
        <v>#DIV/0!</v>
      </c>
      <c r="C54" s="377">
        <f t="shared" ref="C54:C62" si="16">IF($C$52="北京市系数",I54,J54)</f>
        <v>0</v>
      </c>
      <c r="D54" s="2227">
        <v>0.25</v>
      </c>
      <c r="E54" s="638"/>
      <c r="F54" s="1948" t="e">
        <f t="shared" si="15"/>
        <v>#DIV/0!</v>
      </c>
      <c r="G54" s="3462"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567</v>
      </c>
      <c r="B55" s="637" t="e">
        <f t="shared" ref="B55:B62" si="17">ROUND($C$45*C55*D55,0)</f>
        <v>#DIV/0!</v>
      </c>
      <c r="C55" s="377">
        <f t="shared" si="16"/>
        <v>0</v>
      </c>
      <c r="D55" s="2227">
        <v>0.25</v>
      </c>
      <c r="E55" s="638"/>
      <c r="F55" s="1948" t="e">
        <f t="shared" si="15"/>
        <v>#DIV/0!</v>
      </c>
      <c r="G55" s="3462"/>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568</v>
      </c>
      <c r="B56" s="637" t="e">
        <f t="shared" si="17"/>
        <v>#DIV/0!</v>
      </c>
      <c r="C56" s="377">
        <f t="shared" si="16"/>
        <v>0</v>
      </c>
      <c r="D56" s="2227">
        <v>0.25</v>
      </c>
      <c r="E56" s="638"/>
      <c r="F56" s="1948" t="e">
        <f t="shared" si="15"/>
        <v>#DIV/0!</v>
      </c>
      <c r="G56" s="3462"/>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569</v>
      </c>
      <c r="B57" s="637" t="e">
        <f t="shared" si="17"/>
        <v>#DIV/0!</v>
      </c>
      <c r="C57" s="377">
        <f t="shared" si="16"/>
        <v>0</v>
      </c>
      <c r="D57" s="2227">
        <v>0.25</v>
      </c>
      <c r="E57" s="638"/>
      <c r="F57" s="1948" t="e">
        <f t="shared" si="15"/>
        <v>#DIV/0!</v>
      </c>
      <c r="G57" s="3462"/>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2329</v>
      </c>
      <c r="B58" s="637" t="e">
        <f t="shared" si="17"/>
        <v>#DIV/0!</v>
      </c>
      <c r="C58" s="377">
        <f t="shared" si="16"/>
        <v>0</v>
      </c>
      <c r="D58" s="2227">
        <v>0.25</v>
      </c>
      <c r="E58" s="640">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570</v>
      </c>
      <c r="B59" s="637" t="e">
        <f t="shared" si="17"/>
        <v>#DIV/0!</v>
      </c>
      <c r="C59" s="377">
        <f t="shared" si="16"/>
        <v>0</v>
      </c>
      <c r="D59" s="2227">
        <v>0.25</v>
      </c>
      <c r="E59" s="640">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571</v>
      </c>
      <c r="B60" s="637" t="e">
        <f t="shared" si="17"/>
        <v>#DIV/0!</v>
      </c>
      <c r="C60" s="377">
        <f t="shared" si="16"/>
        <v>0</v>
      </c>
      <c r="D60" s="2227">
        <v>0.25</v>
      </c>
      <c r="E60" s="640">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572</v>
      </c>
      <c r="B61" s="637" t="e">
        <f t="shared" si="17"/>
        <v>#DIV/0!</v>
      </c>
      <c r="C61" s="377">
        <f t="shared" si="16"/>
        <v>0</v>
      </c>
      <c r="D61" s="2227">
        <v>0.25</v>
      </c>
      <c r="E61" s="640">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573</v>
      </c>
      <c r="B62" s="637" t="e">
        <f t="shared" si="17"/>
        <v>#DIV/0!</v>
      </c>
      <c r="C62" s="377">
        <f t="shared" si="16"/>
        <v>0</v>
      </c>
      <c r="D62" s="2227">
        <v>0.25</v>
      </c>
      <c r="E62" s="640">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574</v>
      </c>
      <c r="B63" s="642" t="s">
        <v>17</v>
      </c>
      <c r="C63" s="642" t="s">
        <v>18</v>
      </c>
      <c r="D63" s="642" t="s">
        <v>2296</v>
      </c>
      <c r="E63" s="642">
        <f>IF(B43="楼面地价",SUM(E53:E62),'数据-汇总表'!D3)</f>
        <v>60759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3" t="s">
        <v>575</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90" t="s">
        <v>2536</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9" customFormat="1" ht="27.75" customHeight="1">
      <c r="A68" s="2822" t="s">
        <v>2654</v>
      </c>
      <c r="B68" s="478" t="str">
        <f>"北京市平均增长率"&amp;TEXT(基准地价!P24,"0.00%")</f>
        <v>北京市平均增长率0.00%</v>
      </c>
      <c r="C68" s="893">
        <v>100</v>
      </c>
      <c r="D68" s="729"/>
      <c r="E68" s="729"/>
      <c r="F68" s="729"/>
      <c r="G68" s="729"/>
      <c r="H68" s="729"/>
      <c r="I68" s="729"/>
      <c r="J68" s="729"/>
      <c r="K68" s="729"/>
      <c r="L68" s="729"/>
      <c r="M68" s="2816"/>
      <c r="N68" s="2817"/>
      <c r="O68" s="2160"/>
      <c r="P68" s="2156"/>
      <c r="Q68" s="1991"/>
      <c r="R68" s="1991"/>
      <c r="S68" s="1991"/>
      <c r="T68" s="1991"/>
      <c r="U68" s="1991"/>
      <c r="V68" s="1991"/>
      <c r="W68" s="1991"/>
      <c r="X68" s="1991"/>
      <c r="Y68" s="1991"/>
      <c r="Z68" s="1991"/>
      <c r="AA68" s="1991"/>
      <c r="AB68" s="1991"/>
      <c r="AC68" s="1991"/>
    </row>
    <row r="69" spans="1:29" s="1219" customFormat="1" ht="15.75" thickBot="1">
      <c r="A69" s="652" t="s">
        <v>576</v>
      </c>
      <c r="B69" s="653"/>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9" customFormat="1" ht="15">
      <c r="A70" s="658" t="s">
        <v>532</v>
      </c>
      <c r="B70" s="647"/>
      <c r="C70" s="659" t="s">
        <v>577</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578</v>
      </c>
      <c r="B72" s="664" t="s">
        <v>535</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538</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540</v>
      </c>
      <c r="B85" s="664" t="s">
        <v>603</v>
      </c>
      <c r="C85" s="702" t="s">
        <v>580</v>
      </c>
      <c r="D85" s="702" t="s">
        <v>581</v>
      </c>
      <c r="E85" s="702" t="s">
        <v>582</v>
      </c>
      <c r="F85" s="702" t="s">
        <v>583</v>
      </c>
      <c r="G85" s="702" t="s">
        <v>584</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587</v>
      </c>
      <c r="C87" s="707" t="s">
        <v>580</v>
      </c>
      <c r="D87" s="707" t="s">
        <v>581</v>
      </c>
      <c r="E87" s="707" t="s">
        <v>582</v>
      </c>
      <c r="F87" s="707" t="s">
        <v>583</v>
      </c>
      <c r="G87" s="707" t="s">
        <v>584</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2551</v>
      </c>
      <c r="C93" s="702" t="s">
        <v>580</v>
      </c>
      <c r="D93" s="702" t="s">
        <v>581</v>
      </c>
      <c r="E93" s="702" t="s">
        <v>582</v>
      </c>
      <c r="F93" s="702" t="s">
        <v>583</v>
      </c>
      <c r="G93" s="702" t="s">
        <v>584</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2553</v>
      </c>
      <c r="C95" s="2620" t="s">
        <v>2554</v>
      </c>
      <c r="D95" s="2620" t="s">
        <v>2555</v>
      </c>
      <c r="E95" s="2620" t="s">
        <v>2556</v>
      </c>
      <c r="F95" s="2620" t="s">
        <v>2557</v>
      </c>
      <c r="G95" s="2620" t="s">
        <v>2558</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590</v>
      </c>
      <c r="D97" s="673" t="s">
        <v>591</v>
      </c>
      <c r="E97" s="673" t="s">
        <v>592</v>
      </c>
      <c r="F97" s="673" t="s">
        <v>593</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549</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550</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595</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597</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2427</v>
      </c>
      <c r="D1" s="1520">
        <f>SUM(D29:D30,D33:D39)</f>
        <v>0</v>
      </c>
      <c r="E1" s="1405" t="s">
        <v>2428</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60" t="s">
        <v>2767</v>
      </c>
      <c r="S1" s="2960" t="s">
        <v>2768</v>
      </c>
      <c r="T1" s="2960" t="s">
        <v>2789</v>
      </c>
      <c r="U1" s="2960" t="s">
        <v>2790</v>
      </c>
      <c r="V1" s="2960" t="s">
        <v>2791</v>
      </c>
      <c r="W1" s="2187"/>
      <c r="X1" s="2187"/>
      <c r="Y1" s="2187"/>
      <c r="Z1" s="2187"/>
      <c r="AA1" s="2187"/>
      <c r="AB1" s="2187"/>
      <c r="AC1" s="2188"/>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7"/>
      <c r="X2" s="2187"/>
      <c r="Y2" s="2187"/>
      <c r="Z2" s="2187"/>
      <c r="AA2" s="2187"/>
      <c r="AB2" s="2187"/>
      <c r="AC2" s="2188"/>
    </row>
    <row r="3" spans="1:39" ht="15.75">
      <c r="A3" s="1410" t="s">
        <v>1689</v>
      </c>
      <c r="B3" s="1037" t="e">
        <f>ROUND(B2*10000/D1,0)</f>
        <v>#DIV/0!</v>
      </c>
      <c r="C3" s="1406" t="s">
        <v>928</v>
      </c>
      <c r="D3" s="1407" t="s">
        <v>929</v>
      </c>
      <c r="E3" s="1411"/>
      <c r="F3" s="1412" t="s">
        <v>2938</v>
      </c>
      <c r="G3" s="1038">
        <f>IF(F3="宗地容积率",'数据-汇总表'!I4,IF(F3="估价对象容积率",'数据-汇总表'!I6,'数据-汇总表'!I7))</f>
        <v>1.94</v>
      </c>
      <c r="H3" s="1413" t="s">
        <v>930</v>
      </c>
      <c r="I3" s="1039">
        <v>8</v>
      </c>
      <c r="J3" s="1409" t="s">
        <v>931</v>
      </c>
      <c r="K3" s="1400"/>
      <c r="L3" s="1883" t="s">
        <v>2242</v>
      </c>
      <c r="M3" s="1884">
        <f>SUMPRODUCT((区片价!B29:B48=I2)*(区片价!C3:F3=E2)*(区片价!C29:F48))</f>
        <v>0</v>
      </c>
      <c r="N3" s="1885">
        <f>SUMPRODUCT((因素修正幅度!B29:B48=I2)*(因素修正幅度!C3:F3=E2)*(因素修正幅度!C29:F48))</f>
        <v>0</v>
      </c>
      <c r="O3" s="2187"/>
      <c r="P3" s="2187"/>
      <c r="Q3" s="2187"/>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61">
        <v>3</v>
      </c>
      <c r="S4" s="2961">
        <f>ROUND(IF(G3&gt;1,IF(R4&lt;7,SUMPRODUCT((B93:B98=R4)*(C92:N92=G2)*(C93:N98)),SUMIF(C92:N92,G2,C100:N100)),IF(R4&lt;7,SUMPRODUCT((B102:B107=R4)*(C92:N92=G2)*(C102:N107)),SUMIF(C92:N92,G2,C109:N109))),4)</f>
        <v>0</v>
      </c>
      <c r="T4" s="2961" t="e">
        <f t="shared" si="0"/>
        <v>#DIV/0!</v>
      </c>
      <c r="U4" s="2950"/>
      <c r="V4" s="2961" t="e">
        <f t="shared" si="1"/>
        <v>#DIV/0!</v>
      </c>
      <c r="W4" s="2187"/>
      <c r="X4" s="2187"/>
      <c r="Y4" s="2187"/>
      <c r="Z4" s="2187"/>
      <c r="AA4" s="2187"/>
      <c r="AB4" s="2187"/>
      <c r="AC4" s="2188"/>
    </row>
    <row r="5" spans="1:39" s="1420" customFormat="1" ht="15.75" thickBot="1">
      <c r="A5" s="1637" t="s">
        <v>1825</v>
      </c>
      <c r="B5" s="1414" t="s">
        <v>932</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61">
        <v>4</v>
      </c>
      <c r="S5" s="2961">
        <f>ROUND(IF(G3&gt;1,IF(R5&lt;7,SUMPRODUCT((B93:B98=R5)*(C92:N92=G2)*(C93:N98)),SUMIF(C92:N92,G2,C100:N100)),IF(R5&lt;7,SUMPRODUCT((B102:B107=R5)*(C92:N92=G2)*(C102:N107)),SUMIF(C92:N92,G2,C109:N109))),4)</f>
        <v>0</v>
      </c>
      <c r="T5" s="2961" t="e">
        <f t="shared" si="0"/>
        <v>#DIV/0!</v>
      </c>
      <c r="U5" s="2950"/>
      <c r="V5" s="2961"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61">
        <v>5</v>
      </c>
      <c r="S6" s="2961">
        <f>ROUND(IF(G3&gt;1,IF(R6&lt;7,SUMPRODUCT((B93:B98=R6)*(C92:N92=G2)*(C93:N98)),SUMIF(C92:N92,G2,C100:N100)),IF(R6&lt;7,SUMPRODUCT((B102:B107=R6)*(C92:N92=G2)*(C102:N107)),SUMIF(C92:N92,G2,C109:N109))),4)</f>
        <v>0</v>
      </c>
      <c r="T6" s="2961" t="e">
        <f t="shared" si="0"/>
        <v>#DIV/0!</v>
      </c>
      <c r="U6" s="2950"/>
      <c r="V6" s="2961" t="e">
        <f t="shared" si="1"/>
        <v>#DIV/0!</v>
      </c>
      <c r="W6" s="2187"/>
      <c r="X6" s="2187"/>
      <c r="Y6" s="2187"/>
      <c r="Z6" s="2187"/>
      <c r="AA6" s="2187"/>
      <c r="AB6" s="2187"/>
      <c r="AC6" s="2189"/>
      <c r="AD6" s="1418"/>
      <c r="AE6" s="1418"/>
      <c r="AF6" s="1418"/>
      <c r="AG6" s="1418"/>
      <c r="AH6" s="1418"/>
      <c r="AI6" s="1418"/>
      <c r="AJ6" s="1419"/>
    </row>
    <row r="7" spans="1:39" ht="24">
      <c r="A7" s="3471" t="str">
        <f>IF(E2="商业",IF(C8="不临58条商业街","",2),"")</f>
        <v/>
      </c>
      <c r="B7" s="1426" t="s">
        <v>933</v>
      </c>
      <c r="C7" s="1042" t="e">
        <f>IF(C8="不临58条商业街",1,ROUND(1+(1.6*E8+1.2*E9+0.8*E10+0.4*E11)*C9,4))</f>
        <v>#DIV/0!</v>
      </c>
      <c r="D7" s="1427" t="s">
        <v>934</v>
      </c>
      <c r="E7" s="1043"/>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2770</v>
      </c>
      <c r="X7" s="2951">
        <f>G2</f>
        <v>0</v>
      </c>
      <c r="Y7" s="2951" t="s">
        <v>2771</v>
      </c>
      <c r="Z7" s="2952">
        <f>G3</f>
        <v>1.94</v>
      </c>
      <c r="AA7" s="2190"/>
      <c r="AB7" s="2190"/>
      <c r="AC7" s="2191"/>
      <c r="AD7" s="2953"/>
      <c r="AE7" s="2953"/>
      <c r="AF7" s="2953"/>
      <c r="AG7" s="2953"/>
      <c r="AH7" s="2953"/>
      <c r="AI7" s="2953"/>
      <c r="AJ7" s="2954"/>
    </row>
    <row r="8" spans="1:39" ht="15">
      <c r="A8" s="3472"/>
      <c r="B8" s="1413" t="s">
        <v>935</v>
      </c>
      <c r="C8" s="1528"/>
      <c r="D8" s="1044" t="s">
        <v>936</v>
      </c>
      <c r="E8" s="1045" t="e">
        <f>ROUND(C11/E7,4)</f>
        <v>#DIV/0!</v>
      </c>
      <c r="F8" s="1431" t="s">
        <v>937</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61">
        <v>7</v>
      </c>
      <c r="S8" s="2950"/>
      <c r="T8" s="2961" t="e">
        <f t="shared" si="0"/>
        <v>#DIV/0!</v>
      </c>
      <c r="U8" s="2950"/>
      <c r="V8" s="2961" t="e">
        <f t="shared" si="1"/>
        <v>#DIV/0!</v>
      </c>
      <c r="W8" s="3481" t="s">
        <v>2788</v>
      </c>
      <c r="X8" s="3482"/>
      <c r="Y8" s="1847" t="s">
        <v>2772</v>
      </c>
      <c r="Z8" s="1847" t="s">
        <v>2773</v>
      </c>
      <c r="AA8" s="1847" t="s">
        <v>2774</v>
      </c>
      <c r="AB8" s="1847" t="s">
        <v>2775</v>
      </c>
      <c r="AC8" s="1847" t="s">
        <v>2776</v>
      </c>
      <c r="AD8" s="1847" t="s">
        <v>2777</v>
      </c>
      <c r="AE8" s="1847" t="s">
        <v>2778</v>
      </c>
      <c r="AF8" s="1847" t="s">
        <v>2779</v>
      </c>
      <c r="AG8" s="1847" t="s">
        <v>2780</v>
      </c>
      <c r="AH8" s="1847" t="s">
        <v>2781</v>
      </c>
      <c r="AI8" s="1847" t="s">
        <v>2782</v>
      </c>
      <c r="AJ8" s="1847" t="s">
        <v>2783</v>
      </c>
    </row>
    <row r="9" spans="1:39" ht="15">
      <c r="A9" s="3472"/>
      <c r="B9" s="1413" t="s">
        <v>938</v>
      </c>
      <c r="C9" s="1046">
        <f>SUMIF(修正!C59:C119,C8,修正!E59:E119)</f>
        <v>0</v>
      </c>
      <c r="D9" s="1047" t="s">
        <v>939</v>
      </c>
      <c r="E9" s="1047" t="e">
        <f>ROUND(C11/E7,4)</f>
        <v>#DIV/0!</v>
      </c>
      <c r="F9" s="1431" t="s">
        <v>940</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61">
        <v>8</v>
      </c>
      <c r="S9" s="2950"/>
      <c r="T9" s="2961" t="e">
        <f t="shared" si="0"/>
        <v>#DIV/0!</v>
      </c>
      <c r="U9" s="2950"/>
      <c r="V9" s="2961" t="e">
        <f t="shared" si="1"/>
        <v>#DIV/0!</v>
      </c>
      <c r="W9" s="3480" t="s">
        <v>2784</v>
      </c>
      <c r="X9" s="2955" t="s">
        <v>2785</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72"/>
      <c r="B10" s="1413" t="s">
        <v>941</v>
      </c>
      <c r="C10" s="1047">
        <f>SUMIF(修正!C59:C119,C8,修正!F59:F119)</f>
        <v>0</v>
      </c>
      <c r="D10" s="1047" t="s">
        <v>942</v>
      </c>
      <c r="E10" s="1047" t="e">
        <f>ROUND(C11/E7,4)</f>
        <v>#DIV/0!</v>
      </c>
      <c r="F10" s="1431" t="s">
        <v>943</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61">
        <v>9</v>
      </c>
      <c r="S10" s="2950"/>
      <c r="T10" s="2961" t="e">
        <f t="shared" si="0"/>
        <v>#DIV/0!</v>
      </c>
      <c r="U10" s="2950"/>
      <c r="V10" s="2961" t="e">
        <f t="shared" si="1"/>
        <v>#DIV/0!</v>
      </c>
      <c r="W10" s="348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72"/>
      <c r="B11" s="1434" t="s">
        <v>944</v>
      </c>
      <c r="C11" s="1048">
        <f>C10/4</f>
        <v>0</v>
      </c>
      <c r="D11" s="1048" t="s">
        <v>945</v>
      </c>
      <c r="E11" s="1048" t="e">
        <f>ROUND(C11/E7,4)</f>
        <v>#DIV/0!</v>
      </c>
      <c r="F11" s="1435" t="s">
        <v>946</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61">
        <v>10</v>
      </c>
      <c r="S11" s="2950"/>
      <c r="T11" s="2961" t="e">
        <f t="shared" si="0"/>
        <v>#DIV/0!</v>
      </c>
      <c r="U11" s="2950"/>
      <c r="V11" s="2961" t="e">
        <f t="shared" si="1"/>
        <v>#DIV/0!</v>
      </c>
      <c r="W11" s="3480" t="s">
        <v>2786</v>
      </c>
      <c r="X11" s="1047" t="s">
        <v>2771</v>
      </c>
      <c r="Y11" s="1652">
        <f>$G$3</f>
        <v>1.94</v>
      </c>
      <c r="Z11" s="1652">
        <f t="shared" ref="Z11:AJ11" si="3">$G$3</f>
        <v>1.94</v>
      </c>
      <c r="AA11" s="1652">
        <f t="shared" si="3"/>
        <v>1.94</v>
      </c>
      <c r="AB11" s="1652">
        <f t="shared" si="3"/>
        <v>1.94</v>
      </c>
      <c r="AC11" s="1652">
        <f t="shared" si="3"/>
        <v>1.94</v>
      </c>
      <c r="AD11" s="1652">
        <f t="shared" si="3"/>
        <v>1.94</v>
      </c>
      <c r="AE11" s="1652">
        <f t="shared" si="3"/>
        <v>1.94</v>
      </c>
      <c r="AF11" s="1652">
        <f t="shared" si="3"/>
        <v>1.94</v>
      </c>
      <c r="AG11" s="1652">
        <f t="shared" si="3"/>
        <v>1.94</v>
      </c>
      <c r="AH11" s="1652">
        <f t="shared" si="3"/>
        <v>1.94</v>
      </c>
      <c r="AI11" s="1652">
        <f t="shared" si="3"/>
        <v>1.94</v>
      </c>
      <c r="AJ11" s="1652">
        <f t="shared" si="3"/>
        <v>1.94</v>
      </c>
    </row>
    <row r="12" spans="1:39" ht="25.5" thickBot="1">
      <c r="A12" s="3471" t="s">
        <v>1873</v>
      </c>
      <c r="B12" s="1438" t="s">
        <v>947</v>
      </c>
      <c r="C12" s="1042">
        <f>ROUND(C15*D15*E15*F15*G15*H15*I15*J15,4)</f>
        <v>1</v>
      </c>
      <c r="D12" s="1439" t="s">
        <v>948</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61">
        <v>11</v>
      </c>
      <c r="S12" s="2950"/>
      <c r="T12" s="2961" t="e">
        <f t="shared" si="0"/>
        <v>#DIV/0!</v>
      </c>
      <c r="U12" s="2950"/>
      <c r="V12" s="2961" t="e">
        <f t="shared" si="1"/>
        <v>#DIV/0!</v>
      </c>
      <c r="W12" s="3480"/>
      <c r="X12" s="2958" t="s">
        <v>2787</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73"/>
      <c r="B13" s="1443" t="s">
        <v>1698</v>
      </c>
      <c r="C13" s="1444" t="s">
        <v>1699</v>
      </c>
      <c r="D13" s="1088" t="s">
        <v>1700</v>
      </c>
      <c r="E13" s="1088" t="s">
        <v>1701</v>
      </c>
      <c r="F13" s="1445" t="s">
        <v>949</v>
      </c>
      <c r="G13" s="1446" t="s">
        <v>1644</v>
      </c>
      <c r="H13" s="1447" t="s">
        <v>1644</v>
      </c>
      <c r="I13" s="1448" t="s">
        <v>1644</v>
      </c>
      <c r="J13" s="1449" t="s">
        <v>1644</v>
      </c>
      <c r="K13" s="1400"/>
      <c r="L13" s="2187"/>
      <c r="M13" s="2187"/>
      <c r="N13" s="2187"/>
      <c r="O13" s="2187"/>
      <c r="P13" s="2187"/>
      <c r="Q13" s="2187"/>
      <c r="R13" s="2961">
        <v>12</v>
      </c>
      <c r="S13" s="2950"/>
      <c r="T13" s="2961" t="e">
        <f t="shared" si="0"/>
        <v>#DIV/0!</v>
      </c>
      <c r="U13" s="2950"/>
      <c r="V13" s="2961" t="e">
        <f t="shared" si="1"/>
        <v>#DIV/0!</v>
      </c>
      <c r="W13" s="3480"/>
      <c r="X13" s="2958"/>
      <c r="Y13" s="2957">
        <f>(-0.163*(Y12^2)-0.59*Y12+7617)*(10^(-4))/Y11</f>
        <v>0.39262886597938146</v>
      </c>
      <c r="Z13" s="2957">
        <f t="shared" ref="Z13:AJ13" si="5">(-0.163*(Z12^2)-0.59*Z12+7617)*(10^(-4))/Z11</f>
        <v>0.39262886597938146</v>
      </c>
      <c r="AA13" s="2957">
        <f t="shared" si="5"/>
        <v>0.39262886597938146</v>
      </c>
      <c r="AB13" s="2957">
        <f t="shared" si="5"/>
        <v>0.39262886597938146</v>
      </c>
      <c r="AC13" s="2957">
        <f t="shared" si="5"/>
        <v>0.39262886597938146</v>
      </c>
      <c r="AD13" s="2957">
        <f t="shared" si="5"/>
        <v>0.39262886597938146</v>
      </c>
      <c r="AE13" s="2957">
        <f t="shared" si="5"/>
        <v>0.39262886597938146</v>
      </c>
      <c r="AF13" s="2957">
        <f t="shared" si="5"/>
        <v>0.39262886597938146</v>
      </c>
      <c r="AG13" s="2957">
        <f t="shared" si="5"/>
        <v>0.39262886597938146</v>
      </c>
      <c r="AH13" s="2957">
        <f t="shared" si="5"/>
        <v>0.39262886597938146</v>
      </c>
      <c r="AI13" s="2957">
        <f t="shared" si="5"/>
        <v>0.39262886597938146</v>
      </c>
      <c r="AJ13" s="2957">
        <f t="shared" si="5"/>
        <v>0.39262886597938146</v>
      </c>
    </row>
    <row r="14" spans="1:39" ht="12.75" customHeight="1" thickBot="1">
      <c r="A14" s="3473"/>
      <c r="B14" s="1450"/>
      <c r="C14" s="1451"/>
      <c r="D14" s="1452"/>
      <c r="E14" s="1452"/>
      <c r="F14" s="1453"/>
      <c r="G14" s="1454" t="s">
        <v>950</v>
      </c>
      <c r="H14" s="1455"/>
      <c r="I14" s="1456"/>
      <c r="J14" s="1457"/>
      <c r="K14" s="1400"/>
      <c r="L14" s="2187"/>
      <c r="M14" s="2187"/>
      <c r="N14" s="2187"/>
      <c r="O14" s="2187"/>
      <c r="P14" s="2187"/>
      <c r="Q14" s="2187"/>
      <c r="R14" s="2961">
        <v>13</v>
      </c>
      <c r="S14" s="2950"/>
      <c r="T14" s="2961" t="e">
        <f t="shared" si="0"/>
        <v>#DIV/0!</v>
      </c>
      <c r="U14" s="2950"/>
      <c r="V14" s="2961" t="e">
        <f t="shared" si="1"/>
        <v>#DIV/0!</v>
      </c>
      <c r="W14" s="2187"/>
      <c r="X14" s="2187"/>
      <c r="Y14" s="2187"/>
      <c r="Z14" s="2187"/>
      <c r="AA14" s="2187"/>
      <c r="AB14" s="2187"/>
      <c r="AC14" s="2188"/>
    </row>
    <row r="15" spans="1:39" ht="13.5" customHeight="1" thickBot="1">
      <c r="A15" s="3474"/>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7"/>
      <c r="R15" s="2961">
        <v>14</v>
      </c>
      <c r="S15" s="2950"/>
      <c r="T15" s="2961" t="e">
        <f t="shared" si="0"/>
        <v>#DIV/0!</v>
      </c>
      <c r="U15" s="2950"/>
      <c r="V15" s="2961" t="e">
        <f t="shared" si="1"/>
        <v>#DIV/0!</v>
      </c>
      <c r="W15" s="2187"/>
      <c r="X15" s="2187"/>
      <c r="Y15" s="2187"/>
      <c r="Z15" s="2187"/>
      <c r="AA15" s="2187"/>
      <c r="AB15" s="2187"/>
      <c r="AC15" s="2188"/>
    </row>
    <row r="16" spans="1:39" ht="24">
      <c r="A16" s="3471"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0"/>
      <c r="R16" s="2961">
        <v>15</v>
      </c>
      <c r="S16" s="2950"/>
      <c r="T16" s="2961" t="e">
        <f t="shared" si="0"/>
        <v>#DIV/0!</v>
      </c>
      <c r="U16" s="2950"/>
      <c r="V16" s="2961" t="e">
        <f t="shared" si="1"/>
        <v>#DIV/0!</v>
      </c>
      <c r="W16" s="2190"/>
      <c r="X16" s="2190"/>
      <c r="Y16" s="2190"/>
      <c r="Z16" s="2190"/>
      <c r="AA16" s="2190"/>
      <c r="AB16" s="2190"/>
      <c r="AC16" s="2191"/>
    </row>
    <row r="17" spans="1:40" ht="13.5" thickBot="1">
      <c r="A17" s="3472"/>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1831</v>
      </c>
      <c r="B18" s="2796" t="s">
        <v>957</v>
      </c>
      <c r="C18" s="2797">
        <f>SUMIF(修正!C18:C39,E3,修正!E18:E39)</f>
        <v>0</v>
      </c>
      <c r="D18" s="2798"/>
      <c r="E18" s="2799"/>
      <c r="F18" s="2800"/>
      <c r="G18" s="2794"/>
      <c r="H18" s="2794"/>
      <c r="I18" s="2794"/>
      <c r="J18" s="2801"/>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43104</v>
      </c>
      <c r="H19" s="1474" t="s">
        <v>2939</v>
      </c>
      <c r="I19" s="2808" t="str">
        <f>IF(H19="季度增幅（自定义）",SUMIF(N21:N24,E2,O21:O24),"")</f>
        <v/>
      </c>
      <c r="J19" s="1470"/>
      <c r="K19" s="1480"/>
      <c r="L19" s="3064" t="s">
        <v>2846</v>
      </c>
      <c r="M19" s="3065">
        <f>ROUND(SUMIF(地价!B2:F2,E2,地价!B20:F20),0)</f>
        <v>0</v>
      </c>
      <c r="N19" s="2810" t="s">
        <v>1678</v>
      </c>
      <c r="O19" s="2809">
        <f>ROUNDDOWN(DATEDIF(E19,G19,"M")/3,0)</f>
        <v>16</v>
      </c>
      <c r="P19" s="1595"/>
      <c r="R19" s="2949"/>
      <c r="S19" s="2949"/>
      <c r="T19" s="2949"/>
      <c r="U19" s="2949"/>
      <c r="V19" s="2949"/>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0"/>
      <c r="L20" s="3066" t="s">
        <v>2847</v>
      </c>
      <c r="M20" s="3067">
        <f>ROUND(SUMPRODUCT((地价!A5:A20=YEAR(G19)&amp;"-"&amp;ROUNDUP(MONTH(G19)/3,0))*(地价!B2:F2=E2)*(地价!B5:F20)),0)</f>
        <v>0</v>
      </c>
      <c r="N20" s="2813" t="s">
        <v>2650</v>
      </c>
      <c r="O20" s="2811" t="s">
        <v>2649</v>
      </c>
      <c r="P20" s="2812" t="s">
        <v>2655</v>
      </c>
      <c r="R20" s="2949"/>
      <c r="S20" s="2949"/>
      <c r="T20" s="2949"/>
      <c r="U20" s="2949"/>
      <c r="V20" s="2949"/>
      <c r="W20" s="2193"/>
      <c r="X20" s="2193"/>
      <c r="Y20" s="2193"/>
      <c r="Z20" s="2193"/>
      <c r="AA20" s="2193"/>
      <c r="AB20" s="2193"/>
      <c r="AC20" s="2193"/>
      <c r="AD20" s="1471"/>
      <c r="AE20" s="1471"/>
      <c r="AF20" s="1471"/>
      <c r="AG20" s="1471"/>
      <c r="AH20" s="1471"/>
      <c r="AI20" s="1471"/>
    </row>
    <row r="21" spans="1:40" s="1420" customFormat="1" ht="14.25">
      <c r="A21" s="1641" t="s">
        <v>1839</v>
      </c>
      <c r="B21" s="1479" t="s">
        <v>2766</v>
      </c>
      <c r="C21" s="1157">
        <f>IF(B21="容积率修正",IF(G3&lt;=10,D22,J22),C23)</f>
        <v>0</v>
      </c>
      <c r="D21" s="1480"/>
      <c r="E21" s="1480"/>
      <c r="F21" s="1480"/>
      <c r="G21" s="1480"/>
      <c r="H21" s="1480"/>
      <c r="I21" s="1480"/>
      <c r="J21" s="1481"/>
      <c r="K21" s="1480"/>
      <c r="L21" s="1480"/>
      <c r="M21" s="1480"/>
      <c r="N21" s="1477" t="s">
        <v>977</v>
      </c>
      <c r="O21" s="1541"/>
      <c r="P21" s="2793">
        <f>SUMPRODUCT((地价!A3:A20=YEAR(G19)&amp;"-"&amp;ROUNDUP(MONTH(G19)/3,0))*(地价!AD2:AH2=N21)*(地价!AD3:AH20))</f>
        <v>0</v>
      </c>
      <c r="R21" s="2949"/>
      <c r="S21" s="2949"/>
      <c r="T21" s="2949"/>
      <c r="U21" s="2949"/>
      <c r="V21" s="2949"/>
      <c r="W21" s="2193"/>
      <c r="X21" s="2193"/>
      <c r="Y21" s="2193"/>
      <c r="Z21" s="2193"/>
      <c r="AA21" s="2193"/>
      <c r="AB21" s="2193"/>
      <c r="AC21" s="2193"/>
      <c r="AD21" s="1402"/>
      <c r="AE21" s="1402"/>
      <c r="AF21" s="1402"/>
      <c r="AG21" s="1402"/>
      <c r="AH21" s="1471"/>
      <c r="AI21" s="1471"/>
    </row>
    <row r="22" spans="1:40" s="1420" customFormat="1" ht="14.25">
      <c r="A22" s="1642" t="s">
        <v>1872</v>
      </c>
      <c r="B22" s="1482" t="s">
        <v>978</v>
      </c>
      <c r="C22" s="1059" t="s">
        <v>1704</v>
      </c>
      <c r="D22" s="1059">
        <f>IF(E22=G22,F22,IF(G3&lt;=10,ROUND(F22+(H22-F22)*(G3-E22)/(G22-E22),4),"——"))</f>
        <v>0</v>
      </c>
      <c r="E22" s="1038">
        <f>ROUNDDOWN(G3,1)</f>
        <v>1.9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3">
        <f>SUMPRODUCT((地价!A3:A20=YEAR(G19)&amp;"-"&amp;ROUNDUP(MONTH(G19)/3,0))*(地价!AD2:AH2=N22)*(地价!AD3:AH20))</f>
        <v>0</v>
      </c>
      <c r="R22" s="2949"/>
      <c r="S22" s="2949"/>
      <c r="T22" s="2949"/>
      <c r="U22" s="2949"/>
      <c r="V22" s="2949"/>
      <c r="W22" s="2193"/>
      <c r="X22" s="2193"/>
      <c r="Y22" s="2193"/>
      <c r="Z22" s="2193"/>
      <c r="AA22" s="2193"/>
      <c r="AB22" s="2193"/>
      <c r="AC22" s="2193"/>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3">
        <f>SUMPRODUCT((地价!A3:A20=YEAR(G19)&amp;"-"&amp;ROUNDUP(MONTH(G19)/3,0))*(地价!AD2:AH2=N23)*(地价!AD3:AH20))</f>
        <v>0</v>
      </c>
      <c r="R23" s="2949"/>
      <c r="S23" s="2949"/>
      <c r="T23" s="2949"/>
      <c r="U23" s="2949"/>
      <c r="V23" s="2949"/>
      <c r="W23" s="2193"/>
      <c r="X23" s="2193"/>
      <c r="Y23" s="2193"/>
      <c r="Z23" s="2193"/>
      <c r="AA23" s="2193"/>
      <c r="AB23" s="2193"/>
      <c r="AC23" s="2193"/>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0</v>
      </c>
      <c r="R24" s="2949"/>
      <c r="S24" s="2949"/>
      <c r="T24" s="2949"/>
      <c r="U24" s="2949"/>
      <c r="V24" s="2949"/>
      <c r="W24" s="2193"/>
      <c r="X24" s="2193"/>
      <c r="Y24" s="2193"/>
      <c r="Z24" s="2193"/>
      <c r="AA24" s="2193"/>
      <c r="AB24" s="2193"/>
      <c r="AC24" s="2193"/>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3"/>
      <c r="M25" s="2193"/>
      <c r="N25" s="2821" t="s">
        <v>2653</v>
      </c>
      <c r="O25" s="2193"/>
      <c r="P25" s="1540">
        <f>SUMPRODUCT((地价!A3:A20=YEAR(G19)&amp;"-"&amp;ROUNDUP(MONTH(G19)/3,0))*(地价!AD2:AH2=N25)*(地价!AD3:AH20))</f>
        <v>0</v>
      </c>
      <c r="R25" s="2949"/>
      <c r="S25" s="2949"/>
      <c r="T25" s="2949"/>
      <c r="U25" s="2949"/>
      <c r="V25" s="2949"/>
      <c r="W25" s="2193"/>
      <c r="X25" s="2193"/>
      <c r="Y25" s="2193"/>
      <c r="Z25" s="2193"/>
      <c r="AA25" s="2193"/>
      <c r="AB25" s="2193"/>
      <c r="AC25" s="2193"/>
    </row>
    <row r="26" spans="1:40" ht="14.25">
      <c r="A26" s="1488"/>
      <c r="B26" s="1482" t="s">
        <v>988</v>
      </c>
      <c r="C26" s="1062" t="e">
        <f>E29+SUM(E33:E39)</f>
        <v>#DIV/0!</v>
      </c>
      <c r="D26" s="1489"/>
      <c r="E26" s="1455"/>
      <c r="F26" s="1490"/>
      <c r="G26" s="1455"/>
      <c r="H26" s="1455"/>
      <c r="I26" s="1455"/>
      <c r="J26" s="1491"/>
      <c r="K26" s="1400"/>
      <c r="L26" s="2193"/>
      <c r="M26" s="2193"/>
      <c r="N26" s="2193"/>
      <c r="O26" s="2193"/>
      <c r="P26" s="2193"/>
      <c r="Q26" s="2193"/>
      <c r="R26" s="2949"/>
      <c r="S26" s="2949"/>
      <c r="T26" s="2949"/>
      <c r="U26" s="2949"/>
      <c r="V26" s="2949"/>
      <c r="W26" s="2193"/>
      <c r="X26" s="2193"/>
      <c r="Y26" s="2193"/>
      <c r="Z26" s="2193"/>
      <c r="AA26" s="2193"/>
      <c r="AB26" s="2193"/>
      <c r="AC26" s="2193"/>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3"/>
      <c r="M27" s="2193"/>
      <c r="N27" s="2193"/>
      <c r="O27" s="2193"/>
      <c r="P27" s="2193"/>
      <c r="Q27" s="2193"/>
      <c r="R27" s="2949"/>
      <c r="S27" s="2949"/>
      <c r="T27" s="2949"/>
      <c r="U27" s="2949"/>
      <c r="V27" s="2949"/>
      <c r="W27" s="2193"/>
      <c r="X27" s="2193"/>
      <c r="Y27" s="2193"/>
      <c r="Z27" s="2193"/>
      <c r="AA27" s="2193"/>
      <c r="AB27" s="2193"/>
      <c r="AC27" s="2193"/>
    </row>
    <row r="28" spans="1:40" ht="14.25">
      <c r="A28" s="1484"/>
      <c r="B28" s="1497" t="s">
        <v>991</v>
      </c>
      <c r="C28" s="1498" t="s">
        <v>992</v>
      </c>
      <c r="D28" s="1498" t="s">
        <v>993</v>
      </c>
      <c r="E28" s="1499" t="s">
        <v>994</v>
      </c>
      <c r="F28" s="1500"/>
      <c r="G28" s="1441"/>
      <c r="H28" s="1441"/>
      <c r="I28" s="1441"/>
      <c r="J28" s="1442"/>
      <c r="K28" s="1400"/>
      <c r="L28" s="2193"/>
      <c r="M28" s="2193"/>
      <c r="N28" s="2193"/>
      <c r="O28" s="2193"/>
      <c r="P28" s="2193"/>
      <c r="Q28" s="2193"/>
      <c r="R28" s="2949"/>
      <c r="S28" s="2949"/>
      <c r="T28" s="2949"/>
      <c r="U28" s="2949"/>
      <c r="V28" s="2949"/>
      <c r="W28" s="2193"/>
      <c r="X28" s="2193"/>
      <c r="Y28" s="2193"/>
      <c r="Z28" s="2193"/>
      <c r="AA28" s="2193"/>
      <c r="AB28" s="2193"/>
      <c r="AC28" s="2193"/>
      <c r="AD28" s="1471"/>
      <c r="AE28" s="1471"/>
      <c r="AF28" s="1471"/>
      <c r="AG28" s="1471"/>
    </row>
    <row r="29" spans="1:40" ht="24">
      <c r="A29" s="1501"/>
      <c r="B29" s="1502" t="s">
        <v>995</v>
      </c>
      <c r="C29" s="1062" t="e">
        <f>ROUND(C5*C18*C19*C20*C21*C24,0)</f>
        <v>#DIV/0!</v>
      </c>
      <c r="D29" s="1503"/>
      <c r="E29" s="1847" t="e">
        <f>ROUND(C29*D29/10000,0)</f>
        <v>#DIV/0!</v>
      </c>
      <c r="F29" s="1504" t="s">
        <v>1703</v>
      </c>
      <c r="G29" s="1505"/>
      <c r="H29" s="1505"/>
      <c r="I29" s="1505"/>
      <c r="J29" s="1506"/>
      <c r="K29" s="1400"/>
      <c r="L29" s="2193"/>
      <c r="M29" s="2193"/>
      <c r="N29" s="2193"/>
      <c r="O29" s="2193"/>
      <c r="P29" s="2193"/>
      <c r="Q29" s="2193"/>
      <c r="R29" s="2949"/>
      <c r="S29" s="2949"/>
      <c r="T29" s="2949"/>
      <c r="U29" s="2949"/>
      <c r="V29" s="2949"/>
      <c r="W29" s="2193"/>
      <c r="X29" s="2193"/>
      <c r="Y29" s="2193"/>
      <c r="Z29" s="2193"/>
      <c r="AA29" s="2193"/>
      <c r="AB29" s="2193"/>
      <c r="AC29" s="2193"/>
      <c r="AH29" s="1401"/>
      <c r="AI29" s="1401"/>
      <c r="AJ29" s="1404"/>
      <c r="AK29" s="1404"/>
      <c r="AL29" s="1404"/>
      <c r="AM29" s="1404"/>
    </row>
    <row r="30" spans="1:40" ht="24.75" thickBot="1">
      <c r="A30" s="1507"/>
      <c r="B30" s="1508" t="s">
        <v>996</v>
      </c>
      <c r="C30" s="1050" t="e">
        <f>ROUND(IF(E2="工业",C29*M39,C29*M38),0)</f>
        <v>#DIV/0!</v>
      </c>
      <c r="D30" s="1509"/>
      <c r="E30" s="1847" t="e">
        <f>ROUND(C30*D30/10000,0)</f>
        <v>#DIV/0!</v>
      </c>
      <c r="F30" s="1510" t="s">
        <v>997</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77" t="s">
        <v>2966</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78"/>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78"/>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9"/>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1010</v>
      </c>
      <c r="B46" s="2430" t="s">
        <v>1011</v>
      </c>
      <c r="C46" s="2452" t="s">
        <v>1012</v>
      </c>
      <c r="D46" s="2453" t="s">
        <v>1013</v>
      </c>
      <c r="E46" s="2454" t="s">
        <v>1015</v>
      </c>
      <c r="F46" s="2455" t="s">
        <v>2252</v>
      </c>
      <c r="G46" s="2453" t="s">
        <v>1016</v>
      </c>
      <c r="H46" s="2436" t="s">
        <v>2419</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6" t="s">
        <v>1022</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6" t="s">
        <v>1023</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1025</v>
      </c>
      <c r="B50" s="3122" t="s">
        <v>2941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1027</v>
      </c>
      <c r="B52" s="3121" t="s">
        <v>2940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1010</v>
      </c>
      <c r="B57" s="2430"/>
      <c r="C57" s="2452" t="s">
        <v>1012</v>
      </c>
      <c r="D57" s="2453" t="s">
        <v>1013</v>
      </c>
      <c r="E57" s="2454" t="s">
        <v>1015</v>
      </c>
      <c r="F57" s="2455" t="s">
        <v>2253</v>
      </c>
      <c r="G57" s="2453" t="s">
        <v>1016</v>
      </c>
      <c r="H57" s="2436" t="s">
        <v>2419</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6" t="s">
        <v>1032</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6" t="s">
        <v>1023</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1025</v>
      </c>
      <c r="B61" s="3122" t="s">
        <v>2942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1027</v>
      </c>
      <c r="B63" s="3121" t="s">
        <v>2940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1028</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1029</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1010</v>
      </c>
      <c r="B68" s="2430"/>
      <c r="C68" s="2452" t="s">
        <v>1012</v>
      </c>
      <c r="D68" s="2453" t="s">
        <v>1013</v>
      </c>
      <c r="E68" s="2454" t="s">
        <v>1015</v>
      </c>
      <c r="F68" s="2455" t="s">
        <v>2254</v>
      </c>
      <c r="G68" s="2453" t="s">
        <v>1016</v>
      </c>
      <c r="H68" s="2436" t="s">
        <v>2419</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6" t="s">
        <v>1034</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6" t="s">
        <v>1035</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1028</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1029</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1027</v>
      </c>
      <c r="B75" s="3121" t="s">
        <v>2940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6" t="s">
        <v>1030</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1037</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1010</v>
      </c>
      <c r="B79" s="2430"/>
      <c r="C79" s="2452" t="s">
        <v>1012</v>
      </c>
      <c r="D79" s="2453" t="s">
        <v>1013</v>
      </c>
      <c r="E79" s="2454" t="s">
        <v>1015</v>
      </c>
      <c r="F79" s="2455" t="s">
        <v>2255</v>
      </c>
      <c r="G79" s="2453" t="s">
        <v>1016</v>
      </c>
      <c r="H79" s="2436" t="s">
        <v>2419</v>
      </c>
      <c r="I79" s="2453" t="s">
        <v>1014</v>
      </c>
      <c r="J79" s="2456" t="s">
        <v>1017</v>
      </c>
      <c r="K79" s="2456" t="s">
        <v>1018</v>
      </c>
      <c r="L79" s="2456" t="s">
        <v>1019</v>
      </c>
      <c r="M79" s="2456" t="s">
        <v>1020</v>
      </c>
      <c r="N79" s="2456" t="s">
        <v>1021</v>
      </c>
      <c r="AC79" s="1404"/>
      <c r="AD79" s="1403"/>
      <c r="AJ79" s="1402"/>
      <c r="AN79" s="1403"/>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1027</v>
      </c>
      <c r="B86" s="3121" t="s">
        <v>2940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75" t="s">
        <v>1635</v>
      </c>
      <c r="B90" s="3475"/>
      <c r="C90" s="3475"/>
      <c r="D90" s="3475"/>
      <c r="E90" s="3475"/>
      <c r="F90" s="3475"/>
      <c r="G90" s="3475"/>
      <c r="H90" s="3475"/>
      <c r="I90" s="3475"/>
      <c r="J90" s="3475"/>
      <c r="K90" s="2472"/>
      <c r="L90" s="2472"/>
      <c r="M90" s="2472"/>
      <c r="N90" s="2472"/>
    </row>
    <row r="91" spans="1:40">
      <c r="A91" s="3476" t="s">
        <v>1445</v>
      </c>
      <c r="B91" s="3476" t="s">
        <v>1636</v>
      </c>
      <c r="C91" s="1139" t="s">
        <v>1637</v>
      </c>
      <c r="D91" s="1140"/>
      <c r="E91" s="1140"/>
      <c r="F91" s="1140"/>
      <c r="G91" s="1140"/>
      <c r="H91" s="1140"/>
      <c r="I91" s="1140"/>
      <c r="J91" s="1141"/>
      <c r="K91" s="1133"/>
      <c r="L91" s="1133"/>
      <c r="M91" s="1133"/>
      <c r="N91" s="1133"/>
    </row>
    <row r="92" spans="1:40">
      <c r="A92" s="3476"/>
      <c r="B92" s="3476"/>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83"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4"/>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3" t="s">
        <v>1639</v>
      </c>
      <c r="B101" s="1146" t="s">
        <v>907</v>
      </c>
      <c r="C101" s="1147">
        <f>$G$3</f>
        <v>1.94</v>
      </c>
      <c r="D101" s="1147">
        <f t="shared" ref="D101:N101" si="31">$G$3</f>
        <v>1.94</v>
      </c>
      <c r="E101" s="1147">
        <f t="shared" si="31"/>
        <v>1.94</v>
      </c>
      <c r="F101" s="1147">
        <f t="shared" si="31"/>
        <v>1.94</v>
      </c>
      <c r="G101" s="1147">
        <f t="shared" si="31"/>
        <v>1.94</v>
      </c>
      <c r="H101" s="1147">
        <f t="shared" si="31"/>
        <v>1.94</v>
      </c>
      <c r="I101" s="1147">
        <f t="shared" si="31"/>
        <v>1.94</v>
      </c>
      <c r="J101" s="1147">
        <f t="shared" si="31"/>
        <v>1.94</v>
      </c>
      <c r="K101" s="1147">
        <f t="shared" si="31"/>
        <v>1.94</v>
      </c>
      <c r="L101" s="1147">
        <f t="shared" si="31"/>
        <v>1.94</v>
      </c>
      <c r="M101" s="1147">
        <f t="shared" si="31"/>
        <v>1.94</v>
      </c>
      <c r="N101" s="1147">
        <f t="shared" si="31"/>
        <v>1.94</v>
      </c>
    </row>
    <row r="102" spans="1:14">
      <c r="A102" s="3484"/>
      <c r="B102" s="1142">
        <v>1</v>
      </c>
      <c r="C102" s="1143">
        <f>1.9362/C101</f>
        <v>0.99804123711340209</v>
      </c>
      <c r="D102" s="1143">
        <f>1.9362/D101</f>
        <v>0.99804123711340209</v>
      </c>
      <c r="E102" s="1143">
        <f>1.8629/E101</f>
        <v>0.96025773195876296</v>
      </c>
      <c r="F102" s="1143">
        <f>1.8629/F101</f>
        <v>0.96025773195876296</v>
      </c>
      <c r="G102" s="1143">
        <f>1.8629/G101</f>
        <v>0.96025773195876296</v>
      </c>
      <c r="H102" s="1143">
        <f>1.8629/H101</f>
        <v>0.96025773195876296</v>
      </c>
      <c r="I102" s="1143">
        <f>1.8629/I101</f>
        <v>0.96025773195876296</v>
      </c>
      <c r="J102" s="1143">
        <f>1.942/J101</f>
        <v>1.0010309278350515</v>
      </c>
      <c r="K102" s="1143">
        <f>1.942/K101</f>
        <v>1.0010309278350515</v>
      </c>
      <c r="L102" s="1143">
        <f>1.942/L101</f>
        <v>1.0010309278350515</v>
      </c>
      <c r="M102" s="1143">
        <f>1.942/M101</f>
        <v>1.0010309278350515</v>
      </c>
      <c r="N102" s="1143">
        <f>1.942/N101</f>
        <v>1.0010309278350515</v>
      </c>
    </row>
    <row r="103" spans="1:14">
      <c r="A103" s="3484"/>
      <c r="B103" s="1142">
        <v>2</v>
      </c>
      <c r="C103" s="1143">
        <f>1.4198/C101</f>
        <v>0.73185567010309283</v>
      </c>
      <c r="D103" s="1143">
        <f>1.4198/D101</f>
        <v>0.73185567010309283</v>
      </c>
      <c r="E103" s="1143">
        <f>1.3372/E101</f>
        <v>0.68927835051546393</v>
      </c>
      <c r="F103" s="1143">
        <f>1.3372/F101</f>
        <v>0.68927835051546393</v>
      </c>
      <c r="G103" s="1143">
        <f>1.3372/G101</f>
        <v>0.68927835051546393</v>
      </c>
      <c r="H103" s="1143">
        <f>1.3372/H101</f>
        <v>0.68927835051546393</v>
      </c>
      <c r="I103" s="1143">
        <f>1.3372/I101</f>
        <v>0.68927835051546393</v>
      </c>
      <c r="J103" s="1143">
        <f>1.2799/J101</f>
        <v>0.65974226804123715</v>
      </c>
      <c r="K103" s="1143">
        <f>1.2799/K101</f>
        <v>0.65974226804123715</v>
      </c>
      <c r="L103" s="1143">
        <f>1.2799/L101</f>
        <v>0.65974226804123715</v>
      </c>
      <c r="M103" s="1143">
        <f>1.2799/M101</f>
        <v>0.65974226804123715</v>
      </c>
      <c r="N103" s="1143">
        <f>1.2799/N101</f>
        <v>0.65974226804123715</v>
      </c>
    </row>
    <row r="104" spans="1:14">
      <c r="A104" s="3484"/>
      <c r="B104" s="1142">
        <v>3</v>
      </c>
      <c r="C104" s="1143">
        <f>1.1594/C101</f>
        <v>0.59762886597938147</v>
      </c>
      <c r="D104" s="1143">
        <f>1.1594/D101</f>
        <v>0.59762886597938147</v>
      </c>
      <c r="E104" s="1143">
        <f>1.0788/E101</f>
        <v>0.55608247422680412</v>
      </c>
      <c r="F104" s="1143">
        <f>1.0788/F101</f>
        <v>0.55608247422680412</v>
      </c>
      <c r="G104" s="1143">
        <f>1.0788/G101</f>
        <v>0.55608247422680412</v>
      </c>
      <c r="H104" s="1143">
        <f>1.0788/H101</f>
        <v>0.55608247422680412</v>
      </c>
      <c r="I104" s="1143">
        <f>1.0788/I101</f>
        <v>0.55608247422680412</v>
      </c>
      <c r="J104" s="1143">
        <f>1.0072/J101</f>
        <v>0.51917525773195883</v>
      </c>
      <c r="K104" s="1143">
        <f>1.0072/K101</f>
        <v>0.51917525773195883</v>
      </c>
      <c r="L104" s="1143">
        <f>1.0072/L101</f>
        <v>0.51917525773195883</v>
      </c>
      <c r="M104" s="1143">
        <f>1.0072/M101</f>
        <v>0.51917525773195883</v>
      </c>
      <c r="N104" s="1143">
        <f>1.0072/N101</f>
        <v>0.51917525773195883</v>
      </c>
    </row>
    <row r="105" spans="1:14">
      <c r="A105" s="3484"/>
      <c r="B105" s="1142">
        <v>4</v>
      </c>
      <c r="C105" s="1143">
        <f>0.9622/C101</f>
        <v>0.49597938144329901</v>
      </c>
      <c r="D105" s="1143">
        <f>0.9622/D101</f>
        <v>0.49597938144329901</v>
      </c>
      <c r="E105" s="1143">
        <f>0.8656/E101</f>
        <v>0.44618556701030931</v>
      </c>
      <c r="F105" s="1143">
        <f>0.8656/F101</f>
        <v>0.44618556701030931</v>
      </c>
      <c r="G105" s="1143">
        <f>0.8656/G101</f>
        <v>0.44618556701030931</v>
      </c>
      <c r="H105" s="1143">
        <f>0.8656/H101</f>
        <v>0.44618556701030931</v>
      </c>
      <c r="I105" s="1143">
        <f>0.8656/I101</f>
        <v>0.44618556701030931</v>
      </c>
      <c r="J105" s="1143">
        <f>0.7525/J101</f>
        <v>0.38788659793814434</v>
      </c>
      <c r="K105" s="1143">
        <f>0.7525/K101</f>
        <v>0.38788659793814434</v>
      </c>
      <c r="L105" s="1143">
        <f>0.7525/L101</f>
        <v>0.38788659793814434</v>
      </c>
      <c r="M105" s="1143">
        <f>0.7525/M101</f>
        <v>0.38788659793814434</v>
      </c>
      <c r="N105" s="1143">
        <f>0.7525/N101</f>
        <v>0.38788659793814434</v>
      </c>
    </row>
    <row r="106" spans="1:14">
      <c r="A106" s="3484"/>
      <c r="B106" s="1142">
        <v>5</v>
      </c>
      <c r="C106" s="1143">
        <f>0.8417/C101</f>
        <v>0.43386597938144333</v>
      </c>
      <c r="D106" s="1143">
        <f>0.8417/D101</f>
        <v>0.43386597938144333</v>
      </c>
      <c r="E106" s="1143">
        <f>0.7371/E101</f>
        <v>0.37994845360824742</v>
      </c>
      <c r="F106" s="1143">
        <f>0.7371/F101</f>
        <v>0.37994845360824742</v>
      </c>
      <c r="G106" s="1143">
        <f>0.7371/G101</f>
        <v>0.37994845360824742</v>
      </c>
      <c r="H106" s="1143">
        <f>0.7371/H101</f>
        <v>0.37994845360824742</v>
      </c>
      <c r="I106" s="1143">
        <f>0.7371/I101</f>
        <v>0.37994845360824742</v>
      </c>
      <c r="J106" s="1143">
        <f>0.5659/J101</f>
        <v>0.29170103092783506</v>
      </c>
      <c r="K106" s="1143">
        <f>0.5659/K101</f>
        <v>0.29170103092783506</v>
      </c>
      <c r="L106" s="1143">
        <f>0.5659/L101</f>
        <v>0.29170103092783506</v>
      </c>
      <c r="M106" s="1143">
        <f>0.5659/M101</f>
        <v>0.29170103092783506</v>
      </c>
      <c r="N106" s="1143">
        <f>0.5659/N101</f>
        <v>0.29170103092783506</v>
      </c>
    </row>
    <row r="107" spans="1:14">
      <c r="A107" s="3484"/>
      <c r="B107" s="1142">
        <v>6</v>
      </c>
      <c r="C107" s="1143">
        <f>0.7608/C101</f>
        <v>0.39216494845360828</v>
      </c>
      <c r="D107" s="1143">
        <f>0.7608/D101</f>
        <v>0.39216494845360828</v>
      </c>
      <c r="E107" s="1143">
        <f>0.6482/E101</f>
        <v>0.33412371134020619</v>
      </c>
      <c r="F107" s="1143">
        <f>0.6482/F101</f>
        <v>0.33412371134020619</v>
      </c>
      <c r="G107" s="1143">
        <f>0.6482/G101</f>
        <v>0.33412371134020619</v>
      </c>
      <c r="H107" s="1143">
        <f>0.6482/H101</f>
        <v>0.33412371134020619</v>
      </c>
      <c r="I107" s="1143">
        <f>0.6482/I101</f>
        <v>0.33412371134020619</v>
      </c>
      <c r="J107" s="1143">
        <f>0.4525/J101</f>
        <v>0.23324742268041238</v>
      </c>
      <c r="K107" s="1143">
        <f>0.4525/K101</f>
        <v>0.23324742268041238</v>
      </c>
      <c r="L107" s="1143">
        <f>0.4525/L101</f>
        <v>0.23324742268041238</v>
      </c>
      <c r="M107" s="1143">
        <f>0.4525/M101</f>
        <v>0.23324742268041238</v>
      </c>
      <c r="N107" s="1143">
        <f>0.4525/N101</f>
        <v>0.23324742268041238</v>
      </c>
    </row>
    <row r="108" spans="1:14">
      <c r="A108" s="3484"/>
      <c r="B108" s="3486"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5"/>
      <c r="B109" s="3487"/>
      <c r="C109" s="1145">
        <f>(-0.163*(C108^2)-0.59*C108+7617)*(10^(-4))/C101</f>
        <v>0.39184783505154641</v>
      </c>
      <c r="D109" s="1145">
        <f>(-0.163*(D108^2)-0.59*D108+7617)*(10^(-4))/D101</f>
        <v>0.39184783505154641</v>
      </c>
      <c r="E109" s="1145">
        <f>(-0.161*(E108^2)-7.509*E108+6533)*(10^(-4))/E101</f>
        <v>0.33312494845360824</v>
      </c>
      <c r="F109" s="1145">
        <f>(-0.161*(F108^2)-7.509*F108+6533)*(10^(-4))/F101</f>
        <v>0.33312494845360824</v>
      </c>
      <c r="G109" s="1145">
        <f>(-0.161*(G108^2)-7.509*G108+6533)*(10^(-4))/G101</f>
        <v>0.33312494845360824</v>
      </c>
      <c r="H109" s="1145">
        <f>(-0.161*(H108^2)-7.509*H108+6533)*(10^(-4))/H101</f>
        <v>0.33312494845360824</v>
      </c>
      <c r="I109" s="1145">
        <f>(-0.161*(I108^2)-7.509*I108+6533)*(10^(-4))/I101</f>
        <v>0.33312494845360824</v>
      </c>
      <c r="J109" s="1145">
        <f>(-0.214*(J108^2)-21.991*J108+4665)*(10^(-4))/J101</f>
        <v>0.23068948453608251</v>
      </c>
      <c r="K109" s="1145">
        <f>(-0.214*(K108^2)-21.991*K108+4665)*(10^(-4))/K101</f>
        <v>0.23068948453608251</v>
      </c>
      <c r="L109" s="1145">
        <f>(-0.214*(L108^2)-21.991*L108+4665)*(10^(-4))/L101</f>
        <v>0.23068948453608251</v>
      </c>
      <c r="M109" s="1145">
        <f>(-0.214*(M108^2)-21.991*M108+4665)*(10^(-4))/M101</f>
        <v>0.23068948453608251</v>
      </c>
      <c r="N109" s="1145">
        <f>(-0.214*(N108^2)-21.991*N108+4665)*(10^(-4))/N101</f>
        <v>0.23068948453608251</v>
      </c>
    </row>
    <row r="110" spans="1:14">
      <c r="A110" s="3470" t="s">
        <v>1641</v>
      </c>
      <c r="B110" s="3470"/>
      <c r="C110" s="3470"/>
      <c r="D110" s="3470"/>
      <c r="E110" s="3470"/>
      <c r="F110" s="3470"/>
      <c r="G110" s="3470"/>
      <c r="H110" s="3470"/>
      <c r="I110" s="3470"/>
      <c r="J110" s="3470"/>
      <c r="K110" s="2470"/>
      <c r="L110" s="2470"/>
      <c r="M110" s="2470"/>
      <c r="N110" s="2470"/>
    </row>
    <row r="112" spans="1:14" ht="12.75" thickBot="1"/>
    <row r="113" spans="1:13" ht="25.5" thickBot="1">
      <c r="A113" s="1015" t="s">
        <v>897</v>
      </c>
      <c r="B113" s="2473">
        <f>G3</f>
        <v>1.94</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0.9153</v>
      </c>
      <c r="C115" s="1029">
        <f>B115</f>
        <v>0.9153</v>
      </c>
      <c r="D115" s="1029">
        <f>ROUND(0.8331-0.0109*B113,4)</f>
        <v>0.81200000000000006</v>
      </c>
      <c r="E115" s="1029">
        <f>D115</f>
        <v>0.81200000000000006</v>
      </c>
      <c r="F115" s="1029">
        <f>E115</f>
        <v>0.81200000000000006</v>
      </c>
      <c r="G115" s="1029">
        <f>F115</f>
        <v>0.81200000000000006</v>
      </c>
      <c r="H115" s="1029">
        <f>G115</f>
        <v>0.81200000000000006</v>
      </c>
      <c r="I115" s="1029">
        <f>ROUND(0.689-0.0155*B113,4)</f>
        <v>0.65890000000000004</v>
      </c>
      <c r="J115" s="1029">
        <f t="shared" ref="J115:M118" si="33">I115</f>
        <v>0.65890000000000004</v>
      </c>
      <c r="K115" s="1029">
        <f t="shared" si="33"/>
        <v>0.65890000000000004</v>
      </c>
      <c r="L115" s="1029">
        <f t="shared" si="33"/>
        <v>0.65890000000000004</v>
      </c>
      <c r="M115" s="1030">
        <f t="shared" si="33"/>
        <v>0.65890000000000004</v>
      </c>
    </row>
    <row r="116" spans="1:13" ht="12.75">
      <c r="A116" s="1028" t="s">
        <v>902</v>
      </c>
      <c r="B116" s="1029">
        <f>ROUND(0.949-0.012*B113,4)</f>
        <v>0.92569999999999997</v>
      </c>
      <c r="C116" s="1029">
        <f>B116</f>
        <v>0.92569999999999997</v>
      </c>
      <c r="D116" s="1029">
        <f>ROUND(0.8567-0.013*B113,4)</f>
        <v>0.83150000000000002</v>
      </c>
      <c r="E116" s="1029">
        <f t="shared" ref="E116:H117" si="34">D116</f>
        <v>0.83150000000000002</v>
      </c>
      <c r="F116" s="1029">
        <f t="shared" si="34"/>
        <v>0.83150000000000002</v>
      </c>
      <c r="G116" s="1029">
        <f t="shared" si="34"/>
        <v>0.83150000000000002</v>
      </c>
      <c r="H116" s="1029">
        <f t="shared" si="34"/>
        <v>0.83150000000000002</v>
      </c>
      <c r="I116" s="1029">
        <f>ROUND(0.7694-0.014*B113,4)</f>
        <v>0.74219999999999997</v>
      </c>
      <c r="J116" s="1029">
        <f t="shared" si="33"/>
        <v>0.74219999999999997</v>
      </c>
      <c r="K116" s="1029">
        <f t="shared" si="33"/>
        <v>0.74219999999999997</v>
      </c>
      <c r="L116" s="1029">
        <f t="shared" si="33"/>
        <v>0.74219999999999997</v>
      </c>
      <c r="M116" s="1030">
        <f t="shared" si="33"/>
        <v>0.74219999999999997</v>
      </c>
    </row>
    <row r="117" spans="1:13" ht="12.75">
      <c r="A117" s="1031" t="s">
        <v>903</v>
      </c>
      <c r="B117" s="1029">
        <f>ROUND(0.8808-0.006*B113,4)</f>
        <v>0.86919999999999997</v>
      </c>
      <c r="C117" s="1029">
        <f>B117</f>
        <v>0.86919999999999997</v>
      </c>
      <c r="D117" s="1029">
        <f>ROUND(0.8748-0.008*B113,4)</f>
        <v>0.85929999999999995</v>
      </c>
      <c r="E117" s="1029">
        <f t="shared" si="34"/>
        <v>0.85929999999999995</v>
      </c>
      <c r="F117" s="1029">
        <f t="shared" si="34"/>
        <v>0.85929999999999995</v>
      </c>
      <c r="G117" s="1029">
        <f t="shared" si="34"/>
        <v>0.85929999999999995</v>
      </c>
      <c r="H117" s="1029">
        <f t="shared" si="34"/>
        <v>0.85929999999999995</v>
      </c>
      <c r="I117" s="1029">
        <f>ROUND(0.7412-0.0095*B113,4)</f>
        <v>0.7228</v>
      </c>
      <c r="J117" s="1029">
        <f t="shared" si="33"/>
        <v>0.7228</v>
      </c>
      <c r="K117" s="1029">
        <f t="shared" si="33"/>
        <v>0.7228</v>
      </c>
      <c r="L117" s="1029">
        <f t="shared" si="33"/>
        <v>0.7228</v>
      </c>
      <c r="M117" s="1030">
        <f t="shared" si="33"/>
        <v>0.7228</v>
      </c>
    </row>
    <row r="118" spans="1:13" ht="13.5" thickBot="1">
      <c r="A118" s="1032" t="s">
        <v>904</v>
      </c>
      <c r="B118" s="1033">
        <f>ROUND(0.7275-0.01*B113,4)</f>
        <v>0.70809999999999995</v>
      </c>
      <c r="C118" s="1033">
        <f>B118</f>
        <v>0.70809999999999995</v>
      </c>
      <c r="D118" s="1033">
        <f>ROUND(0.7043-0.012*B113,4)</f>
        <v>0.68100000000000005</v>
      </c>
      <c r="E118" s="1033">
        <f>D118</f>
        <v>0.68100000000000005</v>
      </c>
      <c r="F118" s="1033">
        <f>E118</f>
        <v>0.68100000000000005</v>
      </c>
      <c r="G118" s="1033">
        <f>ROUND(0.6299-0.0122*B113,4)</f>
        <v>0.60619999999999996</v>
      </c>
      <c r="H118" s="1033">
        <f>G118</f>
        <v>0.60619999999999996</v>
      </c>
      <c r="I118" s="1033">
        <f>ROUND(0.5667-0.0136*B113,4)</f>
        <v>0.5403</v>
      </c>
      <c r="J118" s="1033">
        <f t="shared" si="33"/>
        <v>0.5403</v>
      </c>
      <c r="K118" s="1033">
        <f t="shared" si="33"/>
        <v>0.5403</v>
      </c>
      <c r="L118" s="1033">
        <f t="shared" si="33"/>
        <v>0.5403</v>
      </c>
      <c r="M118" s="1034">
        <f t="shared" si="33"/>
        <v>0.5403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76" t="s">
        <v>1009</v>
      </c>
      <c r="B18" s="1153" t="s">
        <v>1448</v>
      </c>
      <c r="C18" s="1130" t="s">
        <v>1449</v>
      </c>
      <c r="D18" s="1131"/>
      <c r="E18" s="1153">
        <v>1</v>
      </c>
      <c r="F18" s="1132" t="s">
        <v>1450</v>
      </c>
      <c r="G18" s="1133"/>
      <c r="H18" s="1104"/>
      <c r="I18" s="1104"/>
    </row>
    <row r="19" spans="1:9" s="1598" customFormat="1" ht="19.5" customHeight="1">
      <c r="A19" s="3476"/>
      <c r="B19" s="3476" t="s">
        <v>1451</v>
      </c>
      <c r="C19" s="1130" t="s">
        <v>1452</v>
      </c>
      <c r="D19" s="1131"/>
      <c r="E19" s="1153">
        <v>0.9</v>
      </c>
      <c r="F19" s="1132" t="s">
        <v>1453</v>
      </c>
      <c r="G19" s="1133"/>
      <c r="H19" s="1104"/>
      <c r="I19" s="1104"/>
    </row>
    <row r="20" spans="1:9" s="1598" customFormat="1" ht="19.5" customHeight="1">
      <c r="A20" s="3476"/>
      <c r="B20" s="3476"/>
      <c r="C20" s="1130" t="s">
        <v>1454</v>
      </c>
      <c r="D20" s="1131"/>
      <c r="E20" s="1153">
        <v>1.1000000000000001</v>
      </c>
      <c r="F20" s="1132" t="s">
        <v>1455</v>
      </c>
      <c r="G20" s="1133"/>
      <c r="H20" s="1104"/>
      <c r="I20" s="1104"/>
    </row>
    <row r="21" spans="1:9" s="1598" customFormat="1" ht="19.5" customHeight="1">
      <c r="A21" s="3476"/>
      <c r="B21" s="3476"/>
      <c r="C21" s="1130" t="s">
        <v>1456</v>
      </c>
      <c r="D21" s="1131"/>
      <c r="E21" s="1153">
        <v>0.8</v>
      </c>
      <c r="F21" s="1132" t="s">
        <v>1457</v>
      </c>
      <c r="G21" s="1133"/>
      <c r="H21" s="1104"/>
      <c r="I21" s="1104"/>
    </row>
    <row r="22" spans="1:9" s="1598" customFormat="1" ht="19.5" customHeight="1">
      <c r="A22" s="3476"/>
      <c r="B22" s="3476"/>
      <c r="C22" s="1130" t="s">
        <v>1458</v>
      </c>
      <c r="D22" s="1131"/>
      <c r="E22" s="1153">
        <v>0.5</v>
      </c>
      <c r="F22" s="1132"/>
      <c r="G22" s="1133"/>
      <c r="H22" s="1104"/>
      <c r="I22" s="1104"/>
    </row>
    <row r="23" spans="1:9" s="1598" customFormat="1" ht="19.5" customHeight="1">
      <c r="A23" s="3476" t="s">
        <v>1031</v>
      </c>
      <c r="B23" s="1153" t="s">
        <v>1448</v>
      </c>
      <c r="C23" s="1130" t="s">
        <v>1459</v>
      </c>
      <c r="D23" s="1131"/>
      <c r="E23" s="1153">
        <v>1</v>
      </c>
      <c r="F23" s="1132" t="s">
        <v>1460</v>
      </c>
      <c r="G23" s="1133"/>
      <c r="H23" s="1104"/>
      <c r="I23" s="1104"/>
    </row>
    <row r="24" spans="1:9" s="1598" customFormat="1" ht="19.5" customHeight="1">
      <c r="A24" s="3476"/>
      <c r="B24" s="3476" t="s">
        <v>1451</v>
      </c>
      <c r="C24" s="1130" t="s">
        <v>1461</v>
      </c>
      <c r="D24" s="1131"/>
      <c r="E24" s="1153">
        <v>0.5</v>
      </c>
      <c r="F24" s="1132"/>
      <c r="G24" s="1133"/>
      <c r="H24" s="1104"/>
      <c r="I24" s="1104"/>
    </row>
    <row r="25" spans="1:9" s="1598" customFormat="1" ht="19.5" customHeight="1">
      <c r="A25" s="3476"/>
      <c r="B25" s="3476"/>
      <c r="C25" s="1130" t="s">
        <v>1462</v>
      </c>
      <c r="D25" s="1131"/>
      <c r="E25" s="1153">
        <v>1.1000000000000001</v>
      </c>
      <c r="F25" s="1132"/>
      <c r="G25" s="1133"/>
      <c r="H25" s="1104"/>
      <c r="I25" s="1104"/>
    </row>
    <row r="26" spans="1:9" s="1598" customFormat="1" ht="19.5" customHeight="1">
      <c r="A26" s="3476"/>
      <c r="B26" s="3476"/>
      <c r="C26" s="1130" t="s">
        <v>1463</v>
      </c>
      <c r="D26" s="1131"/>
      <c r="E26" s="1153">
        <v>1.1000000000000001</v>
      </c>
      <c r="F26" s="1132"/>
      <c r="G26" s="1133"/>
      <c r="H26" s="1104"/>
      <c r="I26" s="1104"/>
    </row>
    <row r="27" spans="1:9" s="1598" customFormat="1" ht="19.5" customHeight="1">
      <c r="A27" s="3476"/>
      <c r="B27" s="3476"/>
      <c r="C27" s="1130" t="s">
        <v>1464</v>
      </c>
      <c r="D27" s="1131"/>
      <c r="E27" s="1153">
        <v>0.9</v>
      </c>
      <c r="F27" s="1132" t="s">
        <v>1465</v>
      </c>
      <c r="G27" s="1133"/>
      <c r="H27" s="1104"/>
      <c r="I27" s="1104"/>
    </row>
    <row r="28" spans="1:9" s="1598" customFormat="1" ht="19.5" customHeight="1">
      <c r="A28" s="3476"/>
      <c r="B28" s="3476"/>
      <c r="C28" s="1130" t="s">
        <v>1466</v>
      </c>
      <c r="D28" s="1131"/>
      <c r="E28" s="1153">
        <v>0.9</v>
      </c>
      <c r="F28" s="1132" t="s">
        <v>1467</v>
      </c>
      <c r="G28" s="1133"/>
      <c r="H28" s="1104"/>
      <c r="I28" s="1104"/>
    </row>
    <row r="29" spans="1:9" s="1598" customFormat="1" ht="19.5" customHeight="1">
      <c r="A29" s="3476"/>
      <c r="B29" s="3476"/>
      <c r="C29" s="1130" t="s">
        <v>1468</v>
      </c>
      <c r="D29" s="1131"/>
      <c r="E29" s="1153">
        <v>0.9</v>
      </c>
      <c r="F29" s="1132" t="s">
        <v>1469</v>
      </c>
      <c r="G29" s="1133"/>
      <c r="H29" s="1104"/>
      <c r="I29" s="1104"/>
    </row>
    <row r="30" spans="1:9" s="1598" customFormat="1" ht="19.5" customHeight="1">
      <c r="A30" s="3476"/>
      <c r="B30" s="3476"/>
      <c r="C30" s="1130" t="s">
        <v>1470</v>
      </c>
      <c r="D30" s="1131"/>
      <c r="E30" s="1153">
        <v>0.9</v>
      </c>
      <c r="F30" s="1132" t="s">
        <v>1471</v>
      </c>
      <c r="G30" s="1133"/>
      <c r="H30" s="1104"/>
      <c r="I30" s="1104"/>
    </row>
    <row r="31" spans="1:9" s="1598" customFormat="1" ht="19.5" customHeight="1">
      <c r="A31" s="3476"/>
      <c r="B31" s="3476"/>
      <c r="C31" s="1130" t="s">
        <v>1472</v>
      </c>
      <c r="D31" s="1131"/>
      <c r="E31" s="1153">
        <v>0.8</v>
      </c>
      <c r="F31" s="1132" t="s">
        <v>1473</v>
      </c>
      <c r="G31" s="1133"/>
      <c r="H31" s="1104"/>
      <c r="I31" s="1104"/>
    </row>
    <row r="32" spans="1:9" s="1598" customFormat="1" ht="19.5" customHeight="1">
      <c r="A32" s="3476"/>
      <c r="B32" s="3476"/>
      <c r="C32" s="1130" t="s">
        <v>1474</v>
      </c>
      <c r="D32" s="1131"/>
      <c r="E32" s="1153">
        <v>0.8</v>
      </c>
      <c r="F32" s="1132" t="s">
        <v>1475</v>
      </c>
      <c r="G32" s="1133"/>
      <c r="H32" s="1104"/>
      <c r="I32" s="1104"/>
    </row>
    <row r="33" spans="1:9" s="1598" customFormat="1" ht="19.5" customHeight="1">
      <c r="A33" s="3476" t="s">
        <v>1476</v>
      </c>
      <c r="B33" s="1153" t="s">
        <v>1448</v>
      </c>
      <c r="C33" s="1130" t="s">
        <v>1477</v>
      </c>
      <c r="D33" s="1131"/>
      <c r="E33" s="1153">
        <v>1</v>
      </c>
      <c r="F33" s="1132" t="s">
        <v>1478</v>
      </c>
      <c r="G33" s="1133"/>
      <c r="H33" s="1104"/>
      <c r="I33" s="1104"/>
    </row>
    <row r="34" spans="1:9" s="1598" customFormat="1" ht="19.5" customHeight="1">
      <c r="A34" s="3476"/>
      <c r="B34" s="1153" t="s">
        <v>1451</v>
      </c>
      <c r="C34" s="1130" t="s">
        <v>1479</v>
      </c>
      <c r="D34" s="1131"/>
      <c r="E34" s="1153">
        <v>1.5</v>
      </c>
      <c r="F34" s="1132" t="s">
        <v>1480</v>
      </c>
      <c r="G34" s="1133"/>
      <c r="H34" s="1104"/>
      <c r="I34" s="1104"/>
    </row>
    <row r="35" spans="1:9" s="1598" customFormat="1" ht="19.5" customHeight="1">
      <c r="A35" s="3476" t="s">
        <v>1434</v>
      </c>
      <c r="B35" s="1153" t="s">
        <v>1448</v>
      </c>
      <c r="C35" s="1130" t="s">
        <v>1481</v>
      </c>
      <c r="D35" s="1131"/>
      <c r="E35" s="1153">
        <v>1</v>
      </c>
      <c r="F35" s="1132" t="s">
        <v>1482</v>
      </c>
      <c r="G35" s="1133"/>
      <c r="H35" s="1104"/>
      <c r="I35" s="1104"/>
    </row>
    <row r="36" spans="1:9" s="1598" customFormat="1" ht="19.5" customHeight="1">
      <c r="A36" s="3476"/>
      <c r="B36" s="3476" t="s">
        <v>1451</v>
      </c>
      <c r="C36" s="1130" t="s">
        <v>1483</v>
      </c>
      <c r="D36" s="1131"/>
      <c r="E36" s="1153">
        <v>1</v>
      </c>
      <c r="F36" s="1132" t="s">
        <v>1484</v>
      </c>
      <c r="G36" s="1133"/>
      <c r="H36" s="1104"/>
      <c r="I36" s="1104"/>
    </row>
    <row r="37" spans="1:9" s="1598" customFormat="1" ht="19.5" customHeight="1">
      <c r="A37" s="3476"/>
      <c r="B37" s="3476"/>
      <c r="C37" s="1130" t="s">
        <v>1485</v>
      </c>
      <c r="D37" s="1131"/>
      <c r="E37" s="1153">
        <v>1.5</v>
      </c>
      <c r="F37" s="1132" t="s">
        <v>1486</v>
      </c>
      <c r="G37" s="1133"/>
      <c r="H37" s="1104"/>
      <c r="I37" s="1104"/>
    </row>
    <row r="38" spans="1:9" s="1598" customFormat="1" ht="19.5" customHeight="1">
      <c r="A38" s="3476"/>
      <c r="B38" s="3476"/>
      <c r="C38" s="1130" t="s">
        <v>1487</v>
      </c>
      <c r="D38" s="1131"/>
      <c r="E38" s="1153">
        <v>1</v>
      </c>
      <c r="F38" s="1132" t="s">
        <v>1488</v>
      </c>
      <c r="G38" s="1133"/>
      <c r="H38" s="1104"/>
      <c r="I38" s="1104"/>
    </row>
    <row r="39" spans="1:9" s="1598" customFormat="1" ht="19.5" customHeight="1">
      <c r="A39" s="3476"/>
      <c r="B39" s="3476"/>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76" t="s">
        <v>1503</v>
      </c>
      <c r="C61" s="1067" t="s">
        <v>1504</v>
      </c>
      <c r="D61" s="1067" t="s">
        <v>1505</v>
      </c>
      <c r="E61" s="1138">
        <v>0.5</v>
      </c>
      <c r="F61" s="1153">
        <v>80</v>
      </c>
      <c r="H61" s="1104">
        <f>SUMIF(C59:C119,基准地价!C8,E59:E119)</f>
        <v>0</v>
      </c>
    </row>
    <row r="62" spans="1:8" s="1104" customFormat="1" ht="24">
      <c r="A62" s="1153">
        <v>2</v>
      </c>
      <c r="B62" s="3476"/>
      <c r="C62" s="1067" t="s">
        <v>1506</v>
      </c>
      <c r="D62" s="1067" t="s">
        <v>1507</v>
      </c>
      <c r="E62" s="1138">
        <v>0.5</v>
      </c>
      <c r="F62" s="1153">
        <v>80</v>
      </c>
    </row>
    <row r="63" spans="1:8" s="1104" customFormat="1" ht="36">
      <c r="A63" s="1153">
        <v>3</v>
      </c>
      <c r="B63" s="3476"/>
      <c r="C63" s="1067" t="s">
        <v>1508</v>
      </c>
      <c r="D63" s="1067" t="s">
        <v>1509</v>
      </c>
      <c r="E63" s="1138">
        <v>0.5</v>
      </c>
      <c r="F63" s="1153">
        <v>80</v>
      </c>
    </row>
    <row r="64" spans="1:8" s="1104" customFormat="1" ht="36">
      <c r="A64" s="1153">
        <v>4</v>
      </c>
      <c r="B64" s="3476"/>
      <c r="C64" s="1067" t="s">
        <v>1510</v>
      </c>
      <c r="D64" s="1067" t="s">
        <v>1511</v>
      </c>
      <c r="E64" s="1138">
        <v>0.4</v>
      </c>
      <c r="F64" s="1153">
        <v>60</v>
      </c>
    </row>
    <row r="65" spans="1:6" s="1104" customFormat="1" ht="36">
      <c r="A65" s="1153">
        <v>5</v>
      </c>
      <c r="B65" s="3476"/>
      <c r="C65" s="1067" t="s">
        <v>1512</v>
      </c>
      <c r="D65" s="1067" t="s">
        <v>1513</v>
      </c>
      <c r="E65" s="1138">
        <v>0.2</v>
      </c>
      <c r="F65" s="1153">
        <v>30</v>
      </c>
    </row>
    <row r="66" spans="1:6" s="1104" customFormat="1" ht="36">
      <c r="A66" s="1153">
        <v>6</v>
      </c>
      <c r="B66" s="3476"/>
      <c r="C66" s="1067" t="s">
        <v>1514</v>
      </c>
      <c r="D66" s="1067" t="s">
        <v>1515</v>
      </c>
      <c r="E66" s="1138">
        <v>0.3</v>
      </c>
      <c r="F66" s="1153">
        <v>50</v>
      </c>
    </row>
    <row r="67" spans="1:6" s="1104" customFormat="1" ht="36">
      <c r="A67" s="1153">
        <v>7</v>
      </c>
      <c r="B67" s="3476"/>
      <c r="C67" s="1067" t="s">
        <v>1516</v>
      </c>
      <c r="D67" s="1067" t="s">
        <v>1517</v>
      </c>
      <c r="E67" s="1138">
        <v>0.2</v>
      </c>
      <c r="F67" s="1153">
        <v>30</v>
      </c>
    </row>
    <row r="68" spans="1:6" s="1104" customFormat="1" ht="36">
      <c r="A68" s="1153">
        <v>8</v>
      </c>
      <c r="B68" s="3476"/>
      <c r="C68" s="1067" t="s">
        <v>1518</v>
      </c>
      <c r="D68" s="1067" t="s">
        <v>1519</v>
      </c>
      <c r="E68" s="1138">
        <v>0.2</v>
      </c>
      <c r="F68" s="1153">
        <v>30</v>
      </c>
    </row>
    <row r="69" spans="1:6" s="1104" customFormat="1" ht="36">
      <c r="A69" s="1153">
        <v>9</v>
      </c>
      <c r="B69" s="3476"/>
      <c r="C69" s="1067" t="s">
        <v>1520</v>
      </c>
      <c r="D69" s="1067" t="s">
        <v>1521</v>
      </c>
      <c r="E69" s="1138">
        <v>0.2</v>
      </c>
      <c r="F69" s="1153">
        <v>30</v>
      </c>
    </row>
    <row r="70" spans="1:6" s="1104" customFormat="1" ht="48">
      <c r="A70" s="1153">
        <v>10</v>
      </c>
      <c r="B70" s="3476"/>
      <c r="C70" s="1067" t="s">
        <v>1522</v>
      </c>
      <c r="D70" s="1067" t="s">
        <v>1523</v>
      </c>
      <c r="E70" s="1138">
        <v>0.2</v>
      </c>
      <c r="F70" s="1153">
        <v>30</v>
      </c>
    </row>
    <row r="71" spans="1:6" s="1104" customFormat="1" ht="48">
      <c r="A71" s="1153">
        <v>11</v>
      </c>
      <c r="B71" s="3476"/>
      <c r="C71" s="1067" t="s">
        <v>1524</v>
      </c>
      <c r="D71" s="1067" t="s">
        <v>1525</v>
      </c>
      <c r="E71" s="1138">
        <v>0.2</v>
      </c>
      <c r="F71" s="1153">
        <v>30</v>
      </c>
    </row>
    <row r="72" spans="1:6" s="1104" customFormat="1" ht="36">
      <c r="A72" s="1153">
        <v>12</v>
      </c>
      <c r="B72" s="3476"/>
      <c r="C72" s="1067" t="s">
        <v>1526</v>
      </c>
      <c r="D72" s="1067" t="s">
        <v>1527</v>
      </c>
      <c r="E72" s="1138">
        <v>0.5</v>
      </c>
      <c r="F72" s="1153">
        <v>80</v>
      </c>
    </row>
    <row r="73" spans="1:6" s="1104" customFormat="1" ht="24">
      <c r="A73" s="1153">
        <v>13</v>
      </c>
      <c r="B73" s="3476"/>
      <c r="C73" s="1067" t="s">
        <v>1528</v>
      </c>
      <c r="D73" s="1067" t="s">
        <v>1529</v>
      </c>
      <c r="E73" s="1138">
        <v>0.4</v>
      </c>
      <c r="F73" s="1153">
        <v>60</v>
      </c>
    </row>
    <row r="74" spans="1:6" s="1104" customFormat="1" ht="24">
      <c r="A74" s="1153">
        <v>14</v>
      </c>
      <c r="B74" s="3476"/>
      <c r="C74" s="1067" t="s">
        <v>1530</v>
      </c>
      <c r="D74" s="1067" t="s">
        <v>1531</v>
      </c>
      <c r="E74" s="1138">
        <v>0.2</v>
      </c>
      <c r="F74" s="1153">
        <v>30</v>
      </c>
    </row>
    <row r="75" spans="1:6" s="1104" customFormat="1" ht="24">
      <c r="A75" s="1153">
        <v>15</v>
      </c>
      <c r="B75" s="3476"/>
      <c r="C75" s="1067" t="s">
        <v>1532</v>
      </c>
      <c r="D75" s="1067" t="s">
        <v>1533</v>
      </c>
      <c r="E75" s="1138">
        <v>0.2</v>
      </c>
      <c r="F75" s="1153">
        <v>30</v>
      </c>
    </row>
    <row r="76" spans="1:6" s="1104" customFormat="1" ht="24">
      <c r="A76" s="1153">
        <v>16</v>
      </c>
      <c r="B76" s="3476" t="s">
        <v>1534</v>
      </c>
      <c r="C76" s="1067" t="s">
        <v>1535</v>
      </c>
      <c r="D76" s="1067" t="s">
        <v>1536</v>
      </c>
      <c r="E76" s="1138">
        <v>0.5</v>
      </c>
      <c r="F76" s="1153">
        <v>80</v>
      </c>
    </row>
    <row r="77" spans="1:6" s="1104" customFormat="1" ht="24">
      <c r="A77" s="1153">
        <v>17</v>
      </c>
      <c r="B77" s="3476"/>
      <c r="C77" s="1067" t="s">
        <v>1537</v>
      </c>
      <c r="D77" s="1067" t="s">
        <v>1538</v>
      </c>
      <c r="E77" s="1138">
        <v>0.5</v>
      </c>
      <c r="F77" s="1153">
        <v>80</v>
      </c>
    </row>
    <row r="78" spans="1:6" s="1104" customFormat="1" ht="24">
      <c r="A78" s="1153">
        <v>18</v>
      </c>
      <c r="B78" s="3476"/>
      <c r="C78" s="1067" t="s">
        <v>1539</v>
      </c>
      <c r="D78" s="1067" t="s">
        <v>1540</v>
      </c>
      <c r="E78" s="1138">
        <v>0.2</v>
      </c>
      <c r="F78" s="1153">
        <v>30</v>
      </c>
    </row>
    <row r="79" spans="1:6" s="1104" customFormat="1" ht="24">
      <c r="A79" s="1153">
        <v>19</v>
      </c>
      <c r="B79" s="3476"/>
      <c r="C79" s="1067" t="s">
        <v>1541</v>
      </c>
      <c r="D79" s="1067" t="s">
        <v>1542</v>
      </c>
      <c r="E79" s="1138">
        <v>0.5</v>
      </c>
      <c r="F79" s="1153">
        <v>80</v>
      </c>
    </row>
    <row r="80" spans="1:6" s="1104" customFormat="1" ht="36">
      <c r="A80" s="1153">
        <v>20</v>
      </c>
      <c r="B80" s="3476"/>
      <c r="C80" s="1067" t="s">
        <v>1543</v>
      </c>
      <c r="D80" s="1067" t="s">
        <v>1544</v>
      </c>
      <c r="E80" s="1138">
        <v>0.2</v>
      </c>
      <c r="F80" s="1153">
        <v>30</v>
      </c>
    </row>
    <row r="81" spans="1:6" s="1104" customFormat="1" ht="36">
      <c r="A81" s="1153">
        <v>21</v>
      </c>
      <c r="B81" s="3476"/>
      <c r="C81" s="1067" t="s">
        <v>1545</v>
      </c>
      <c r="D81" s="1067" t="s">
        <v>1546</v>
      </c>
      <c r="E81" s="1138">
        <v>0.2</v>
      </c>
      <c r="F81" s="1153">
        <v>30</v>
      </c>
    </row>
    <row r="82" spans="1:6" s="1104" customFormat="1" ht="48">
      <c r="A82" s="1153">
        <v>22</v>
      </c>
      <c r="B82" s="3476"/>
      <c r="C82" s="1067" t="s">
        <v>1547</v>
      </c>
      <c r="D82" s="1067" t="s">
        <v>1548</v>
      </c>
      <c r="E82" s="1138">
        <v>0.2</v>
      </c>
      <c r="F82" s="1153">
        <v>30</v>
      </c>
    </row>
    <row r="83" spans="1:6" s="1104" customFormat="1" ht="48">
      <c r="A83" s="1153">
        <v>23</v>
      </c>
      <c r="B83" s="3476"/>
      <c r="C83" s="1067" t="s">
        <v>1549</v>
      </c>
      <c r="D83" s="1067" t="s">
        <v>1550</v>
      </c>
      <c r="E83" s="1138">
        <v>0.2</v>
      </c>
      <c r="F83" s="1153">
        <v>30</v>
      </c>
    </row>
    <row r="84" spans="1:6" s="1104" customFormat="1" ht="36">
      <c r="A84" s="1153">
        <v>24</v>
      </c>
      <c r="B84" s="3476"/>
      <c r="C84" s="1067" t="s">
        <v>1551</v>
      </c>
      <c r="D84" s="1067" t="s">
        <v>1552</v>
      </c>
      <c r="E84" s="1138">
        <v>0.2</v>
      </c>
      <c r="F84" s="1153">
        <v>30</v>
      </c>
    </row>
    <row r="85" spans="1:6" s="1104" customFormat="1" ht="36">
      <c r="A85" s="1153">
        <v>25</v>
      </c>
      <c r="B85" s="3476"/>
      <c r="C85" s="1067" t="s">
        <v>1553</v>
      </c>
      <c r="D85" s="1067" t="s">
        <v>1554</v>
      </c>
      <c r="E85" s="1138">
        <v>0.5</v>
      </c>
      <c r="F85" s="1153">
        <v>80</v>
      </c>
    </row>
    <row r="86" spans="1:6" s="1104" customFormat="1" ht="36">
      <c r="A86" s="1153">
        <v>26</v>
      </c>
      <c r="B86" s="3476"/>
      <c r="C86" s="1067" t="s">
        <v>1555</v>
      </c>
      <c r="D86" s="1067" t="s">
        <v>1556</v>
      </c>
      <c r="E86" s="1138">
        <v>0.2</v>
      </c>
      <c r="F86" s="1153">
        <v>30</v>
      </c>
    </row>
    <row r="87" spans="1:6" s="1104" customFormat="1" ht="36">
      <c r="A87" s="1153">
        <v>27</v>
      </c>
      <c r="B87" s="3476"/>
      <c r="C87" s="1067" t="s">
        <v>1557</v>
      </c>
      <c r="D87" s="1067" t="s">
        <v>1558</v>
      </c>
      <c r="E87" s="1138">
        <v>0.2</v>
      </c>
      <c r="F87" s="1153">
        <v>30</v>
      </c>
    </row>
    <row r="88" spans="1:6" s="1104" customFormat="1" ht="36">
      <c r="A88" s="1153">
        <v>28</v>
      </c>
      <c r="B88" s="3476"/>
      <c r="C88" s="1067" t="s">
        <v>1559</v>
      </c>
      <c r="D88" s="1067" t="s">
        <v>1560</v>
      </c>
      <c r="E88" s="1138">
        <v>0.2</v>
      </c>
      <c r="F88" s="1153">
        <v>30</v>
      </c>
    </row>
    <row r="89" spans="1:6" s="1104" customFormat="1" ht="24">
      <c r="A89" s="1153">
        <v>29</v>
      </c>
      <c r="B89" s="3476"/>
      <c r="C89" s="1067" t="s">
        <v>1561</v>
      </c>
      <c r="D89" s="1067" t="s">
        <v>1562</v>
      </c>
      <c r="E89" s="1138">
        <v>0.2</v>
      </c>
      <c r="F89" s="1153">
        <v>30</v>
      </c>
    </row>
    <row r="90" spans="1:6" s="1104" customFormat="1" ht="24">
      <c r="A90" s="1153">
        <v>30</v>
      </c>
      <c r="B90" s="3476"/>
      <c r="C90" s="1067" t="s">
        <v>1563</v>
      </c>
      <c r="D90" s="1067" t="s">
        <v>1564</v>
      </c>
      <c r="E90" s="1138">
        <v>0.2</v>
      </c>
      <c r="F90" s="1153">
        <v>30</v>
      </c>
    </row>
    <row r="91" spans="1:6" s="1104" customFormat="1" ht="36">
      <c r="A91" s="1153">
        <v>31</v>
      </c>
      <c r="B91" s="3476"/>
      <c r="C91" s="1067" t="s">
        <v>1565</v>
      </c>
      <c r="D91" s="1067" t="s">
        <v>1566</v>
      </c>
      <c r="E91" s="1138">
        <v>0.2</v>
      </c>
      <c r="F91" s="1153">
        <v>30</v>
      </c>
    </row>
    <row r="92" spans="1:6" s="1104" customFormat="1" ht="24">
      <c r="A92" s="1153">
        <v>32</v>
      </c>
      <c r="B92" s="3476" t="s">
        <v>1567</v>
      </c>
      <c r="C92" s="1153" t="s">
        <v>1568</v>
      </c>
      <c r="D92" s="1067" t="s">
        <v>1569</v>
      </c>
      <c r="E92" s="1138">
        <v>0.2</v>
      </c>
      <c r="F92" s="1153">
        <v>30</v>
      </c>
    </row>
    <row r="93" spans="1:6" s="1104" customFormat="1" ht="36">
      <c r="A93" s="1153">
        <v>33</v>
      </c>
      <c r="B93" s="3476"/>
      <c r="C93" s="1153" t="s">
        <v>1570</v>
      </c>
      <c r="D93" s="1067" t="s">
        <v>1571</v>
      </c>
      <c r="E93" s="1138">
        <v>0.2</v>
      </c>
      <c r="F93" s="1153">
        <v>30</v>
      </c>
    </row>
    <row r="94" spans="1:6" s="1104" customFormat="1" ht="48">
      <c r="A94" s="1153">
        <v>34</v>
      </c>
      <c r="B94" s="3476"/>
      <c r="C94" s="1153" t="s">
        <v>1572</v>
      </c>
      <c r="D94" s="1067" t="s">
        <v>1573</v>
      </c>
      <c r="E94" s="1138">
        <v>0.2</v>
      </c>
      <c r="F94" s="1153">
        <v>30</v>
      </c>
    </row>
    <row r="95" spans="1:6" s="1104" customFormat="1" ht="36">
      <c r="A95" s="1153">
        <v>35</v>
      </c>
      <c r="B95" s="3476"/>
      <c r="C95" s="1153" t="s">
        <v>1574</v>
      </c>
      <c r="D95" s="1067" t="s">
        <v>1575</v>
      </c>
      <c r="E95" s="1138">
        <v>0.2</v>
      </c>
      <c r="F95" s="1153">
        <v>30</v>
      </c>
    </row>
    <row r="96" spans="1:6" s="1104" customFormat="1" ht="48">
      <c r="A96" s="1153">
        <v>36</v>
      </c>
      <c r="B96" s="3476"/>
      <c r="C96" s="1067" t="s">
        <v>1576</v>
      </c>
      <c r="D96" s="1067" t="s">
        <v>1577</v>
      </c>
      <c r="E96" s="1138">
        <v>0.2</v>
      </c>
      <c r="F96" s="1153">
        <v>30</v>
      </c>
    </row>
    <row r="97" spans="1:6" s="1104" customFormat="1" ht="36">
      <c r="A97" s="1153">
        <v>37</v>
      </c>
      <c r="B97" s="3476"/>
      <c r="C97" s="1153" t="s">
        <v>1578</v>
      </c>
      <c r="D97" s="1067" t="s">
        <v>1579</v>
      </c>
      <c r="E97" s="1138">
        <v>0.2</v>
      </c>
      <c r="F97" s="1153">
        <v>30</v>
      </c>
    </row>
    <row r="98" spans="1:6" s="1104" customFormat="1" ht="36">
      <c r="A98" s="1153">
        <v>38</v>
      </c>
      <c r="B98" s="3476"/>
      <c r="C98" s="1153" t="s">
        <v>1580</v>
      </c>
      <c r="D98" s="1067" t="s">
        <v>1581</v>
      </c>
      <c r="E98" s="1138">
        <v>0.2</v>
      </c>
      <c r="F98" s="1153">
        <v>30</v>
      </c>
    </row>
    <row r="99" spans="1:6" s="1104" customFormat="1" ht="36">
      <c r="A99" s="1153">
        <v>39</v>
      </c>
      <c r="B99" s="3476" t="s">
        <v>1582</v>
      </c>
      <c r="C99" s="1153" t="s">
        <v>1583</v>
      </c>
      <c r="D99" s="1067" t="s">
        <v>1584</v>
      </c>
      <c r="E99" s="1138">
        <v>0.3</v>
      </c>
      <c r="F99" s="1153">
        <v>50</v>
      </c>
    </row>
    <row r="100" spans="1:6" s="1104" customFormat="1" ht="24">
      <c r="A100" s="1153">
        <v>40</v>
      </c>
      <c r="B100" s="3476"/>
      <c r="C100" s="1153" t="s">
        <v>1585</v>
      </c>
      <c r="D100" s="1067" t="s">
        <v>1586</v>
      </c>
      <c r="E100" s="1138">
        <v>0.2</v>
      </c>
      <c r="F100" s="1153">
        <v>30</v>
      </c>
    </row>
    <row r="101" spans="1:6" s="1104" customFormat="1" ht="36">
      <c r="A101" s="1153">
        <v>41</v>
      </c>
      <c r="B101" s="3476"/>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76" t="s">
        <v>1597</v>
      </c>
      <c r="C105" s="1153" t="s">
        <v>1598</v>
      </c>
      <c r="D105" s="1067" t="s">
        <v>1599</v>
      </c>
      <c r="E105" s="1138">
        <v>0.2</v>
      </c>
      <c r="F105" s="1153">
        <v>30</v>
      </c>
    </row>
    <row r="106" spans="1:6" s="1104" customFormat="1" ht="36">
      <c r="A106" s="1153">
        <v>46</v>
      </c>
      <c r="B106" s="3476"/>
      <c r="C106" s="1153" t="s">
        <v>1600</v>
      </c>
      <c r="D106" s="1067" t="s">
        <v>1601</v>
      </c>
      <c r="E106" s="1138">
        <v>0.2</v>
      </c>
      <c r="F106" s="1153">
        <v>30</v>
      </c>
    </row>
    <row r="107" spans="1:6" s="1104" customFormat="1" ht="36">
      <c r="A107" s="1153">
        <v>47</v>
      </c>
      <c r="B107" s="3476" t="s">
        <v>1602</v>
      </c>
      <c r="C107" s="1153" t="s">
        <v>1603</v>
      </c>
      <c r="D107" s="1067" t="s">
        <v>1604</v>
      </c>
      <c r="E107" s="1138">
        <v>0.3</v>
      </c>
      <c r="F107" s="1153">
        <v>50</v>
      </c>
    </row>
    <row r="108" spans="1:6" s="1104" customFormat="1" ht="36">
      <c r="A108" s="1153">
        <v>48</v>
      </c>
      <c r="B108" s="3476"/>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76" t="s">
        <v>1613</v>
      </c>
      <c r="C111" s="1153" t="s">
        <v>1614</v>
      </c>
      <c r="D111" s="1067" t="s">
        <v>1615</v>
      </c>
      <c r="E111" s="1138">
        <v>0.2</v>
      </c>
      <c r="F111" s="1153">
        <v>30</v>
      </c>
    </row>
    <row r="112" spans="1:6" s="1104" customFormat="1" ht="24">
      <c r="A112" s="1153">
        <v>52</v>
      </c>
      <c r="B112" s="3476"/>
      <c r="C112" s="1153" t="s">
        <v>1616</v>
      </c>
      <c r="D112" s="1067" t="s">
        <v>1617</v>
      </c>
      <c r="E112" s="1138">
        <v>0.2</v>
      </c>
      <c r="F112" s="1153">
        <v>30</v>
      </c>
    </row>
    <row r="113" spans="1:14" s="1104" customFormat="1" ht="24">
      <c r="A113" s="1153">
        <v>53</v>
      </c>
      <c r="B113" s="3476"/>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76" t="s">
        <v>1626</v>
      </c>
      <c r="C116" s="1153" t="s">
        <v>1627</v>
      </c>
      <c r="D116" s="1067" t="s">
        <v>1628</v>
      </c>
      <c r="E116" s="1138">
        <v>0.2</v>
      </c>
      <c r="F116" s="1153">
        <v>30</v>
      </c>
    </row>
    <row r="117" spans="1:14" ht="36">
      <c r="A117" s="1153">
        <v>57</v>
      </c>
      <c r="B117" s="3476"/>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75" t="s">
        <v>1635</v>
      </c>
      <c r="B121" s="3475"/>
      <c r="C121" s="3475"/>
      <c r="D121" s="3475"/>
      <c r="E121" s="3475"/>
      <c r="F121" s="3475"/>
      <c r="G121" s="3475"/>
      <c r="H121" s="3475"/>
      <c r="I121" s="3475"/>
      <c r="J121" s="347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8" t="s">
        <v>1041</v>
      </c>
      <c r="B1" s="3488"/>
      <c r="C1" s="3488"/>
      <c r="D1" s="3488"/>
      <c r="E1" s="3488"/>
      <c r="F1" s="3488"/>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9" t="s">
        <v>1054</v>
      </c>
      <c r="B2" s="3489"/>
      <c r="C2" s="3489"/>
      <c r="D2" s="3489"/>
      <c r="E2" s="3489"/>
      <c r="F2" s="3489"/>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90"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91"/>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2423</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2424</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2" t="s">
        <v>2081</v>
      </c>
      <c r="B1" s="3492"/>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2080</v>
      </c>
      <c r="D3" s="3135" t="s">
        <v>2950</v>
      </c>
      <c r="E3" s="3136" t="e">
        <f ca="1">SUM(E7:E14)</f>
        <v>#REF!</v>
      </c>
      <c r="F3" s="3134"/>
    </row>
    <row r="4" spans="1:6" ht="14.25">
      <c r="A4" s="3135" t="s">
        <v>2958</v>
      </c>
      <c r="B4" s="3136" t="e">
        <f ca="1">ROUND(B2*10000/E4,0)</f>
        <v>#DIV/0!</v>
      </c>
      <c r="C4" s="3135" t="s">
        <v>2080</v>
      </c>
      <c r="D4" s="3135" t="s">
        <v>2959</v>
      </c>
      <c r="E4" s="3136" t="e">
        <f ca="1">SUM(F7:F14)</f>
        <v>#REF!</v>
      </c>
      <c r="F4" s="3134"/>
    </row>
    <row r="5" spans="1:6" ht="14.25">
      <c r="A5" s="3137"/>
      <c r="B5" s="1879"/>
      <c r="C5" s="1879"/>
      <c r="D5" s="1879"/>
      <c r="E5" s="1879"/>
      <c r="F5" s="3134"/>
    </row>
    <row r="6" spans="1:6" ht="28.5">
      <c r="A6" s="3138" t="s">
        <v>2955</v>
      </c>
      <c r="B6" s="3135" t="s">
        <v>2952</v>
      </c>
      <c r="C6" s="3136"/>
      <c r="D6" s="1879"/>
      <c r="E6" s="3135" t="s">
        <v>2953</v>
      </c>
      <c r="F6" s="3135" t="s">
        <v>2957</v>
      </c>
    </row>
    <row r="7" spans="1:6" ht="14.25">
      <c r="A7" s="259" t="s">
        <v>2956</v>
      </c>
      <c r="B7" s="3139" t="e">
        <f ca="1">SUMIF(INDIRECT("'"&amp;A7&amp;"'"&amp;"!A:A"),"总价",INDIRECT("'"&amp;A7&amp;"'"&amp;"!B:B"))</f>
        <v>#DIV/0!</v>
      </c>
      <c r="C7" s="3135" t="s">
        <v>2949</v>
      </c>
      <c r="D7" s="1879"/>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2949</v>
      </c>
      <c r="D8" s="1879"/>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2949</v>
      </c>
      <c r="D9" s="1879"/>
      <c r="E9" s="3140" t="e">
        <f t="shared" ca="1" si="1"/>
        <v>#REF!</v>
      </c>
      <c r="F9" s="3140" t="e">
        <f t="shared" ca="1" si="2"/>
        <v>#REF!</v>
      </c>
    </row>
    <row r="10" spans="1:6" ht="14.25">
      <c r="A10" s="259"/>
      <c r="B10" s="3139" t="e">
        <f t="shared" ca="1" si="0"/>
        <v>#REF!</v>
      </c>
      <c r="C10" s="3135" t="s">
        <v>2949</v>
      </c>
      <c r="D10" s="1879"/>
      <c r="E10" s="3140" t="e">
        <f t="shared" ca="1" si="1"/>
        <v>#REF!</v>
      </c>
      <c r="F10" s="3140" t="e">
        <f t="shared" ca="1" si="2"/>
        <v>#REF!</v>
      </c>
    </row>
    <row r="11" spans="1:6" ht="14.25">
      <c r="A11" s="259"/>
      <c r="B11" s="3139" t="e">
        <f t="shared" ca="1" si="0"/>
        <v>#REF!</v>
      </c>
      <c r="C11" s="3135" t="s">
        <v>2949</v>
      </c>
      <c r="D11" s="1879"/>
      <c r="E11" s="3140" t="e">
        <f t="shared" ca="1" si="1"/>
        <v>#REF!</v>
      </c>
      <c r="F11" s="3140" t="e">
        <f t="shared" ca="1" si="2"/>
        <v>#REF!</v>
      </c>
    </row>
    <row r="12" spans="1:6" ht="14.25">
      <c r="A12" s="259"/>
      <c r="B12" s="3139" t="e">
        <f t="shared" ca="1" si="0"/>
        <v>#REF!</v>
      </c>
      <c r="C12" s="3135" t="s">
        <v>2949</v>
      </c>
      <c r="D12" s="1879"/>
      <c r="E12" s="3140" t="e">
        <f t="shared" ca="1" si="1"/>
        <v>#REF!</v>
      </c>
      <c r="F12" s="3140" t="e">
        <f t="shared" ca="1" si="2"/>
        <v>#REF!</v>
      </c>
    </row>
    <row r="13" spans="1:6" ht="14.25">
      <c r="A13" s="259"/>
      <c r="B13" s="3139" t="e">
        <f t="shared" ca="1" si="0"/>
        <v>#REF!</v>
      </c>
      <c r="C13" s="3135" t="s">
        <v>2949</v>
      </c>
      <c r="D13" s="1879"/>
      <c r="E13" s="3140" t="e">
        <f t="shared" ca="1" si="1"/>
        <v>#REF!</v>
      </c>
      <c r="F13" s="3140" t="e">
        <f t="shared" ca="1" si="2"/>
        <v>#REF!</v>
      </c>
    </row>
    <row r="14" spans="1:6" ht="14.25">
      <c r="A14" s="3133"/>
      <c r="B14" s="3139" t="e">
        <f t="shared" ca="1" si="0"/>
        <v>#REF!</v>
      </c>
      <c r="C14" s="3135" t="s">
        <v>2949</v>
      </c>
      <c r="D14" s="1879"/>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629</v>
      </c>
      <c r="B1" s="737"/>
      <c r="C1" s="772"/>
      <c r="D1" s="2048"/>
      <c r="E1" s="2409" t="s">
        <v>2375</v>
      </c>
      <c r="F1" s="2410">
        <f ca="1">J54</f>
        <v>0</v>
      </c>
      <c r="G1" s="773">
        <f>MATCH(C1,'数据-取费表'!A6:A16,0)+5</f>
        <v>11</v>
      </c>
      <c r="H1" s="1349"/>
      <c r="I1" s="2049"/>
      <c r="J1" s="2049"/>
      <c r="K1" s="2050"/>
      <c r="L1" s="2049"/>
      <c r="M1" s="2049"/>
      <c r="N1" s="2051"/>
      <c r="O1" s="2051"/>
      <c r="P1" s="2051"/>
      <c r="Q1" s="2051"/>
      <c r="R1" s="2051"/>
      <c r="S1" s="2051"/>
      <c r="T1" s="2051"/>
      <c r="U1" s="2051"/>
      <c r="V1" s="2051"/>
      <c r="W1" s="2051"/>
      <c r="X1" s="2051"/>
      <c r="Y1" s="2051"/>
    </row>
    <row r="2" spans="1:25" ht="18" customHeight="1">
      <c r="A2" s="1643" t="s">
        <v>630</v>
      </c>
      <c r="B2" s="774">
        <f ca="1">IF(ISERROR(C45+J31),0,C45+J31)</f>
        <v>0</v>
      </c>
      <c r="C2" s="1350"/>
      <c r="D2" s="2053"/>
      <c r="E2" s="2054"/>
      <c r="F2" s="2054"/>
      <c r="G2" s="1589"/>
      <c r="H2" s="1362"/>
      <c r="I2" s="2055"/>
      <c r="J2" s="2055"/>
      <c r="K2" s="2056"/>
      <c r="L2" s="2055"/>
      <c r="M2" s="2055"/>
    </row>
    <row r="3" spans="1:25" ht="18" customHeight="1">
      <c r="A3" s="1644" t="s">
        <v>1688</v>
      </c>
      <c r="B3" s="1390">
        <f ca="1">ROUND(B2*10000/'数据-汇总表'!E3,0)</f>
        <v>0</v>
      </c>
      <c r="C3" s="1350"/>
      <c r="D3" s="2053"/>
      <c r="E3" s="2054"/>
      <c r="F3" s="2054"/>
      <c r="G3" s="1589"/>
      <c r="H3" s="775" t="s">
        <v>696</v>
      </c>
      <c r="I3" s="2055"/>
      <c r="J3" s="2055"/>
      <c r="K3" s="2056"/>
      <c r="L3" s="2055"/>
      <c r="M3" s="2055"/>
    </row>
    <row r="4" spans="1:25" ht="18" customHeight="1">
      <c r="A4" s="1645" t="s">
        <v>697</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698</v>
      </c>
      <c r="D5" s="2053"/>
      <c r="E5" s="2054"/>
      <c r="F5" s="2054"/>
      <c r="G5" s="1589"/>
      <c r="H5" s="775"/>
      <c r="I5" s="2055"/>
      <c r="J5" s="2055"/>
      <c r="K5" s="2056"/>
      <c r="L5" s="2055"/>
      <c r="M5" s="2055"/>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2460</v>
      </c>
      <c r="C7" s="53">
        <f ca="1">C8+C12+C14</f>
        <v>0</v>
      </c>
      <c r="D7" s="2518" t="s">
        <v>2463</v>
      </c>
      <c r="E7" s="2512"/>
      <c r="F7" s="2513"/>
      <c r="G7" s="1591"/>
      <c r="H7" s="780">
        <v>1</v>
      </c>
      <c r="I7" s="781" t="s">
        <v>2460</v>
      </c>
      <c r="J7" s="53">
        <f ca="1">J8+J12+J14</f>
        <v>0</v>
      </c>
      <c r="K7" s="2518" t="s">
        <v>2463</v>
      </c>
      <c r="L7" s="2512"/>
      <c r="M7" s="2513"/>
    </row>
    <row r="8" spans="1:25" ht="18" customHeight="1">
      <c r="A8" s="1829" t="s">
        <v>1826</v>
      </c>
      <c r="B8" s="3494" t="s">
        <v>2465</v>
      </c>
      <c r="C8" s="1824">
        <f ca="1">ROUND(F8*F10*F9*(1-F11)/10000,0)</f>
        <v>0</v>
      </c>
      <c r="D8" s="1821" t="s">
        <v>2537</v>
      </c>
      <c r="E8" s="61" t="s">
        <v>638</v>
      </c>
      <c r="F8" s="784">
        <f ca="1">INDIRECT("'数据-取费表'!u"&amp;$G$1)</f>
        <v>0</v>
      </c>
      <c r="G8" s="1591"/>
      <c r="H8" s="2526" t="s">
        <v>1826</v>
      </c>
      <c r="I8" s="3494" t="s">
        <v>2465</v>
      </c>
      <c r="J8" s="782">
        <f ca="1">ROUND(M8*M10*M9*(1-M11)/10000,0)</f>
        <v>0</v>
      </c>
      <c r="K8" s="340" t="s">
        <v>2537</v>
      </c>
      <c r="L8" s="783" t="s">
        <v>1740</v>
      </c>
      <c r="M8" s="784">
        <f ca="1">INDIRECT("'数据-取费表'!z"&amp;$G$1)</f>
        <v>0</v>
      </c>
    </row>
    <row r="9" spans="1:25" ht="18" customHeight="1">
      <c r="A9" s="2522"/>
      <c r="B9" s="3495"/>
      <c r="C9" s="1825"/>
      <c r="D9" s="1822"/>
      <c r="E9" s="61" t="s">
        <v>639</v>
      </c>
      <c r="F9" s="784">
        <f ca="1">IF(INDIRECT("'数据-取费表'!ah"&amp;$G$1)="",INDIRECT("'数据-取费表'!k"&amp;$G$1),INDIRECT("'数据-取费表'!ah"&amp;$G$1))</f>
        <v>0</v>
      </c>
      <c r="G9" s="1591"/>
      <c r="H9" s="2511"/>
      <c r="I9" s="3495"/>
      <c r="J9" s="787"/>
      <c r="K9" s="788"/>
      <c r="L9" s="783" t="s">
        <v>1741</v>
      </c>
      <c r="M9" s="784">
        <f ca="1">F9</f>
        <v>0</v>
      </c>
    </row>
    <row r="10" spans="1:25" ht="18" customHeight="1">
      <c r="A10" s="2515"/>
      <c r="B10" s="3496"/>
      <c r="C10" s="1825"/>
      <c r="D10" s="1822"/>
      <c r="E10" s="61" t="s">
        <v>640</v>
      </c>
      <c r="F10" s="784">
        <f ca="1">INDIRECT("'数据-取费表'!ai"&amp;$G$1)</f>
        <v>0</v>
      </c>
      <c r="G10" s="1591"/>
      <c r="H10" s="2511"/>
      <c r="I10" s="3496"/>
      <c r="J10" s="787"/>
      <c r="K10" s="788"/>
      <c r="L10" s="783" t="s">
        <v>1742</v>
      </c>
      <c r="M10" s="784">
        <f ca="1">INDIRECT("'数据-取费表'!ai"&amp;$G$1)</f>
        <v>0</v>
      </c>
    </row>
    <row r="11" spans="1:25" ht="18" customHeight="1">
      <c r="A11" s="785"/>
      <c r="B11" s="3497"/>
      <c r="C11" s="1825"/>
      <c r="D11" s="1822"/>
      <c r="E11" s="61" t="s">
        <v>641</v>
      </c>
      <c r="F11" s="793">
        <f ca="1">INDIRECT("'数据-取费表'!w"&amp;$G$1)</f>
        <v>0</v>
      </c>
      <c r="G11" s="1591"/>
      <c r="H11" s="2527"/>
      <c r="I11" s="3496"/>
      <c r="J11" s="787"/>
      <c r="K11" s="788"/>
      <c r="L11" s="794" t="s">
        <v>1743</v>
      </c>
      <c r="M11" s="795">
        <f ca="1">INDIRECT("'数据-取费表'!ab"&amp;$G$1)</f>
        <v>0</v>
      </c>
    </row>
    <row r="12" spans="1:25" ht="18" customHeight="1">
      <c r="A12" s="1829" t="s">
        <v>1827</v>
      </c>
      <c r="B12" s="2516" t="s">
        <v>2461</v>
      </c>
      <c r="C12" s="798">
        <f ca="1">ROUND(IF(F12="押一",F8*F10*F9/12*F13,IF(F12="押二",F8*F10*F9/12*2*F13,IF(F12="押三",F8*F10*F9/12*3*F13,C13*F13)))/10000,0)</f>
        <v>0</v>
      </c>
      <c r="D12" s="2523" t="s">
        <v>2468</v>
      </c>
      <c r="E12" s="2520" t="s">
        <v>2466</v>
      </c>
      <c r="F12" s="2643"/>
      <c r="G12" s="1591"/>
      <c r="H12" s="2583" t="s">
        <v>1827</v>
      </c>
      <c r="I12" s="2588" t="s">
        <v>2461</v>
      </c>
      <c r="J12" s="782">
        <f ca="1">ROUND(IF(M12="押一",M8*M10*M9/12*M13,IF(M12="押二",M8*M10*M9/12*2*M13,IF(M12="押三",M8*M10*M9/12*3*M13,J13*M13)))/10000,0)</f>
        <v>0</v>
      </c>
      <c r="K12" s="2523" t="s">
        <v>2468</v>
      </c>
      <c r="L12" s="2520" t="s">
        <v>2466</v>
      </c>
      <c r="M12" s="2643"/>
    </row>
    <row r="13" spans="1:25" ht="18" customHeight="1">
      <c r="A13" s="789"/>
      <c r="B13" s="2517" t="s">
        <v>2576</v>
      </c>
      <c r="C13" s="2521"/>
      <c r="D13" s="788"/>
      <c r="E13" s="2520" t="s">
        <v>2458</v>
      </c>
      <c r="F13" s="795">
        <f ca="1">'数据-取费表'!B39</f>
        <v>1.4999999999999999E-2</v>
      </c>
      <c r="G13" s="1591"/>
      <c r="H13" s="2584"/>
      <c r="I13" s="2517" t="s">
        <v>2576</v>
      </c>
      <c r="J13" s="2521"/>
      <c r="K13" s="2585"/>
      <c r="L13" s="2520" t="s">
        <v>2458</v>
      </c>
      <c r="M13" s="2514">
        <f ca="1">'数据-取费表'!B39</f>
        <v>1.4999999999999999E-2</v>
      </c>
    </row>
    <row r="14" spans="1:25" ht="18" customHeight="1" thickBot="1">
      <c r="A14" s="2559" t="s">
        <v>2470</v>
      </c>
      <c r="B14" s="2560" t="s">
        <v>2462</v>
      </c>
      <c r="C14" s="2561"/>
      <c r="D14" s="2562"/>
      <c r="E14" s="2563"/>
      <c r="F14" s="2564"/>
      <c r="G14" s="1591"/>
      <c r="H14" s="2573" t="s">
        <v>2470</v>
      </c>
      <c r="I14" s="2586" t="s">
        <v>2462</v>
      </c>
      <c r="J14" s="2587"/>
      <c r="K14" s="2562"/>
      <c r="L14" s="2563"/>
      <c r="M14" s="2576"/>
    </row>
    <row r="15" spans="1:25" ht="18" customHeight="1" thickTop="1">
      <c r="A15" s="1828" t="s">
        <v>1876</v>
      </c>
      <c r="B15" s="1826" t="s">
        <v>642</v>
      </c>
      <c r="C15" s="791">
        <f ca="1">ROUND(C31*F15,0)</f>
        <v>0</v>
      </c>
      <c r="D15" s="1833" t="s">
        <v>643</v>
      </c>
      <c r="E15" s="794" t="s">
        <v>644</v>
      </c>
      <c r="F15" s="799">
        <f ca="1">INDIRECT("'数据-取费表'!y"&amp;$G$1)</f>
        <v>0</v>
      </c>
      <c r="G15" s="1591"/>
      <c r="H15" s="1828" t="s">
        <v>1828</v>
      </c>
      <c r="I15" s="1826" t="s">
        <v>645</v>
      </c>
      <c r="J15" s="1818">
        <f ca="1">ROUND(J16*J17,0)</f>
        <v>0</v>
      </c>
      <c r="K15" s="1820" t="s">
        <v>643</v>
      </c>
      <c r="L15" s="800"/>
      <c r="M15" s="801"/>
    </row>
    <row r="16" spans="1:25" ht="18" customHeight="1">
      <c r="A16" s="802" t="s">
        <v>1877</v>
      </c>
      <c r="B16" s="783" t="s">
        <v>646</v>
      </c>
      <c r="C16" s="803">
        <f ca="1">INDIRECT("'数据-取费表'!m"&amp;$G$1)+INDIRECT("'数据-取费表'!t"&amp;$G$1)</f>
        <v>0</v>
      </c>
      <c r="D16" s="1977" t="s">
        <v>647</v>
      </c>
      <c r="E16" s="1978"/>
      <c r="F16" s="804"/>
      <c r="G16" s="1591"/>
      <c r="H16" s="802" t="s">
        <v>2071</v>
      </c>
      <c r="I16" s="2229" t="s">
        <v>2830</v>
      </c>
      <c r="J16" s="53">
        <f ca="1">C31</f>
        <v>0</v>
      </c>
      <c r="K16" s="26"/>
      <c r="L16" s="800"/>
      <c r="M16" s="801"/>
    </row>
    <row r="17" spans="1:25" s="2062" customFormat="1" ht="18" customHeight="1">
      <c r="A17" s="802" t="s">
        <v>1851</v>
      </c>
      <c r="B17" s="783" t="s">
        <v>648</v>
      </c>
      <c r="C17" s="53">
        <f ca="1">ROUND(C16*F17,0)</f>
        <v>0</v>
      </c>
      <c r="D17" s="805" t="s">
        <v>649</v>
      </c>
      <c r="E17" s="805" t="s">
        <v>650</v>
      </c>
      <c r="F17" s="806">
        <f>'数据-取费表'!B33</f>
        <v>0.04</v>
      </c>
      <c r="G17" s="1592"/>
      <c r="H17" s="802" t="s">
        <v>2072</v>
      </c>
      <c r="I17" s="783" t="s">
        <v>644</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1"/>
      <c r="H18" s="796" t="s">
        <v>1829</v>
      </c>
      <c r="I18" s="797" t="s">
        <v>652</v>
      </c>
      <c r="J18" s="798">
        <f ca="1">ROUND(J19+J24+J25+J26,0)</f>
        <v>0</v>
      </c>
      <c r="K18" s="26" t="s">
        <v>653</v>
      </c>
      <c r="L18" s="1980"/>
      <c r="M18" s="56"/>
    </row>
    <row r="19" spans="1:25" s="2062" customFormat="1" ht="18" customHeight="1">
      <c r="A19" s="802" t="s">
        <v>1853</v>
      </c>
      <c r="B19" s="783" t="s">
        <v>654</v>
      </c>
      <c r="C19" s="53">
        <f ca="1">ROUND(F19*(INDIRECT("'数据-取费表'!k"&amp;$G$1)+INDIRECT("'数据-取费表'!S"&amp;$G$1))/10000,0)</f>
        <v>0</v>
      </c>
      <c r="D19" s="783" t="s">
        <v>655</v>
      </c>
      <c r="E19" s="783" t="s">
        <v>656</v>
      </c>
      <c r="F19" s="56">
        <f>'数据-取费表'!B35</f>
        <v>200</v>
      </c>
      <c r="G19" s="1592"/>
      <c r="H19" s="802" t="s">
        <v>2071</v>
      </c>
      <c r="I19" s="783" t="s">
        <v>657</v>
      </c>
      <c r="J19" s="53">
        <f ca="1">ROUND(IF(项目基本情况!B11="自然人",J7*M19,J20+J21+J22),0)</f>
        <v>0</v>
      </c>
      <c r="K19" s="1977" t="s">
        <v>658</v>
      </c>
      <c r="L19" s="1975" t="s">
        <v>659</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1854</v>
      </c>
      <c r="B20" s="783" t="s">
        <v>660</v>
      </c>
      <c r="C20" s="53">
        <f ca="1">ROUND(C16*F20,0)</f>
        <v>0</v>
      </c>
      <c r="D20" s="783" t="s">
        <v>649</v>
      </c>
      <c r="E20" s="783" t="s">
        <v>650</v>
      </c>
      <c r="F20" s="808">
        <f>'数据-取费表'!B36</f>
        <v>1.4999999999999999E-2</v>
      </c>
      <c r="G20" s="1592"/>
      <c r="H20" s="802" t="s">
        <v>1833</v>
      </c>
      <c r="I20" s="783" t="s">
        <v>661</v>
      </c>
      <c r="J20" s="53">
        <f ca="1">ROUND(J7*M20/1.05,1)</f>
        <v>0</v>
      </c>
      <c r="K20" s="1975" t="s">
        <v>662</v>
      </c>
      <c r="L20" s="783" t="s">
        <v>650</v>
      </c>
      <c r="M20" s="808">
        <f>'数据-取费表'!B41</f>
        <v>5.6000000000000001E-2</v>
      </c>
      <c r="N20" s="2061"/>
      <c r="O20" s="2061"/>
      <c r="P20" s="2061"/>
      <c r="Q20" s="2061"/>
      <c r="R20" s="2061"/>
      <c r="S20" s="2061"/>
      <c r="T20" s="2061"/>
      <c r="U20" s="2061"/>
      <c r="V20" s="2061"/>
      <c r="W20" s="2061"/>
      <c r="X20" s="2061"/>
      <c r="Y20" s="2061"/>
    </row>
    <row r="21" spans="1:25" ht="18" customHeight="1">
      <c r="A21" s="802" t="s">
        <v>1878</v>
      </c>
      <c r="B21" s="783" t="s">
        <v>663</v>
      </c>
      <c r="C21" s="53">
        <f ca="1">SUM(C16:C20)</f>
        <v>0</v>
      </c>
      <c r="D21" s="260" t="s">
        <v>664</v>
      </c>
      <c r="E21" s="1980"/>
      <c r="F21" s="56"/>
      <c r="G21" s="1591"/>
      <c r="H21" s="1829" t="s">
        <v>1851</v>
      </c>
      <c r="I21" s="783" t="s">
        <v>665</v>
      </c>
      <c r="J21" s="53">
        <f ca="1">IF(K21="按租金收入计税",ROUND(J7*M21,1),ROUND(C31*F35*0.7,1))</f>
        <v>0</v>
      </c>
      <c r="K21" s="810" t="s">
        <v>666</v>
      </c>
      <c r="L21" s="783" t="s">
        <v>650</v>
      </c>
      <c r="M21" s="808">
        <f>IF(K21="按租金收入计税",'数据-取费表'!B51,'数据-取费表'!B50)</f>
        <v>1.2E-2</v>
      </c>
    </row>
    <row r="22" spans="1:25" s="2062" customFormat="1" ht="18" customHeight="1">
      <c r="A22" s="802" t="s">
        <v>1879</v>
      </c>
      <c r="B22" s="783" t="s">
        <v>667</v>
      </c>
      <c r="C22" s="53">
        <f ca="1">ROUND(C21*F22,0)</f>
        <v>0</v>
      </c>
      <c r="D22" s="811" t="s">
        <v>668</v>
      </c>
      <c r="E22" s="783" t="s">
        <v>650</v>
      </c>
      <c r="F22" s="808">
        <f>'数据-取费表'!B37</f>
        <v>0.01</v>
      </c>
      <c r="G22" s="1592"/>
      <c r="H22" s="1831" t="s">
        <v>1852</v>
      </c>
      <c r="I22" s="1821" t="s">
        <v>669</v>
      </c>
      <c r="J22" s="54">
        <f ca="1">ROUND(M22*M23/10000,0)</f>
        <v>0</v>
      </c>
      <c r="K22" s="813" t="s">
        <v>670</v>
      </c>
      <c r="L22" s="783" t="s">
        <v>671</v>
      </c>
      <c r="M22" s="639">
        <f>'数据-取费表'!B52</f>
        <v>10</v>
      </c>
      <c r="N22" s="2061"/>
      <c r="O22" s="2061"/>
      <c r="P22" s="2061"/>
      <c r="Q22" s="2061"/>
      <c r="R22" s="2061"/>
      <c r="S22" s="2061"/>
      <c r="T22" s="2061"/>
      <c r="U22" s="2061"/>
      <c r="V22" s="2061"/>
      <c r="W22" s="2061"/>
      <c r="X22" s="2061"/>
      <c r="Y22" s="2061"/>
    </row>
    <row r="23" spans="1:25" s="2062" customFormat="1" ht="18" customHeight="1">
      <c r="A23" s="802" t="s">
        <v>1880</v>
      </c>
      <c r="B23" s="783" t="s">
        <v>672</v>
      </c>
      <c r="C23" s="53" t="s">
        <v>1</v>
      </c>
      <c r="D23" s="811" t="s">
        <v>673</v>
      </c>
      <c r="E23" s="783" t="s">
        <v>674</v>
      </c>
      <c r="F23" s="808">
        <f>'数据-取费表'!B38</f>
        <v>0.02</v>
      </c>
      <c r="G23" s="1592"/>
      <c r="H23" s="1832"/>
      <c r="I23" s="1823"/>
      <c r="J23" s="69"/>
      <c r="K23" s="815"/>
      <c r="L23" s="783" t="s">
        <v>675</v>
      </c>
      <c r="M23" s="784">
        <f ca="1">INDIRECT("'数据-取费表'!r"&amp;$G$1)</f>
        <v>0</v>
      </c>
      <c r="N23" s="2061"/>
      <c r="O23" s="2061"/>
      <c r="P23" s="2061"/>
      <c r="Q23" s="2061"/>
      <c r="R23" s="2061"/>
      <c r="S23" s="2061"/>
      <c r="T23" s="2061"/>
      <c r="U23" s="2061"/>
      <c r="V23" s="2061"/>
      <c r="W23" s="2061"/>
      <c r="X23" s="2061"/>
      <c r="Y23" s="2061"/>
    </row>
    <row r="24" spans="1:25" ht="18" customHeight="1">
      <c r="A24" s="802" t="s">
        <v>1881</v>
      </c>
      <c r="B24" s="783" t="s">
        <v>676</v>
      </c>
      <c r="C24" s="53"/>
      <c r="D24" s="2594" t="str">
        <f>IF(F25&lt;=1,"单利计息。","复利计息。")&amp;"建造成本、管理费用、销售费用产生的利息。"</f>
        <v>复利计息。建造成本、管理费用、销售费用产生的利息。</v>
      </c>
      <c r="E24" s="1980"/>
      <c r="F24" s="56"/>
      <c r="G24" s="1591"/>
      <c r="H24" s="1830" t="s">
        <v>2072</v>
      </c>
      <c r="I24" s="783" t="s">
        <v>677</v>
      </c>
      <c r="J24" s="53">
        <f ca="1">ROUND(J16*M24,0)</f>
        <v>0</v>
      </c>
      <c r="K24" s="1975" t="s">
        <v>678</v>
      </c>
      <c r="L24" s="783" t="s">
        <v>650</v>
      </c>
      <c r="M24" s="816">
        <f ca="1">INDIRECT("'数据-取费表'!Ak"&amp;$G$1)</f>
        <v>0</v>
      </c>
    </row>
    <row r="25" spans="1:25" s="2062" customFormat="1" ht="18" customHeight="1">
      <c r="A25" s="802" t="s">
        <v>1877</v>
      </c>
      <c r="B25" s="783" t="s">
        <v>2438</v>
      </c>
      <c r="C25" s="53">
        <f ca="1">ROUND(IF('数据-取费表'!B22&lt;=1,(C21+C22)*F26*F25/2,(C21+C22)*(POWER((1+F26),F25/2)-1)),0)</f>
        <v>0</v>
      </c>
      <c r="D25" s="2593" t="str">
        <f>IF(F25&lt;=1,"(建造成本+管理费用)×利率×(建设周期÷2)","(建造成本+管理费用)×((1+利率)^(建设周期÷2)-1)")</f>
        <v>(建造成本+管理费用)×((1+利率)^(建设周期÷2)-1)</v>
      </c>
      <c r="E25" s="783" t="s">
        <v>679</v>
      </c>
      <c r="F25" s="639">
        <f>'数据-取费表'!B20</f>
        <v>2</v>
      </c>
      <c r="G25" s="1592"/>
      <c r="H25" s="802" t="s">
        <v>1880</v>
      </c>
      <c r="I25" s="783" t="s">
        <v>680</v>
      </c>
      <c r="J25" s="53">
        <f ca="1">ROUND(J15*M25,0)</f>
        <v>0</v>
      </c>
      <c r="K25" s="1975" t="s">
        <v>681</v>
      </c>
      <c r="L25" s="783" t="s">
        <v>650</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1851</v>
      </c>
      <c r="B26" s="783" t="s">
        <v>682</v>
      </c>
      <c r="C26" s="53">
        <f ca="1">ROUND(IF('数据-取费表'!B22&lt;=1,F23*F26*F25/2,F23*(POWER((1+F26),F25/2)-1)),4)</f>
        <v>1E-3</v>
      </c>
      <c r="D26" s="2593" t="str">
        <f>IF(F25&lt;=1,"销售费用×利率×(建设周期÷2)","销售费用×((1+利率)^(建设周期÷2)-1)")</f>
        <v>销售费用×((1+利率)^(建设周期÷2)-1)</v>
      </c>
      <c r="E26" s="783" t="s">
        <v>683</v>
      </c>
      <c r="F26" s="818">
        <f ca="1">'数据-取费表'!B40</f>
        <v>4.7500000000000001E-2</v>
      </c>
      <c r="G26" s="1592"/>
      <c r="H26" s="802" t="s">
        <v>1881</v>
      </c>
      <c r="I26" s="783" t="s">
        <v>667</v>
      </c>
      <c r="J26" s="53">
        <f ca="1">ROUND(J7*M26,0)</f>
        <v>0</v>
      </c>
      <c r="K26" s="1975" t="s">
        <v>684</v>
      </c>
      <c r="L26" s="783" t="s">
        <v>650</v>
      </c>
      <c r="M26" s="793">
        <f ca="1">INDIRECT("'数据-取费表'!Am"&amp;$G$1)</f>
        <v>0</v>
      </c>
      <c r="N26" s="2061"/>
      <c r="O26" s="2061"/>
      <c r="P26" s="2061"/>
      <c r="Q26" s="2061"/>
      <c r="R26" s="2061"/>
      <c r="S26" s="2061"/>
      <c r="T26" s="2061"/>
      <c r="U26" s="2061"/>
      <c r="V26" s="2061"/>
      <c r="W26" s="2061"/>
      <c r="X26" s="2061"/>
      <c r="Y26" s="2061"/>
    </row>
    <row r="27" spans="1:25" ht="18" customHeight="1">
      <c r="A27" s="802" t="s">
        <v>1883</v>
      </c>
      <c r="B27" s="783" t="s">
        <v>685</v>
      </c>
      <c r="C27" s="53"/>
      <c r="D27" s="260" t="s">
        <v>686</v>
      </c>
      <c r="E27" s="1980"/>
      <c r="F27" s="56"/>
      <c r="G27" s="1591"/>
      <c r="H27" s="796" t="s">
        <v>1830</v>
      </c>
      <c r="I27" s="3035" t="s">
        <v>2827</v>
      </c>
      <c r="J27" s="798">
        <f ca="1">J7-J18</f>
        <v>0</v>
      </c>
      <c r="K27" s="1977" t="s">
        <v>701</v>
      </c>
      <c r="L27" s="1979"/>
      <c r="M27" s="819"/>
    </row>
    <row r="28" spans="1:25" ht="18" customHeight="1">
      <c r="A28" s="802" t="s">
        <v>1877</v>
      </c>
      <c r="B28" s="783" t="s">
        <v>2439</v>
      </c>
      <c r="C28" s="53">
        <f ca="1">ROUND((C21+C22)*F28,0)</f>
        <v>0</v>
      </c>
      <c r="D28" s="811" t="s">
        <v>702</v>
      </c>
      <c r="E28" s="794" t="s">
        <v>703</v>
      </c>
      <c r="F28" s="793">
        <f ca="1">INDIRECT("'数据-取费表'!q"&amp;$G$1)</f>
        <v>0</v>
      </c>
      <c r="G28" s="1591"/>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2" customFormat="1" ht="18" customHeight="1">
      <c r="A30" s="802" t="s">
        <v>1884</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2828</v>
      </c>
      <c r="C31" s="2566">
        <f ca="1">ROUND((C21+C22+C25+C28)/(1-F23-C26-C29-C30),0)</f>
        <v>0</v>
      </c>
      <c r="D31" s="2567"/>
      <c r="E31" s="2568"/>
      <c r="F31" s="2569"/>
      <c r="G31" s="1592"/>
      <c r="H31" s="822" t="s">
        <v>1874</v>
      </c>
      <c r="I31" s="3036" t="s">
        <v>2829</v>
      </c>
      <c r="J31" s="824">
        <f ca="1">ROUND(J28/(1+F45)^F46,0)</f>
        <v>0</v>
      </c>
      <c r="K31" s="825" t="s">
        <v>689</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690</v>
      </c>
      <c r="C32" s="791">
        <f ca="1">ROUND(C33+C38+C39+C40,0)</f>
        <v>0</v>
      </c>
      <c r="D32" s="1820" t="s">
        <v>653</v>
      </c>
      <c r="E32" s="2509"/>
      <c r="F32" s="2513"/>
      <c r="G32" s="2060"/>
      <c r="H32" s="2063"/>
      <c r="I32" s="2064"/>
      <c r="J32" s="2065"/>
      <c r="K32" s="2066"/>
      <c r="L32" s="2067"/>
      <c r="M32" s="2068"/>
    </row>
    <row r="33" spans="1:18" ht="18" customHeight="1">
      <c r="A33" s="802" t="s">
        <v>1878</v>
      </c>
      <c r="B33" s="783" t="s">
        <v>657</v>
      </c>
      <c r="C33" s="53">
        <f ca="1">ROUND(IF(项目基本情况!B11="自然人",C7*F33,C34+C35+C36),1)</f>
        <v>0</v>
      </c>
      <c r="D33" s="1977" t="s">
        <v>658</v>
      </c>
      <c r="E33" s="1975" t="s">
        <v>691</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1877</v>
      </c>
      <c r="B34" s="783" t="s">
        <v>661</v>
      </c>
      <c r="C34" s="53">
        <f ca="1">ROUND(C7*F34/1.05,1)</f>
        <v>0</v>
      </c>
      <c r="D34" s="1975" t="s">
        <v>662</v>
      </c>
      <c r="E34" s="783" t="s">
        <v>650</v>
      </c>
      <c r="F34" s="808">
        <f>'数据-取费表'!B41</f>
        <v>5.6000000000000001E-2</v>
      </c>
      <c r="G34" s="2060"/>
      <c r="H34" s="2069"/>
      <c r="I34" s="2070"/>
      <c r="J34" s="2071"/>
      <c r="K34" s="2072"/>
      <c r="L34" s="2073"/>
      <c r="M34" s="2074"/>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0"/>
      <c r="H35" s="2075"/>
      <c r="I35" s="2075"/>
      <c r="J35" s="2075"/>
      <c r="K35" s="2076"/>
      <c r="L35" s="2075"/>
      <c r="M35" s="2075"/>
    </row>
    <row r="36" spans="1:18" ht="18" customHeight="1">
      <c r="A36" s="812" t="s">
        <v>1882</v>
      </c>
      <c r="B36" s="340" t="s">
        <v>669</v>
      </c>
      <c r="C36" s="54">
        <f ca="1">ROUND(F36*F37/10000,1)</f>
        <v>0</v>
      </c>
      <c r="D36" s="813" t="s">
        <v>670</v>
      </c>
      <c r="E36" s="783" t="s">
        <v>671</v>
      </c>
      <c r="F36" s="639">
        <f>'数据-取费表'!B52</f>
        <v>10</v>
      </c>
      <c r="G36" s="2060"/>
      <c r="H36" s="2063"/>
      <c r="I36" s="3493"/>
      <c r="J36" s="2077"/>
      <c r="K36" s="2078"/>
      <c r="L36" s="2077"/>
      <c r="M36" s="2077"/>
    </row>
    <row r="37" spans="1:18" ht="18" customHeight="1">
      <c r="A37" s="814"/>
      <c r="B37" s="792"/>
      <c r="C37" s="69"/>
      <c r="D37" s="815"/>
      <c r="E37" s="783" t="s">
        <v>675</v>
      </c>
      <c r="F37" s="784">
        <f ca="1">INDIRECT("'数据-取费表'!r"&amp;$G$1)</f>
        <v>0</v>
      </c>
      <c r="G37" s="2060"/>
      <c r="H37" s="2063"/>
      <c r="I37" s="3493"/>
      <c r="J37" s="2075"/>
      <c r="K37" s="2076"/>
      <c r="L37" s="2075"/>
      <c r="M37" s="2075"/>
    </row>
    <row r="38" spans="1:18" ht="18" customHeight="1">
      <c r="A38" s="802" t="s">
        <v>1879</v>
      </c>
      <c r="B38" s="783" t="s">
        <v>677</v>
      </c>
      <c r="C38" s="53">
        <f ca="1">ROUND(C31*F38,1)</f>
        <v>0</v>
      </c>
      <c r="D38" s="1975" t="s">
        <v>692</v>
      </c>
      <c r="E38" s="783" t="s">
        <v>650</v>
      </c>
      <c r="F38" s="816">
        <f ca="1">INDIRECT("'数据-取费表'!Ak"&amp;$G$1)</f>
        <v>0</v>
      </c>
      <c r="G38" s="2060"/>
      <c r="H38" s="2075"/>
      <c r="I38" s="2079"/>
      <c r="J38" s="1986"/>
      <c r="K38" s="2080"/>
      <c r="L38" s="2075"/>
      <c r="M38" s="2075"/>
    </row>
    <row r="39" spans="1:18" ht="18" customHeight="1">
      <c r="A39" s="802" t="s">
        <v>1880</v>
      </c>
      <c r="B39" s="783" t="s">
        <v>680</v>
      </c>
      <c r="C39" s="53">
        <f ca="1">ROUND(C15*F39,1)</f>
        <v>0</v>
      </c>
      <c r="D39" s="1975" t="s">
        <v>681</v>
      </c>
      <c r="E39" s="783" t="s">
        <v>650</v>
      </c>
      <c r="F39" s="817">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8">
        <v>4</v>
      </c>
      <c r="B41" s="1826" t="s">
        <v>693</v>
      </c>
      <c r="C41" s="1352"/>
      <c r="D41" s="1353"/>
      <c r="E41" s="1353"/>
      <c r="F41" s="1354"/>
      <c r="G41" s="2060"/>
      <c r="H41" s="2060"/>
      <c r="I41" s="2060"/>
      <c r="J41" s="2060"/>
      <c r="K41" s="2081"/>
      <c r="L41" s="2060"/>
      <c r="M41" s="2060"/>
    </row>
    <row r="42" spans="1:18" ht="18" customHeight="1">
      <c r="A42" s="802" t="s">
        <v>1878</v>
      </c>
      <c r="B42" s="834" t="s">
        <v>694</v>
      </c>
      <c r="C42" s="828">
        <f ca="1">C7-C32</f>
        <v>0</v>
      </c>
      <c r="D42" s="1977" t="s">
        <v>695</v>
      </c>
      <c r="E42" s="1979"/>
      <c r="F42" s="819"/>
      <c r="G42" s="2060"/>
      <c r="H42" s="2060"/>
      <c r="I42" s="2060"/>
      <c r="J42" s="2060"/>
      <c r="K42" s="2081"/>
      <c r="L42" s="2060"/>
      <c r="M42" s="2060"/>
    </row>
    <row r="43" spans="1:18" ht="18" customHeight="1">
      <c r="A43" s="802" t="s">
        <v>1879</v>
      </c>
      <c r="B43" s="834" t="s">
        <v>712</v>
      </c>
      <c r="C43" s="835">
        <f ca="1">ROUND(C15*F43,0)</f>
        <v>0</v>
      </c>
      <c r="D43" s="1355" t="s">
        <v>713</v>
      </c>
      <c r="E43" s="3153" t="s">
        <v>2967</v>
      </c>
      <c r="F43" s="3154">
        <f ca="1">INDIRECT("'数据-取费表'!j"&amp;$G$1)</f>
        <v>0</v>
      </c>
      <c r="G43" s="2060"/>
      <c r="H43" s="2060"/>
      <c r="I43" s="2060"/>
      <c r="J43" s="2060"/>
      <c r="K43" s="2081"/>
      <c r="L43" s="2060"/>
      <c r="M43" s="2060"/>
    </row>
    <row r="44" spans="1:18" ht="18" customHeight="1">
      <c r="A44" s="802" t="s">
        <v>1880</v>
      </c>
      <c r="B44" s="834" t="s">
        <v>714</v>
      </c>
      <c r="C44" s="1356">
        <f ca="1">C42-C43</f>
        <v>0</v>
      </c>
      <c r="D44" s="462" t="s">
        <v>715</v>
      </c>
      <c r="E44" s="463"/>
      <c r="F44" s="464"/>
      <c r="G44" s="2060"/>
      <c r="H44" s="2060"/>
      <c r="I44" s="2060"/>
      <c r="J44" s="2060"/>
      <c r="K44" s="2081"/>
      <c r="L44" s="2060"/>
      <c r="M44" s="2060"/>
    </row>
    <row r="45" spans="1:18" ht="18" customHeight="1">
      <c r="A45" s="802" t="s">
        <v>1881</v>
      </c>
      <c r="B45" s="1355" t="s">
        <v>716</v>
      </c>
      <c r="C45" s="3062">
        <f ca="1">ROUND(-PV(F45,F46,C44,0),0)</f>
        <v>0</v>
      </c>
      <c r="D45" s="1357" t="s">
        <v>717</v>
      </c>
      <c r="E45" s="805" t="s">
        <v>718</v>
      </c>
      <c r="F45" s="829">
        <f ca="1">INDIRECT("'数据-取费表'!h"&amp;$G$1)</f>
        <v>0</v>
      </c>
      <c r="G45" s="2060"/>
      <c r="H45" s="2060"/>
      <c r="I45" s="2060"/>
      <c r="J45" s="2060"/>
      <c r="K45" s="2081"/>
      <c r="L45" s="2060"/>
      <c r="M45" s="2060"/>
    </row>
    <row r="46" spans="1:18" ht="18" customHeight="1" thickBot="1">
      <c r="A46" s="830"/>
      <c r="B46" s="1358"/>
      <c r="C46" s="1359"/>
      <c r="D46" s="1360"/>
      <c r="E46" s="3155" t="s">
        <v>2970</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91"/>
      <c r="Q47" s="1603"/>
      <c r="R47" s="1591"/>
    </row>
    <row r="48" spans="1:18" s="2057" customFormat="1" ht="18" customHeight="1" thickBot="1">
      <c r="A48" s="2082"/>
      <c r="C48" s="2085"/>
      <c r="D48" s="2086"/>
      <c r="E48" s="2086"/>
      <c r="F48" s="2087"/>
      <c r="G48" s="2088"/>
      <c r="I48" s="2380" t="s">
        <v>2344</v>
      </c>
      <c r="J48" s="2385"/>
      <c r="K48" s="2386" t="s">
        <v>2350</v>
      </c>
      <c r="L48" s="2387">
        <f ca="1">INDIRECT("'数据-取费表'!d"&amp;$G$1)</f>
        <v>0</v>
      </c>
      <c r="M48" s="3150"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98"/>
      <c r="L54" s="3499"/>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7" t="s">
        <v>2356</v>
      </c>
      <c r="J56" s="3151" t="e">
        <f ca="1">ROUND(IF(J48="钢混",J58/J51,1-(1-2%)*(J51-J58)/J51),3)</f>
        <v>#VALUE!</v>
      </c>
      <c r="K56" s="2399" t="s">
        <v>2357</v>
      </c>
      <c r="L56" s="2400"/>
      <c r="O56" s="2426" t="s">
        <v>2412</v>
      </c>
      <c r="P56" s="1591"/>
      <c r="Q56" s="1603"/>
      <c r="R56" s="1591"/>
    </row>
    <row r="57" spans="1:18" s="2057" customFormat="1" ht="43.5" thickBot="1">
      <c r="A57" s="2094"/>
      <c r="B57" s="2095"/>
      <c r="C57" s="2095"/>
      <c r="I57" s="2401" t="s">
        <v>2358</v>
      </c>
      <c r="J57" s="3150" t="s">
        <v>1680</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52"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9" t="s">
        <v>2946</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30">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31">
        <v>0</v>
      </c>
      <c r="O65" s="2426" t="s">
        <v>2416</v>
      </c>
      <c r="P65" s="1591"/>
      <c r="Q65" s="1603"/>
      <c r="R65" s="1591"/>
    </row>
    <row r="66" spans="1:18" s="2057" customFormat="1" ht="15.75" thickBot="1">
      <c r="A66" s="2094"/>
      <c r="B66" s="2095"/>
      <c r="C66" s="2095"/>
      <c r="I66" s="2407" t="s">
        <v>2373</v>
      </c>
      <c r="J66" s="2408">
        <v>40</v>
      </c>
      <c r="K66" s="2408">
        <v>30</v>
      </c>
      <c r="L66" s="2408">
        <v>50</v>
      </c>
      <c r="M66" s="3130">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502" t="s">
        <v>2579</v>
      </c>
      <c r="C1" s="3502"/>
      <c r="D1" s="3502"/>
      <c r="E1" s="3502"/>
      <c r="F1" s="3502"/>
      <c r="G1" s="3501" t="s">
        <v>2580</v>
      </c>
      <c r="H1" s="3501"/>
      <c r="I1" s="3501"/>
      <c r="J1" s="3501"/>
      <c r="K1" s="3501"/>
      <c r="L1" s="3501"/>
      <c r="N1" s="3501" t="s">
        <v>2581</v>
      </c>
      <c r="O1" s="3501"/>
      <c r="P1" s="3501"/>
      <c r="Q1" s="3501"/>
      <c r="R1" s="2677"/>
      <c r="S1" s="3501" t="s">
        <v>2582</v>
      </c>
      <c r="T1" s="3501"/>
      <c r="U1" s="3501"/>
      <c r="V1" s="3501"/>
      <c r="X1" s="3500" t="s">
        <v>2643</v>
      </c>
      <c r="Y1" s="3501"/>
      <c r="Z1" s="3501"/>
      <c r="AA1" s="3501"/>
      <c r="AB1" s="3501"/>
      <c r="AD1" s="3500" t="s">
        <v>2648</v>
      </c>
      <c r="AE1" s="3501"/>
      <c r="AF1" s="3501"/>
      <c r="AG1" s="3501"/>
      <c r="AH1" s="3501"/>
    </row>
    <row r="2" spans="1:34" s="2779" customFormat="1" ht="14.25" thickBot="1">
      <c r="B2" s="2788" t="s">
        <v>2583</v>
      </c>
      <c r="C2" s="2788" t="s">
        <v>2646</v>
      </c>
      <c r="D2" s="2780" t="s">
        <v>1646</v>
      </c>
      <c r="E2" s="2780" t="s">
        <v>1953</v>
      </c>
      <c r="F2" s="2788" t="s">
        <v>2647</v>
      </c>
      <c r="G2" s="2783"/>
      <c r="H2" s="2782"/>
      <c r="I2" s="2788" t="s">
        <v>2961</v>
      </c>
      <c r="J2" s="2780" t="s">
        <v>2963</v>
      </c>
      <c r="K2" s="2780" t="s">
        <v>2964</v>
      </c>
      <c r="L2" s="2788" t="s">
        <v>2965</v>
      </c>
      <c r="N2" s="2788" t="s">
        <v>2583</v>
      </c>
      <c r="O2" s="2780" t="s">
        <v>2962</v>
      </c>
      <c r="P2" s="2780" t="s">
        <v>1953</v>
      </c>
      <c r="Q2" s="2788" t="s">
        <v>2647</v>
      </c>
      <c r="R2" s="2781"/>
      <c r="S2" s="2788" t="s">
        <v>2583</v>
      </c>
      <c r="T2" s="2780" t="s">
        <v>2962</v>
      </c>
      <c r="U2" s="2780" t="s">
        <v>1953</v>
      </c>
      <c r="V2" s="2788" t="s">
        <v>2647</v>
      </c>
      <c r="X2" s="2788" t="s">
        <v>2583</v>
      </c>
      <c r="Y2" s="2788" t="s">
        <v>2646</v>
      </c>
      <c r="Z2" s="2780" t="s">
        <v>1646</v>
      </c>
      <c r="AA2" s="2780" t="s">
        <v>1953</v>
      </c>
      <c r="AB2" s="2788" t="s">
        <v>2647</v>
      </c>
      <c r="AD2" s="2788" t="s">
        <v>2583</v>
      </c>
      <c r="AE2" s="2788" t="s">
        <v>2646</v>
      </c>
      <c r="AF2" s="2780" t="s">
        <v>1646</v>
      </c>
      <c r="AG2" s="2780" t="s">
        <v>1953</v>
      </c>
      <c r="AH2" s="2788" t="s">
        <v>2647</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2973</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2972</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509">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2584</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504"/>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2585</v>
      </c>
      <c r="B7" s="2692">
        <f t="shared" si="18"/>
        <v>419.31181600000002</v>
      </c>
      <c r="C7" s="2692">
        <f t="shared" si="18"/>
        <v>313.95436800000004</v>
      </c>
      <c r="D7" s="2692">
        <f t="shared" si="3"/>
        <v>313.95436800000004</v>
      </c>
      <c r="E7" s="2692">
        <f t="shared" si="19"/>
        <v>596.63028431999999</v>
      </c>
      <c r="F7" s="2692">
        <f t="shared" si="19"/>
        <v>274.74220703999998</v>
      </c>
      <c r="G7" s="3504"/>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2586</v>
      </c>
      <c r="B8" s="2692">
        <f t="shared" si="18"/>
        <v>405.524</v>
      </c>
      <c r="C8" s="2692">
        <f t="shared" si="18"/>
        <v>307.79840000000002</v>
      </c>
      <c r="D8" s="2692">
        <f t="shared" si="3"/>
        <v>307.79840000000002</v>
      </c>
      <c r="E8" s="2692">
        <f t="shared" si="19"/>
        <v>574.67759999999998</v>
      </c>
      <c r="F8" s="2692">
        <f t="shared" si="19"/>
        <v>270.20280000000002</v>
      </c>
      <c r="G8" s="3505"/>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509">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504"/>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504"/>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505"/>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503">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504"/>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504"/>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505"/>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503">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504"/>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504"/>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505"/>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2645</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2587</v>
      </c>
      <c r="B21" s="2684">
        <v>299</v>
      </c>
      <c r="C21" s="2684">
        <v>252</v>
      </c>
      <c r="D21" s="2684">
        <f t="shared" si="28"/>
        <v>252</v>
      </c>
      <c r="E21" s="2684">
        <v>409</v>
      </c>
      <c r="F21" s="2685">
        <v>227</v>
      </c>
      <c r="G21" s="3506">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2588</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507"/>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2589</v>
      </c>
      <c r="B23" s="2692">
        <f t="shared" si="37"/>
        <v>288.2649053828776</v>
      </c>
      <c r="C23" s="2692">
        <f t="shared" si="37"/>
        <v>243.64564425013293</v>
      </c>
      <c r="D23" s="2692">
        <f t="shared" si="28"/>
        <v>243.64564425013293</v>
      </c>
      <c r="E23" s="2692">
        <f t="shared" si="38"/>
        <v>393.31080825986544</v>
      </c>
      <c r="F23" s="2692">
        <f t="shared" si="38"/>
        <v>223.07903790551154</v>
      </c>
      <c r="G23" s="3507"/>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2590</v>
      </c>
      <c r="B24" s="2692">
        <f t="shared" si="37"/>
        <v>282.50186729015837</v>
      </c>
      <c r="C24" s="2692">
        <f t="shared" si="37"/>
        <v>238.09796174155468</v>
      </c>
      <c r="D24" s="2692">
        <f t="shared" si="28"/>
        <v>238.09796174155468</v>
      </c>
      <c r="E24" s="2692">
        <f t="shared" si="38"/>
        <v>385.33438646014054</v>
      </c>
      <c r="F24" s="2692">
        <f t="shared" si="38"/>
        <v>221.55034055567739</v>
      </c>
      <c r="G24" s="3508"/>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2591</v>
      </c>
      <c r="B25" s="2722">
        <v>278</v>
      </c>
      <c r="C25" s="2722">
        <v>234</v>
      </c>
      <c r="D25" s="2722">
        <f t="shared" si="28"/>
        <v>234</v>
      </c>
      <c r="E25" s="2722">
        <v>379</v>
      </c>
      <c r="F25" s="2723">
        <v>220</v>
      </c>
      <c r="G25" s="3503">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2592</v>
      </c>
      <c r="B26" s="2692">
        <f>B25/(1+N25)</f>
        <v>275.49301357645425</v>
      </c>
      <c r="C26" s="2692">
        <f>C25/(1+O25)</f>
        <v>232.41954707985698</v>
      </c>
      <c r="D26" s="2692">
        <f t="shared" si="28"/>
        <v>232.41954707985698</v>
      </c>
      <c r="E26" s="2692">
        <f t="shared" ref="E26:F28" si="39">E25/(1+P25)</f>
        <v>375.32184591008121</v>
      </c>
      <c r="F26" s="2692">
        <f t="shared" si="39"/>
        <v>218.03766105054513</v>
      </c>
      <c r="G26" s="3504"/>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2593</v>
      </c>
      <c r="B27" s="2692">
        <f>B26/(1+N26)</f>
        <v>275.24529281292263</v>
      </c>
      <c r="C27" s="2692">
        <f>C26/(1+O26)</f>
        <v>231.74747938962707</v>
      </c>
      <c r="D27" s="2692">
        <f t="shared" si="28"/>
        <v>231.74747938962707</v>
      </c>
      <c r="E27" s="2692">
        <f t="shared" si="39"/>
        <v>375.35938184826603</v>
      </c>
      <c r="F27" s="2692">
        <f t="shared" si="39"/>
        <v>216.78033510692495</v>
      </c>
      <c r="G27" s="3504"/>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2594</v>
      </c>
      <c r="B28" s="2692">
        <f>B27/(1+N27)</f>
        <v>275.19025476197027</v>
      </c>
      <c r="C28" s="2724">
        <v>232</v>
      </c>
      <c r="D28" s="2724">
        <f t="shared" si="28"/>
        <v>232</v>
      </c>
      <c r="E28" s="2692">
        <f t="shared" si="39"/>
        <v>375.65990977608692</v>
      </c>
      <c r="F28" s="2692">
        <f t="shared" si="39"/>
        <v>214.12518283971252</v>
      </c>
      <c r="G28" s="3505"/>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2595</v>
      </c>
      <c r="B29" s="2684">
        <v>275</v>
      </c>
      <c r="C29" s="2684">
        <v>232</v>
      </c>
      <c r="D29" s="2684">
        <f t="shared" si="28"/>
        <v>232</v>
      </c>
      <c r="E29" s="2684">
        <v>376</v>
      </c>
      <c r="F29" s="2685">
        <v>213</v>
      </c>
      <c r="G29" s="3503">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2596</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504">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2597</v>
      </c>
      <c r="B31" s="2692">
        <f t="shared" si="40"/>
        <v>275.19335084830601</v>
      </c>
      <c r="C31" s="2692">
        <f t="shared" si="40"/>
        <v>230.18088050139744</v>
      </c>
      <c r="D31" s="2692">
        <f t="shared" si="28"/>
        <v>230.18088050139744</v>
      </c>
      <c r="E31" s="2692">
        <f t="shared" si="41"/>
        <v>377.58482925212331</v>
      </c>
      <c r="F31" s="2692">
        <f t="shared" si="41"/>
        <v>210.90687997847917</v>
      </c>
      <c r="G31" s="3504">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2598</v>
      </c>
      <c r="B32" s="2692">
        <f t="shared" si="40"/>
        <v>276.29854502841971</v>
      </c>
      <c r="C32" s="2692">
        <f t="shared" si="40"/>
        <v>229.79023709833027</v>
      </c>
      <c r="D32" s="2692">
        <f t="shared" si="28"/>
        <v>229.79023709833027</v>
      </c>
      <c r="E32" s="2692">
        <f t="shared" si="41"/>
        <v>379.78759731655936</v>
      </c>
      <c r="F32" s="2692">
        <f t="shared" si="41"/>
        <v>211.32953905659235</v>
      </c>
      <c r="G32" s="3505">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2599</v>
      </c>
      <c r="B33" s="2684">
        <v>269</v>
      </c>
      <c r="C33" s="2684">
        <v>221</v>
      </c>
      <c r="D33" s="2684">
        <f t="shared" si="28"/>
        <v>221</v>
      </c>
      <c r="E33" s="2684">
        <v>373</v>
      </c>
      <c r="F33" s="2685">
        <v>196</v>
      </c>
      <c r="G33" s="3503">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2600</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504">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2601</v>
      </c>
      <c r="B35" s="2692">
        <f t="shared" si="42"/>
        <v>242.95398227588385</v>
      </c>
      <c r="C35" s="2692">
        <f t="shared" si="42"/>
        <v>199.59137053614126</v>
      </c>
      <c r="D35" s="2692">
        <f t="shared" si="28"/>
        <v>199.59137053614126</v>
      </c>
      <c r="E35" s="2692">
        <f t="shared" si="43"/>
        <v>335.92189522342125</v>
      </c>
      <c r="F35" s="2692">
        <f t="shared" si="43"/>
        <v>183.10139991109489</v>
      </c>
      <c r="G35" s="3504">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2602</v>
      </c>
      <c r="B36" s="2692">
        <f t="shared" si="42"/>
        <v>232.06990378821649</v>
      </c>
      <c r="C36" s="2692">
        <f t="shared" si="42"/>
        <v>192.74878854286936</v>
      </c>
      <c r="D36" s="2692">
        <f t="shared" si="28"/>
        <v>192.74878854286936</v>
      </c>
      <c r="E36" s="2692">
        <f t="shared" si="43"/>
        <v>319.71247284992984</v>
      </c>
      <c r="F36" s="2692">
        <f t="shared" si="43"/>
        <v>175.67053622862409</v>
      </c>
      <c r="G36" s="3505">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2603</v>
      </c>
      <c r="B37" s="2684">
        <v>220</v>
      </c>
      <c r="C37" s="2684">
        <v>187</v>
      </c>
      <c r="D37" s="2684">
        <f t="shared" si="28"/>
        <v>187</v>
      </c>
      <c r="E37" s="2684">
        <v>301</v>
      </c>
      <c r="F37" s="2685">
        <v>168</v>
      </c>
      <c r="G37" s="3503">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2604</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504">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2605</v>
      </c>
      <c r="B39" s="2692">
        <f t="shared" si="44"/>
        <v>210.630522469011</v>
      </c>
      <c r="C39" s="2692">
        <f t="shared" si="44"/>
        <v>181.69567812247232</v>
      </c>
      <c r="D39" s="2692">
        <f t="shared" si="28"/>
        <v>181.69567812247232</v>
      </c>
      <c r="E39" s="2692">
        <f t="shared" si="45"/>
        <v>286.13517466736738</v>
      </c>
      <c r="F39" s="2692">
        <f t="shared" si="45"/>
        <v>165.47535084591149</v>
      </c>
      <c r="G39" s="3504">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2606</v>
      </c>
      <c r="B40" s="2692">
        <f t="shared" si="44"/>
        <v>208.83454537875372</v>
      </c>
      <c r="C40" s="2692">
        <f t="shared" si="44"/>
        <v>183.77230517090351</v>
      </c>
      <c r="D40" s="2692">
        <f t="shared" si="28"/>
        <v>183.77230517090351</v>
      </c>
      <c r="E40" s="2692">
        <f t="shared" si="45"/>
        <v>281.10342338870947</v>
      </c>
      <c r="F40" s="2692">
        <f t="shared" si="45"/>
        <v>168.97309388942256</v>
      </c>
      <c r="G40" s="3505">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2607</v>
      </c>
      <c r="B41" s="2722">
        <v>214</v>
      </c>
      <c r="C41" s="2722">
        <v>188</v>
      </c>
      <c r="D41" s="2722">
        <f t="shared" si="28"/>
        <v>188</v>
      </c>
      <c r="E41" s="2722">
        <v>289</v>
      </c>
      <c r="F41" s="2723">
        <v>166</v>
      </c>
      <c r="G41" s="3503">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2608</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504">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2609</v>
      </c>
      <c r="B43" s="2692">
        <f t="shared" si="46"/>
        <v>206.31694671589116</v>
      </c>
      <c r="C43" s="2692">
        <f t="shared" si="46"/>
        <v>183.61041121036101</v>
      </c>
      <c r="D43" s="2692">
        <f t="shared" si="28"/>
        <v>183.61041121036101</v>
      </c>
      <c r="E43" s="2692">
        <f t="shared" si="47"/>
        <v>276.66850301795557</v>
      </c>
      <c r="F43" s="2692">
        <f t="shared" si="47"/>
        <v>165.1360938278614</v>
      </c>
      <c r="G43" s="3504">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2610</v>
      </c>
      <c r="B44" s="2725">
        <f t="shared" si="46"/>
        <v>196.62341248059772</v>
      </c>
      <c r="C44" s="2725">
        <f t="shared" si="46"/>
        <v>170.99125648199012</v>
      </c>
      <c r="D44" s="2725">
        <f t="shared" si="28"/>
        <v>170.99125648199012</v>
      </c>
      <c r="E44" s="2725">
        <f t="shared" si="47"/>
        <v>266.07857570490052</v>
      </c>
      <c r="F44" s="2725">
        <f t="shared" si="47"/>
        <v>154.53499328828505</v>
      </c>
      <c r="G44" s="3505">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2611</v>
      </c>
      <c r="B45" s="2684">
        <v>188</v>
      </c>
      <c r="C45" s="2684">
        <v>165</v>
      </c>
      <c r="D45" s="2684">
        <f t="shared" si="28"/>
        <v>165</v>
      </c>
      <c r="E45" s="2684">
        <v>254</v>
      </c>
      <c r="F45" s="2685">
        <v>148</v>
      </c>
      <c r="G45" s="3503">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2612</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504">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2613</v>
      </c>
      <c r="B47" s="2692">
        <f t="shared" si="50"/>
        <v>168.82017748715555</v>
      </c>
      <c r="C47" s="2692">
        <f t="shared" si="50"/>
        <v>148.06267029972753</v>
      </c>
      <c r="D47" s="2692">
        <f t="shared" si="28"/>
        <v>148.06267029972753</v>
      </c>
      <c r="E47" s="2692">
        <f t="shared" si="51"/>
        <v>216.46288379323747</v>
      </c>
      <c r="F47" s="2692">
        <f t="shared" si="51"/>
        <v>134.23529411764704</v>
      </c>
      <c r="G47" s="3504">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2614</v>
      </c>
      <c r="B48" s="2692">
        <f t="shared" si="50"/>
        <v>163.84913591779542</v>
      </c>
      <c r="C48" s="2692">
        <f t="shared" si="50"/>
        <v>145.0283378746594</v>
      </c>
      <c r="D48" s="2692">
        <f t="shared" si="28"/>
        <v>145.0283378746594</v>
      </c>
      <c r="E48" s="2692">
        <f t="shared" si="51"/>
        <v>204.95180722891567</v>
      </c>
      <c r="F48" s="2692">
        <f t="shared" si="51"/>
        <v>125.95920303605313</v>
      </c>
      <c r="G48" s="3505">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2615</v>
      </c>
      <c r="B49" s="2706">
        <v>159</v>
      </c>
      <c r="C49" s="2706">
        <v>141</v>
      </c>
      <c r="D49" s="2706">
        <f t="shared" si="28"/>
        <v>141</v>
      </c>
      <c r="E49" s="2706">
        <v>195</v>
      </c>
      <c r="F49" s="2707">
        <v>122</v>
      </c>
      <c r="G49" s="3503">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2616</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504">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2617</v>
      </c>
      <c r="B51" s="2692">
        <f t="shared" si="54"/>
        <v>146.57412060301507</v>
      </c>
      <c r="C51" s="2692">
        <f t="shared" si="54"/>
        <v>136.46831955922866</v>
      </c>
      <c r="D51" s="2692">
        <f t="shared" si="28"/>
        <v>136.46831955922866</v>
      </c>
      <c r="E51" s="2692">
        <f t="shared" si="55"/>
        <v>166.73864894795128</v>
      </c>
      <c r="F51" s="2692">
        <f t="shared" si="55"/>
        <v>115.05882352941177</v>
      </c>
      <c r="G51" s="3504">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2618</v>
      </c>
      <c r="B52" s="2692">
        <f t="shared" si="54"/>
        <v>144.04145728643215</v>
      </c>
      <c r="C52" s="2692">
        <f t="shared" si="54"/>
        <v>136.12396694214877</v>
      </c>
      <c r="D52" s="2692">
        <f t="shared" si="28"/>
        <v>136.12396694214877</v>
      </c>
      <c r="E52" s="2692">
        <f t="shared" si="55"/>
        <v>158.32225913621264</v>
      </c>
      <c r="F52" s="2692">
        <f t="shared" si="55"/>
        <v>114.04278074866311</v>
      </c>
      <c r="G52" s="3505">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2619</v>
      </c>
      <c r="B53" s="2706">
        <v>138</v>
      </c>
      <c r="C53" s="2706">
        <v>131</v>
      </c>
      <c r="D53" s="2706">
        <f t="shared" si="28"/>
        <v>131</v>
      </c>
      <c r="E53" s="2706">
        <v>155</v>
      </c>
      <c r="F53" s="2707">
        <v>114</v>
      </c>
      <c r="G53" s="3503">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2620</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504">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2621</v>
      </c>
      <c r="B55" s="2692">
        <f t="shared" si="58"/>
        <v>124.29032258064517</v>
      </c>
      <c r="C55" s="2692">
        <f t="shared" si="58"/>
        <v>123.8968609865471</v>
      </c>
      <c r="D55" s="2692">
        <f t="shared" si="28"/>
        <v>123.8968609865471</v>
      </c>
      <c r="E55" s="2692">
        <f t="shared" si="59"/>
        <v>138.00507614213197</v>
      </c>
      <c r="F55" s="2692">
        <f t="shared" si="59"/>
        <v>107.96106557377048</v>
      </c>
      <c r="G55" s="3504">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2622</v>
      </c>
      <c r="B56" s="2692">
        <f t="shared" si="58"/>
        <v>122.57204301075269</v>
      </c>
      <c r="C56" s="2692">
        <f t="shared" si="58"/>
        <v>123.4932735426009</v>
      </c>
      <c r="D56" s="2692">
        <f t="shared" si="28"/>
        <v>123.4932735426009</v>
      </c>
      <c r="E56" s="2692">
        <f t="shared" si="59"/>
        <v>129.82233502538071</v>
      </c>
      <c r="F56" s="2692">
        <f t="shared" si="59"/>
        <v>107.39446721311475</v>
      </c>
      <c r="G56" s="3505">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2623</v>
      </c>
      <c r="B57" s="2722">
        <v>121</v>
      </c>
      <c r="C57" s="2722">
        <v>122</v>
      </c>
      <c r="D57" s="2722">
        <f t="shared" si="28"/>
        <v>122</v>
      </c>
      <c r="E57" s="2722">
        <v>124</v>
      </c>
      <c r="F57" s="2723">
        <v>107</v>
      </c>
      <c r="G57" s="3503">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2624</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504">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2625</v>
      </c>
      <c r="B59" s="2692">
        <f t="shared" si="62"/>
        <v>116.99099099099099</v>
      </c>
      <c r="C59" s="2692">
        <f t="shared" si="62"/>
        <v>118.84848484848486</v>
      </c>
      <c r="D59" s="2692">
        <f t="shared" si="28"/>
        <v>118.84848484848486</v>
      </c>
      <c r="E59" s="2692">
        <f t="shared" si="63"/>
        <v>117.60960960960961</v>
      </c>
      <c r="F59" s="2692">
        <f t="shared" si="63"/>
        <v>104</v>
      </c>
      <c r="G59" s="3504">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2626</v>
      </c>
      <c r="B60" s="2725">
        <f t="shared" si="62"/>
        <v>112.48648648648648</v>
      </c>
      <c r="C60" s="2725">
        <f t="shared" si="62"/>
        <v>115.21212121212122</v>
      </c>
      <c r="D60" s="2725">
        <f t="shared" si="28"/>
        <v>115.21212121212122</v>
      </c>
      <c r="E60" s="2725">
        <f t="shared" si="63"/>
        <v>110.4024024024024</v>
      </c>
      <c r="F60" s="2725">
        <f t="shared" si="63"/>
        <v>104</v>
      </c>
      <c r="G60" s="3505">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2627</v>
      </c>
      <c r="B61" s="2743">
        <v>111</v>
      </c>
      <c r="C61" s="2743">
        <v>114</v>
      </c>
      <c r="D61" s="2743">
        <f t="shared" si="28"/>
        <v>114</v>
      </c>
      <c r="E61" s="2743">
        <v>108</v>
      </c>
      <c r="F61" s="2744">
        <v>104</v>
      </c>
      <c r="G61" s="3503">
        <v>2003</v>
      </c>
      <c r="H61" s="2733">
        <v>4</v>
      </c>
      <c r="I61" s="2745"/>
      <c r="J61" s="2745"/>
      <c r="K61" s="2745"/>
      <c r="L61" s="2745"/>
      <c r="N61" s="2746"/>
      <c r="O61" s="2745"/>
      <c r="P61" s="2745"/>
      <c r="Q61" s="2745"/>
      <c r="S61" s="2746"/>
      <c r="T61" s="2745"/>
      <c r="U61" s="2745"/>
      <c r="V61" s="2745"/>
      <c r="X61" s="2737"/>
      <c r="Y61" s="2737"/>
      <c r="Z61" s="2737"/>
    </row>
    <row r="62" spans="1:26">
      <c r="A62" s="2678" t="s">
        <v>2628</v>
      </c>
      <c r="B62" s="2747">
        <f t="shared" ref="B62:C64" si="64">B63+(B$61-B$65)/4</f>
        <v>109.75</v>
      </c>
      <c r="C62" s="2747">
        <f t="shared" si="64"/>
        <v>112.25</v>
      </c>
      <c r="D62" s="2747">
        <f t="shared" si="28"/>
        <v>112.25</v>
      </c>
      <c r="E62" s="2747">
        <f t="shared" ref="E62:F64" si="65">E63+(E$61-E$65)/4</f>
        <v>107.25</v>
      </c>
      <c r="F62" s="2747">
        <f t="shared" si="65"/>
        <v>103.5</v>
      </c>
      <c r="G62" s="3504">
        <v>2003</v>
      </c>
      <c r="H62" s="2703">
        <v>3</v>
      </c>
      <c r="I62" s="2745"/>
      <c r="J62" s="2745"/>
      <c r="K62" s="2745"/>
      <c r="L62" s="2745"/>
      <c r="X62" s="2737"/>
      <c r="Y62" s="2737"/>
      <c r="Z62" s="2737"/>
    </row>
    <row r="63" spans="1:26">
      <c r="A63" s="2678" t="s">
        <v>2629</v>
      </c>
      <c r="B63" s="2747">
        <f t="shared" si="64"/>
        <v>108.5</v>
      </c>
      <c r="C63" s="2747">
        <f t="shared" si="64"/>
        <v>110.5</v>
      </c>
      <c r="D63" s="2747">
        <f t="shared" si="28"/>
        <v>110.5</v>
      </c>
      <c r="E63" s="2747">
        <f t="shared" si="65"/>
        <v>106.5</v>
      </c>
      <c r="F63" s="2747">
        <f t="shared" si="65"/>
        <v>103</v>
      </c>
      <c r="G63" s="3504">
        <v>2003</v>
      </c>
      <c r="H63" s="2683">
        <v>2</v>
      </c>
      <c r="I63" s="2745"/>
      <c r="J63" s="2745"/>
      <c r="K63" s="2745"/>
      <c r="L63" s="2745"/>
      <c r="X63" s="2737"/>
      <c r="Y63" s="2737"/>
      <c r="Z63" s="2737"/>
    </row>
    <row r="64" spans="1:26" ht="13.5" thickBot="1">
      <c r="A64" s="2678" t="s">
        <v>2630</v>
      </c>
      <c r="B64" s="2747">
        <f t="shared" si="64"/>
        <v>107.25</v>
      </c>
      <c r="C64" s="2747">
        <f t="shared" si="64"/>
        <v>108.75</v>
      </c>
      <c r="D64" s="2747">
        <f t="shared" si="28"/>
        <v>108.75</v>
      </c>
      <c r="E64" s="2747">
        <f t="shared" si="65"/>
        <v>105.75</v>
      </c>
      <c r="F64" s="2747">
        <f t="shared" si="65"/>
        <v>102.5</v>
      </c>
      <c r="G64" s="3505">
        <v>2003</v>
      </c>
      <c r="H64" s="2748">
        <v>1</v>
      </c>
      <c r="I64" s="2745"/>
      <c r="J64" s="2745"/>
      <c r="K64" s="2745"/>
      <c r="L64" s="2745"/>
      <c r="S64" s="2687"/>
      <c r="T64" s="2688"/>
      <c r="U64" s="2688"/>
      <c r="X64" s="2737"/>
      <c r="Y64" s="2737"/>
      <c r="Z64" s="2737"/>
    </row>
    <row r="65" spans="1:26" ht="13.5" thickBot="1">
      <c r="A65" s="2678" t="s">
        <v>2631</v>
      </c>
      <c r="B65" s="2749">
        <v>106</v>
      </c>
      <c r="C65" s="2749">
        <v>107</v>
      </c>
      <c r="D65" s="2749">
        <f t="shared" si="28"/>
        <v>107</v>
      </c>
      <c r="E65" s="2749">
        <v>105</v>
      </c>
      <c r="F65" s="2750">
        <v>102</v>
      </c>
      <c r="G65" s="3503">
        <v>2002</v>
      </c>
      <c r="H65" s="2698">
        <v>4</v>
      </c>
      <c r="I65" s="2745"/>
      <c r="J65" s="2745"/>
      <c r="K65" s="2745"/>
      <c r="L65" s="2745"/>
      <c r="N65" s="2746"/>
      <c r="O65" s="2745"/>
      <c r="P65" s="2745"/>
      <c r="Q65" s="2745"/>
      <c r="S65" s="2746"/>
      <c r="T65" s="2745"/>
      <c r="U65" s="2745"/>
      <c r="V65" s="2745"/>
      <c r="X65" s="2737"/>
      <c r="Y65" s="2737"/>
      <c r="Z65" s="2737"/>
    </row>
    <row r="66" spans="1:26">
      <c r="A66" s="2678" t="s">
        <v>2632</v>
      </c>
      <c r="B66" s="2747">
        <f t="shared" ref="B66:C68" si="66">B67+(B$65-B$69)/4</f>
        <v>105</v>
      </c>
      <c r="C66" s="2747">
        <f t="shared" si="66"/>
        <v>106</v>
      </c>
      <c r="D66" s="2747">
        <f t="shared" si="28"/>
        <v>106</v>
      </c>
      <c r="E66" s="2747">
        <f t="shared" ref="E66:F68" si="67">E67+(E$65-E$69)/4</f>
        <v>104.5</v>
      </c>
      <c r="F66" s="2747">
        <f t="shared" si="67"/>
        <v>101.5</v>
      </c>
      <c r="G66" s="3504">
        <v>2002</v>
      </c>
      <c r="H66" s="2703">
        <v>3</v>
      </c>
      <c r="I66" s="2745"/>
      <c r="J66" s="2745"/>
      <c r="K66" s="2745"/>
      <c r="L66" s="2745"/>
      <c r="X66" s="2737"/>
      <c r="Y66" s="2737"/>
      <c r="Z66" s="2737"/>
    </row>
    <row r="67" spans="1:26">
      <c r="A67" s="2678" t="s">
        <v>2633</v>
      </c>
      <c r="B67" s="2747">
        <f t="shared" si="66"/>
        <v>104</v>
      </c>
      <c r="C67" s="2747">
        <f t="shared" si="66"/>
        <v>105</v>
      </c>
      <c r="D67" s="2747">
        <f t="shared" si="28"/>
        <v>105</v>
      </c>
      <c r="E67" s="2747">
        <f t="shared" si="67"/>
        <v>104</v>
      </c>
      <c r="F67" s="2747">
        <f t="shared" si="67"/>
        <v>101</v>
      </c>
      <c r="G67" s="3504">
        <v>2002</v>
      </c>
      <c r="H67" s="2683">
        <v>2</v>
      </c>
      <c r="I67" s="2745"/>
      <c r="J67" s="2745"/>
      <c r="K67" s="2745"/>
      <c r="L67" s="2745"/>
      <c r="X67" s="2737"/>
      <c r="Y67" s="2737"/>
      <c r="Z67" s="2737"/>
    </row>
    <row r="68" spans="1:26" s="2714" customFormat="1" ht="13.5" thickBot="1">
      <c r="A68" s="2710" t="s">
        <v>2634</v>
      </c>
      <c r="B68" s="2751">
        <f t="shared" si="66"/>
        <v>103</v>
      </c>
      <c r="C68" s="2751">
        <f t="shared" si="66"/>
        <v>104</v>
      </c>
      <c r="D68" s="2751">
        <f t="shared" si="28"/>
        <v>104</v>
      </c>
      <c r="E68" s="2751">
        <f t="shared" si="67"/>
        <v>103.5</v>
      </c>
      <c r="F68" s="2751">
        <f t="shared" si="67"/>
        <v>100.5</v>
      </c>
      <c r="G68" s="3505">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2635</v>
      </c>
      <c r="G71" s="2761"/>
      <c r="N71" s="2761"/>
      <c r="S71" s="2761"/>
    </row>
    <row r="72" spans="1:26" s="2760" customFormat="1">
      <c r="A72" s="2760" t="s">
        <v>2636</v>
      </c>
      <c r="G72" s="2761"/>
      <c r="N72" s="2761"/>
      <c r="S72" s="2761"/>
    </row>
    <row r="73" spans="1:26" s="2760" customFormat="1">
      <c r="A73" s="2760" t="s">
        <v>2637</v>
      </c>
      <c r="G73" s="2761"/>
      <c r="I73" s="2762"/>
      <c r="J73" s="2762"/>
      <c r="K73" s="2762"/>
      <c r="L73" s="2762"/>
      <c r="N73" s="2763"/>
      <c r="O73" s="2762"/>
      <c r="P73" s="2762"/>
      <c r="Q73" s="2762"/>
      <c r="S73" s="2763"/>
      <c r="T73" s="2762"/>
      <c r="U73" s="2762"/>
      <c r="V73" s="2762"/>
    </row>
    <row r="74" spans="1:26" s="2760" customFormat="1">
      <c r="A74" s="2760" t="s">
        <v>2638</v>
      </c>
      <c r="G74" s="2761"/>
      <c r="N74" s="2761"/>
      <c r="S74" s="2761"/>
    </row>
    <row r="81" spans="7:22" ht="13.5" thickBot="1"/>
    <row r="82" spans="7:22">
      <c r="G82" s="2686"/>
      <c r="S82" s="2764" t="s">
        <v>2639</v>
      </c>
      <c r="T82" s="2765" t="s">
        <v>2640</v>
      </c>
      <c r="U82" s="2765" t="s">
        <v>2641</v>
      </c>
      <c r="V82" s="2765" t="s">
        <v>2642</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四川德胜集团文化旅游投资发展有限公司：</v>
      </c>
    </row>
    <row r="4" spans="1:4" ht="37.5">
      <c r="A4" s="1790" t="str">
        <f>"受贵公司委托，我公司对"&amp;项目基本情况!K2&amp;项目基本情况!B9&amp;"进行了预评估。"</f>
        <v>受贵公司委托，我公司对四川省峨眉山市川主乡顺河村3宗住宅、商业出让国有建设用地使用权抵押价格进行了预评估。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峨眉山市川主乡顺河村3宗住宅、商业出让国有建设用地使用权。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7" spans="1:4" ht="56.25">
      <c r="A7" s="1794" t="s">
        <v>2752</v>
      </c>
    </row>
    <row r="8" spans="1:4" ht="18.75">
      <c r="A8" s="1793" t="s">
        <v>1908</v>
      </c>
    </row>
    <row r="9" spans="1:4" ht="56.25">
      <c r="A9" s="1795"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2018年1月4日（评估专业人员勘察现场之日）</v>
      </c>
    </row>
    <row r="12" spans="1:4" ht="18.75">
      <c r="A12" s="1796" t="s">
        <v>2027</v>
      </c>
    </row>
    <row r="13" spans="1:4" ht="18.75">
      <c r="A13" s="1790" t="s">
        <v>2945</v>
      </c>
    </row>
    <row r="14" spans="1:4" ht="37.5">
      <c r="A14" s="1790" t="str">
        <f>"根据"&amp;项目基本情况!F12&amp;"，本次评估估价对象证载（地类）用途为"&amp;项目基本情况!B12&amp;"。"</f>
        <v>根据《国有土地使用证》[峨眉国用（2014）第73369、73373、86590号]，本次评估估价对象证载（地类）用途为商住。</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本次评估设定土地开发程度为红线外市政基础设施达“七通”、宗地红线内场地平整。估价结果未扣除树木移除的费用。</v>
      </c>
    </row>
    <row r="19" spans="1:1" ht="18.75">
      <c r="A19" s="1790" t="s">
        <v>2075</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21" spans="1:1" ht="18.75">
      <c r="A21" s="1790" t="s">
        <v>2076</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峨眉国用（2014）第73369、73373、86590号]证载土地终止日期为住宅2084年5月23日、商业2054年5月23日。截至估价期日，出让国有建设用地使用权剩余土地使用年限为住宅66.4年，商业36.4年。</v>
      </c>
    </row>
    <row r="23" spans="1:1" ht="18.75">
      <c r="A23" s="1790" t="str">
        <f>IF(项目基本情况!B16="出让","本次评估设定估价对象剩余土地使用年限为"&amp;项目基本情况!D20&amp;"。","")</f>
        <v>本次评估设定估价对象剩余土地使用年限为住宅66.4年，商业36.4年。</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5" t="s">
        <v>720</v>
      </c>
      <c r="C1" s="2646" t="s">
        <v>721</v>
      </c>
      <c r="D1" s="2647" t="s">
        <v>3137</v>
      </c>
      <c r="E1" s="2648"/>
      <c r="F1" s="2831" t="s">
        <v>3182</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4">
        <f>ROUND(B3*D3/10000,0)</f>
        <v>92592</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8251</v>
      </c>
      <c r="C3" s="851" t="s">
        <v>723</v>
      </c>
      <c r="D3" s="850">
        <f>SUMIF('数据-汇总表'!$C19:$C33,D1,'数据-汇总表'!$E19:$E33)</f>
        <v>112219.23999999999</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522</v>
      </c>
      <c r="B4" s="512"/>
      <c r="C4" s="3437" t="s">
        <v>523</v>
      </c>
      <c r="D4" s="3438"/>
      <c r="E4" s="3463" t="s">
        <v>524</v>
      </c>
      <c r="F4" s="3464"/>
      <c r="G4" s="3437" t="s">
        <v>525</v>
      </c>
      <c r="H4" s="3438"/>
      <c r="I4" s="3437" t="s">
        <v>526</v>
      </c>
      <c r="J4" s="3438"/>
      <c r="K4" s="852" t="s">
        <v>527</v>
      </c>
      <c r="L4" s="2131"/>
      <c r="M4" s="2132"/>
      <c r="N4" s="2132"/>
      <c r="O4" s="2132"/>
      <c r="P4" s="3439" t="s">
        <v>528</v>
      </c>
      <c r="Q4" s="3440"/>
      <c r="R4" s="3425" t="s">
        <v>524</v>
      </c>
      <c r="S4" s="3426"/>
      <c r="T4" s="3425" t="s">
        <v>525</v>
      </c>
      <c r="U4" s="3426"/>
      <c r="V4" s="3445" t="s">
        <v>526</v>
      </c>
      <c r="W4" s="3445"/>
      <c r="X4" s="1566"/>
      <c r="Y4" s="3425" t="s">
        <v>528</v>
      </c>
      <c r="Z4" s="3426"/>
      <c r="AA4" s="3420" t="s">
        <v>524</v>
      </c>
      <c r="AB4" s="3420" t="s">
        <v>525</v>
      </c>
      <c r="AC4" s="3420" t="s">
        <v>526</v>
      </c>
    </row>
    <row r="5" spans="1:29" ht="15" customHeight="1">
      <c r="A5" s="514"/>
      <c r="B5" s="515"/>
      <c r="C5" s="3450" t="s">
        <v>2931</v>
      </c>
      <c r="D5" s="3449"/>
      <c r="E5" s="3510" t="s">
        <v>3224</v>
      </c>
      <c r="F5" s="3466"/>
      <c r="G5" s="3448" t="s">
        <v>3225</v>
      </c>
      <c r="H5" s="3449"/>
      <c r="I5" s="3448" t="s">
        <v>3229</v>
      </c>
      <c r="J5" s="3449"/>
      <c r="K5" s="853"/>
      <c r="L5" s="2131"/>
      <c r="M5" s="2132"/>
      <c r="N5" s="2132"/>
      <c r="O5" s="2132"/>
      <c r="P5" s="3441"/>
      <c r="Q5" s="3442"/>
      <c r="R5" s="3427"/>
      <c r="S5" s="3428"/>
      <c r="T5" s="3427"/>
      <c r="U5" s="3428"/>
      <c r="V5" s="3445"/>
      <c r="W5" s="3445"/>
      <c r="X5" s="1566"/>
      <c r="Y5" s="3427"/>
      <c r="Z5" s="3428"/>
      <c r="AA5" s="3421"/>
      <c r="AB5" s="3421"/>
      <c r="AC5" s="3421"/>
    </row>
    <row r="6" spans="1:29" ht="15.75" customHeight="1" thickBot="1">
      <c r="A6" s="516"/>
      <c r="B6" s="517"/>
      <c r="C6" s="3467" t="s">
        <v>2935</v>
      </c>
      <c r="D6" s="3447"/>
      <c r="E6" s="3511" t="s">
        <v>3226</v>
      </c>
      <c r="F6" s="3469"/>
      <c r="G6" s="3446" t="s">
        <v>3227</v>
      </c>
      <c r="H6" s="3447"/>
      <c r="I6" s="3446" t="s">
        <v>3228</v>
      </c>
      <c r="J6" s="3447"/>
      <c r="K6" s="853" t="s">
        <v>529</v>
      </c>
      <c r="L6" s="2131"/>
      <c r="M6" s="2132"/>
      <c r="N6" s="2132"/>
      <c r="O6" s="2132"/>
      <c r="P6" s="3443"/>
      <c r="Q6" s="3444"/>
      <c r="R6" s="3427"/>
      <c r="S6" s="3428"/>
      <c r="T6" s="3429"/>
      <c r="U6" s="3430"/>
      <c r="V6" s="3445"/>
      <c r="W6" s="3445"/>
      <c r="X6" s="1566"/>
      <c r="Y6" s="3429"/>
      <c r="Z6" s="3430"/>
      <c r="AA6" s="3422"/>
      <c r="AB6" s="3422"/>
      <c r="AC6" s="3422"/>
    </row>
    <row r="7" spans="1:29" s="1219" customFormat="1" ht="15.75" thickBot="1">
      <c r="A7" s="2936"/>
      <c r="B7" s="2943" t="s">
        <v>530</v>
      </c>
      <c r="C7" s="518">
        <f>'数据-取费表'!B2</f>
        <v>43104</v>
      </c>
      <c r="D7" s="519">
        <v>100</v>
      </c>
      <c r="E7" s="520">
        <v>43101</v>
      </c>
      <c r="F7" s="521">
        <f>SUMIF(58:58,YEAR(E7)&amp;"-"&amp;MONTH(E7),59:59)</f>
        <v>100</v>
      </c>
      <c r="G7" s="522">
        <f>E7</f>
        <v>43101</v>
      </c>
      <c r="H7" s="519">
        <f>SUMIF(58:58,YEAR(G7)&amp;"-"&amp;MONTH(G7),59:59)</f>
        <v>100</v>
      </c>
      <c r="I7" s="522">
        <f>E7</f>
        <v>43101</v>
      </c>
      <c r="J7" s="519">
        <f>SUMIF(58:58,YEAR(I7)&amp;"-"&amp;MONTH(I7),59:59)</f>
        <v>100</v>
      </c>
      <c r="K7" s="854"/>
      <c r="L7" s="2133"/>
      <c r="M7" s="2134"/>
      <c r="N7" s="2134"/>
      <c r="O7" s="2134"/>
      <c r="P7" s="3423" t="s">
        <v>531</v>
      </c>
      <c r="Q7" s="3432"/>
      <c r="R7" s="1567" t="s">
        <v>13</v>
      </c>
      <c r="S7" s="1568">
        <f t="shared" ref="S7:S15" si="0">F7</f>
        <v>100</v>
      </c>
      <c r="T7" s="1567" t="s">
        <v>13</v>
      </c>
      <c r="U7" s="1568">
        <f t="shared" ref="U7:U15" si="1">H7</f>
        <v>100</v>
      </c>
      <c r="V7" s="1567" t="s">
        <v>13</v>
      </c>
      <c r="W7" s="1568">
        <f t="shared" ref="W7:W15" si="2">J7</f>
        <v>100</v>
      </c>
      <c r="X7" s="1569"/>
      <c r="Y7" s="3423" t="s">
        <v>531</v>
      </c>
      <c r="Z7" s="3424"/>
      <c r="AA7" s="1570">
        <f>D7/F7</f>
        <v>1</v>
      </c>
      <c r="AB7" s="1570">
        <f>D7/H7</f>
        <v>1</v>
      </c>
      <c r="AC7" s="1570">
        <f>D7/J7</f>
        <v>1</v>
      </c>
    </row>
    <row r="8" spans="1:29" s="1219" customFormat="1" ht="15.75" thickBot="1">
      <c r="A8" s="2937"/>
      <c r="B8" s="2944" t="s">
        <v>532</v>
      </c>
      <c r="C8" s="524" t="s">
        <v>577</v>
      </c>
      <c r="D8" s="519">
        <v>100</v>
      </c>
      <c r="E8" s="855" t="s">
        <v>3147</v>
      </c>
      <c r="F8" s="521">
        <f>SUMIF(61:61,E8,62:62)-SUMIF(61:61,C8,62:62)+100</f>
        <v>100</v>
      </c>
      <c r="G8" s="524" t="s">
        <v>3147</v>
      </c>
      <c r="H8" s="519">
        <f>SUMIF(61:61,G8,62:62)-SUMIF(61:61,C8,62:62)+100</f>
        <v>100</v>
      </c>
      <c r="I8" s="855" t="s">
        <v>3147</v>
      </c>
      <c r="J8" s="519">
        <f>SUMIF(61:61,I8,62:62)-SUMIF(61:61,C8,62:62)+100</f>
        <v>100</v>
      </c>
      <c r="K8" s="854"/>
      <c r="L8" s="2133"/>
      <c r="M8" s="2134"/>
      <c r="N8" s="2134"/>
      <c r="O8" s="2134"/>
      <c r="P8" s="3423" t="s">
        <v>534</v>
      </c>
      <c r="Q8" s="3424"/>
      <c r="R8" s="1567" t="s">
        <v>13</v>
      </c>
      <c r="S8" s="1568">
        <f t="shared" si="0"/>
        <v>100</v>
      </c>
      <c r="T8" s="1567" t="s">
        <v>13</v>
      </c>
      <c r="U8" s="1568">
        <f t="shared" si="1"/>
        <v>100</v>
      </c>
      <c r="V8" s="1567" t="s">
        <v>13</v>
      </c>
      <c r="W8" s="1568">
        <f t="shared" si="2"/>
        <v>100</v>
      </c>
      <c r="X8" s="1569"/>
      <c r="Y8" s="3423" t="s">
        <v>534</v>
      </c>
      <c r="Z8" s="3424"/>
      <c r="AA8" s="1570">
        <f t="shared" ref="AA8:AA46" si="3">D8/F8</f>
        <v>1</v>
      </c>
      <c r="AB8" s="1570">
        <f t="shared" ref="AB8:AB46" si="4">D8/H8</f>
        <v>1</v>
      </c>
      <c r="AC8" s="1570">
        <f t="shared" ref="AC8:AC46" si="5">D8/J8</f>
        <v>1</v>
      </c>
    </row>
    <row r="9" spans="1:29" s="1219" customFormat="1" ht="15">
      <c r="A9" s="2938"/>
      <c r="B9" s="2945" t="s">
        <v>2761</v>
      </c>
      <c r="C9" s="3207" t="s">
        <v>3183</v>
      </c>
      <c r="D9" s="253">
        <v>100</v>
      </c>
      <c r="E9" s="857" t="s">
        <v>924</v>
      </c>
      <c r="F9" s="858">
        <f>SUMIF(63:63,E9,64:64)-SUMIF(63:63,C9,64:64)+100</f>
        <v>100</v>
      </c>
      <c r="G9" s="859" t="s">
        <v>924</v>
      </c>
      <c r="H9" s="253">
        <f>SUMIF(63:63,G9,64:64)-SUMIF(63:63,C9,64:64)+100</f>
        <v>100</v>
      </c>
      <c r="I9" s="859" t="s">
        <v>924</v>
      </c>
      <c r="J9" s="253">
        <f>SUMIF(63:63,I9,64:64)-SUMIF(63:63,C9,64:64)+100</f>
        <v>100</v>
      </c>
      <c r="K9" s="854"/>
      <c r="L9" s="2133"/>
      <c r="M9" s="2134"/>
      <c r="N9" s="2134"/>
      <c r="O9" s="2135"/>
      <c r="P9" s="3431"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9"/>
      <c r="B10" s="2944" t="s">
        <v>2762</v>
      </c>
      <c r="C10" s="860" t="s">
        <v>3184</v>
      </c>
      <c r="D10" s="254">
        <v>100</v>
      </c>
      <c r="E10" s="861" t="s">
        <v>3184</v>
      </c>
      <c r="F10" s="862">
        <f>SUMIF(65:65,E10,66:66)-SUMIF(65:65,C10,66:66)+100</f>
        <v>100</v>
      </c>
      <c r="G10" s="860" t="s">
        <v>3184</v>
      </c>
      <c r="H10" s="254">
        <f>SUMIF(65:65,G10,66:66)-SUMIF(65:65,C10,66:66)+100</f>
        <v>100</v>
      </c>
      <c r="I10" s="860" t="s">
        <v>3184</v>
      </c>
      <c r="J10" s="254">
        <f>SUMIF(65:65,I10,66:66)-SUMIF(65:65,C10,66:66)+100</f>
        <v>100</v>
      </c>
      <c r="K10" s="863"/>
      <c r="L10" s="2136"/>
      <c r="M10" s="2176"/>
      <c r="N10" s="2176"/>
      <c r="O10" s="2137"/>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75" thickBot="1">
      <c r="A11" s="2940"/>
      <c r="B11" s="2944" t="s">
        <v>2763</v>
      </c>
      <c r="C11" s="532">
        <f>'比较法-住宅、综合'!C13</f>
        <v>1.94</v>
      </c>
      <c r="D11" s="254">
        <v>100</v>
      </c>
      <c r="E11" s="533">
        <v>1.01</v>
      </c>
      <c r="F11" s="862">
        <f>LOOKUP(E11,68:68,69:69)-LOOKUP(C11,68:68,69:69)+100</f>
        <v>103</v>
      </c>
      <c r="G11" s="532">
        <v>1</v>
      </c>
      <c r="H11" s="254">
        <f>LOOKUP(G11,68:68,69:69)-LOOKUP(C11,68:68,69:69)+100</f>
        <v>103</v>
      </c>
      <c r="I11" s="532">
        <v>1.05</v>
      </c>
      <c r="J11" s="254">
        <f>LOOKUP(I11,68:68,69:69)-LOOKUP(C11,68:68,69:69)+100</f>
        <v>103</v>
      </c>
      <c r="K11" s="863">
        <v>3</v>
      </c>
      <c r="L11" s="2138"/>
      <c r="M11" s="2132"/>
      <c r="N11" s="2132"/>
      <c r="O11" s="2139"/>
      <c r="P11" s="3431"/>
      <c r="Q11" s="1150" t="str">
        <f t="shared" si="6"/>
        <v>容积率</v>
      </c>
      <c r="R11" s="1567" t="s">
        <v>11</v>
      </c>
      <c r="S11" s="1568">
        <f t="shared" si="0"/>
        <v>103</v>
      </c>
      <c r="T11" s="1567" t="s">
        <v>11</v>
      </c>
      <c r="U11" s="1568">
        <f t="shared" si="1"/>
        <v>103</v>
      </c>
      <c r="V11" s="1567" t="s">
        <v>11</v>
      </c>
      <c r="W11" s="1568">
        <f t="shared" si="2"/>
        <v>103</v>
      </c>
      <c r="X11" s="1569"/>
      <c r="Y11" s="3388"/>
      <c r="Z11" s="1149" t="str">
        <f t="shared" si="7"/>
        <v>容积率</v>
      </c>
      <c r="AA11" s="1570">
        <f t="shared" si="3"/>
        <v>0.970873786407767</v>
      </c>
      <c r="AB11" s="1570">
        <f t="shared" si="4"/>
        <v>0.970873786407767</v>
      </c>
      <c r="AC11" s="1570">
        <f t="shared" si="5"/>
        <v>0.970873786407767</v>
      </c>
    </row>
    <row r="12" spans="1:29" s="1219"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31"/>
      <c r="Q12" s="1150">
        <f t="shared" si="6"/>
        <v>111</v>
      </c>
      <c r="R12" s="1567" t="s">
        <v>11</v>
      </c>
      <c r="S12" s="1568">
        <f t="shared" si="0"/>
        <v>100</v>
      </c>
      <c r="T12" s="1567" t="s">
        <v>11</v>
      </c>
      <c r="U12" s="1568">
        <f t="shared" si="1"/>
        <v>100</v>
      </c>
      <c r="V12" s="1567" t="s">
        <v>11</v>
      </c>
      <c r="W12" s="1568">
        <f t="shared" si="2"/>
        <v>100</v>
      </c>
      <c r="X12" s="1569"/>
      <c r="Y12" s="3388"/>
      <c r="Z12" s="1149">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31"/>
      <c r="Q13" s="1150">
        <f t="shared" si="6"/>
        <v>111</v>
      </c>
      <c r="R13" s="1567" t="s">
        <v>11</v>
      </c>
      <c r="S13" s="1568">
        <f t="shared" si="0"/>
        <v>100</v>
      </c>
      <c r="T13" s="1567" t="s">
        <v>11</v>
      </c>
      <c r="U13" s="1568">
        <f t="shared" si="1"/>
        <v>100</v>
      </c>
      <c r="V13" s="1567" t="s">
        <v>11</v>
      </c>
      <c r="W13" s="1568">
        <f t="shared" si="2"/>
        <v>100</v>
      </c>
      <c r="X13" s="1569"/>
      <c r="Y13" s="3388"/>
      <c r="Z13" s="1149">
        <f t="shared" si="7"/>
        <v>111</v>
      </c>
      <c r="AA13" s="1570">
        <f t="shared" si="3"/>
        <v>1</v>
      </c>
      <c r="AB13" s="1570">
        <f t="shared" si="4"/>
        <v>1</v>
      </c>
      <c r="AC13" s="1570">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31"/>
      <c r="Q14" s="1150">
        <f t="shared" si="6"/>
        <v>111</v>
      </c>
      <c r="R14" s="1567" t="s">
        <v>11</v>
      </c>
      <c r="S14" s="1568">
        <f t="shared" si="0"/>
        <v>100</v>
      </c>
      <c r="T14" s="1567" t="s">
        <v>11</v>
      </c>
      <c r="U14" s="1568">
        <f t="shared" si="1"/>
        <v>100</v>
      </c>
      <c r="V14" s="1567" t="s">
        <v>11</v>
      </c>
      <c r="W14" s="1568">
        <f t="shared" si="2"/>
        <v>100</v>
      </c>
      <c r="X14" s="1569"/>
      <c r="Y14" s="3388"/>
      <c r="Z14" s="1149">
        <f t="shared" si="7"/>
        <v>111</v>
      </c>
      <c r="AA14" s="1570">
        <f t="shared" si="3"/>
        <v>1</v>
      </c>
      <c r="AB14" s="1570">
        <f t="shared" si="4"/>
        <v>1</v>
      </c>
      <c r="AC14" s="1570">
        <f t="shared" si="5"/>
        <v>1</v>
      </c>
    </row>
    <row r="15" spans="1:29" ht="99.75">
      <c r="A15" s="2934" t="s">
        <v>2759</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40"/>
      <c r="M15" s="2132"/>
      <c r="N15" s="2132"/>
      <c r="O15" s="2139"/>
      <c r="P15" s="3433" t="s">
        <v>541</v>
      </c>
      <c r="Q15" s="1571" t="str">
        <f t="shared" si="6"/>
        <v>居住社区成熟度</v>
      </c>
      <c r="R15" s="1572" t="s">
        <v>11</v>
      </c>
      <c r="S15" s="1573">
        <f t="shared" si="0"/>
        <v>100</v>
      </c>
      <c r="T15" s="1572" t="s">
        <v>11</v>
      </c>
      <c r="U15" s="1573">
        <f t="shared" si="1"/>
        <v>100</v>
      </c>
      <c r="V15" s="1572" t="s">
        <v>11</v>
      </c>
      <c r="W15" s="1573">
        <f t="shared" si="2"/>
        <v>100</v>
      </c>
      <c r="X15" s="1566"/>
      <c r="Y15" s="3433" t="s">
        <v>541</v>
      </c>
      <c r="Z15" s="1574" t="str">
        <f t="shared" si="7"/>
        <v>居住社区成熟度</v>
      </c>
      <c r="AA15" s="1575">
        <f t="shared" si="3"/>
        <v>1</v>
      </c>
      <c r="AB15" s="1575">
        <f t="shared" si="4"/>
        <v>1</v>
      </c>
      <c r="AC15" s="1575">
        <f t="shared" si="5"/>
        <v>1</v>
      </c>
    </row>
    <row r="16" spans="1:29" ht="15">
      <c r="A16" s="531"/>
      <c r="B16" s="868"/>
      <c r="C16" s="575" t="s">
        <v>3150</v>
      </c>
      <c r="D16" s="554"/>
      <c r="E16" s="555" t="s">
        <v>3150</v>
      </c>
      <c r="F16" s="556"/>
      <c r="G16" s="557" t="s">
        <v>3150</v>
      </c>
      <c r="H16" s="558"/>
      <c r="I16" s="555" t="s">
        <v>3150</v>
      </c>
      <c r="J16" s="554"/>
      <c r="K16" s="869"/>
      <c r="L16" s="2140"/>
      <c r="M16" s="2132"/>
      <c r="N16" s="2132"/>
      <c r="O16" s="2139"/>
      <c r="P16" s="3434"/>
      <c r="Q16" s="1571"/>
      <c r="R16" s="1572"/>
      <c r="S16" s="1573"/>
      <c r="T16" s="1572"/>
      <c r="U16" s="1573"/>
      <c r="V16" s="1572"/>
      <c r="W16" s="1573"/>
      <c r="X16" s="1566"/>
      <c r="Y16" s="343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1"/>
      <c r="J17" s="564">
        <f>SUMIF(78:78,I18,79:79)-SUMIF(78:78,C18,79:79)+100</f>
        <v>102</v>
      </c>
      <c r="K17" s="867">
        <f>'比较法-住宅、综合'!K23</f>
        <v>2</v>
      </c>
      <c r="L17" s="2140"/>
      <c r="M17" s="2132"/>
      <c r="N17" s="2132"/>
      <c r="O17" s="2139"/>
      <c r="P17" s="3434"/>
      <c r="Q17" s="1571" t="str">
        <f>B17</f>
        <v>交通便捷度</v>
      </c>
      <c r="R17" s="1572" t="s">
        <v>11</v>
      </c>
      <c r="S17" s="1573">
        <f>F17</f>
        <v>100</v>
      </c>
      <c r="T17" s="1572" t="s">
        <v>11</v>
      </c>
      <c r="U17" s="1573">
        <f>H17</f>
        <v>102</v>
      </c>
      <c r="V17" s="1572" t="s">
        <v>11</v>
      </c>
      <c r="W17" s="1573">
        <f>J17</f>
        <v>102</v>
      </c>
      <c r="X17" s="1566"/>
      <c r="Y17" s="3434"/>
      <c r="Z17" s="1574" t="str">
        <f>Q17</f>
        <v>交通便捷度</v>
      </c>
      <c r="AA17" s="1575">
        <f t="shared" si="3"/>
        <v>1</v>
      </c>
      <c r="AB17" s="1575">
        <f t="shared" si="4"/>
        <v>0.98039215686274506</v>
      </c>
      <c r="AC17" s="1575">
        <f t="shared" si="5"/>
        <v>0.98039215686274506</v>
      </c>
    </row>
    <row r="18" spans="1:29" ht="15">
      <c r="A18" s="531"/>
      <c r="B18" s="594"/>
      <c r="C18" s="872" t="s">
        <v>3150</v>
      </c>
      <c r="D18" s="558"/>
      <c r="E18" s="567" t="s">
        <v>3150</v>
      </c>
      <c r="F18" s="562"/>
      <c r="G18" s="568" t="s">
        <v>3152</v>
      </c>
      <c r="H18" s="554"/>
      <c r="I18" s="567" t="s">
        <v>3152</v>
      </c>
      <c r="J18" s="554"/>
      <c r="K18" s="869"/>
      <c r="L18" s="2140"/>
      <c r="M18" s="2132"/>
      <c r="N18" s="2132"/>
      <c r="O18" s="2139"/>
      <c r="P18" s="3434"/>
      <c r="Q18" s="1571"/>
      <c r="R18" s="1572"/>
      <c r="S18" s="1573"/>
      <c r="T18" s="1572"/>
      <c r="U18" s="1573"/>
      <c r="V18" s="1572"/>
      <c r="W18" s="1573"/>
      <c r="X18" s="1566"/>
      <c r="Y18" s="3434"/>
      <c r="Z18" s="1574"/>
      <c r="AA18" s="1575">
        <v>1</v>
      </c>
      <c r="AB18" s="1575">
        <v>1</v>
      </c>
      <c r="AC18" s="1575">
        <v>1</v>
      </c>
    </row>
    <row r="19" spans="1:29" ht="42.75">
      <c r="A19" s="531"/>
      <c r="B19" s="2622" t="s">
        <v>2549</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f>'比较法-住宅、综合'!K29</f>
        <v>2</v>
      </c>
      <c r="L19" s="2140"/>
      <c r="M19" s="2132"/>
      <c r="N19" s="2132"/>
      <c r="O19" s="2139"/>
      <c r="P19" s="3434"/>
      <c r="Q19" s="1571" t="str">
        <f>B19</f>
        <v>公共配套设施</v>
      </c>
      <c r="R19" s="1572" t="s">
        <v>11</v>
      </c>
      <c r="S19" s="1573">
        <f>F19</f>
        <v>102</v>
      </c>
      <c r="T19" s="1572" t="s">
        <v>11</v>
      </c>
      <c r="U19" s="1573">
        <f>H19</f>
        <v>102</v>
      </c>
      <c r="V19" s="1572" t="s">
        <v>11</v>
      </c>
      <c r="W19" s="1573">
        <f>J19</f>
        <v>100</v>
      </c>
      <c r="X19" s="1566"/>
      <c r="Y19" s="3434"/>
      <c r="Z19" s="1574" t="str">
        <f>Q19</f>
        <v>公共配套设施</v>
      </c>
      <c r="AA19" s="1575">
        <f t="shared" si="3"/>
        <v>0.98039215686274506</v>
      </c>
      <c r="AB19" s="1575">
        <f t="shared" si="4"/>
        <v>0.98039215686274506</v>
      </c>
      <c r="AC19" s="1575">
        <f t="shared" si="5"/>
        <v>1</v>
      </c>
    </row>
    <row r="20" spans="1:29" ht="15">
      <c r="A20" s="531"/>
      <c r="B20" s="594"/>
      <c r="C20" s="575" t="s">
        <v>3150</v>
      </c>
      <c r="D20" s="554"/>
      <c r="E20" s="555" t="s">
        <v>3152</v>
      </c>
      <c r="F20" s="556"/>
      <c r="G20" s="557" t="s">
        <v>3152</v>
      </c>
      <c r="H20" s="554"/>
      <c r="I20" s="555" t="s">
        <v>3150</v>
      </c>
      <c r="J20" s="554"/>
      <c r="K20" s="869"/>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8.5">
      <c r="A21" s="531"/>
      <c r="B21" s="2615"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0"/>
      <c r="M21" s="2132"/>
      <c r="N21" s="2132"/>
      <c r="O21" s="2139"/>
      <c r="P21" s="3434"/>
      <c r="Q21" s="2601" t="str">
        <f>B21</f>
        <v>基础设施水平</v>
      </c>
      <c r="R21" s="1572" t="s">
        <v>11</v>
      </c>
      <c r="S21" s="1573">
        <f>F21</f>
        <v>100</v>
      </c>
      <c r="T21" s="1572" t="s">
        <v>11</v>
      </c>
      <c r="U21" s="1573">
        <f>H21</f>
        <v>100</v>
      </c>
      <c r="V21" s="1572" t="s">
        <v>11</v>
      </c>
      <c r="W21" s="1573">
        <f>J21</f>
        <v>100</v>
      </c>
      <c r="X21" s="2603"/>
      <c r="Y21" s="3434"/>
      <c r="Z21" s="2602" t="str">
        <f>Q21</f>
        <v>基础设施水平</v>
      </c>
      <c r="AA21" s="1575">
        <f t="shared" ref="AA21" si="8">D21/F21</f>
        <v>1</v>
      </c>
      <c r="AB21" s="1575">
        <f t="shared" ref="AB21" si="9">D21/H21</f>
        <v>1</v>
      </c>
      <c r="AC21" s="1575">
        <f t="shared" ref="AC21" si="10">D21/J21</f>
        <v>1</v>
      </c>
    </row>
    <row r="22" spans="1:29" ht="15">
      <c r="A22" s="531"/>
      <c r="B22" s="921"/>
      <c r="C22" s="872" t="s">
        <v>3173</v>
      </c>
      <c r="D22" s="554"/>
      <c r="E22" s="575" t="s">
        <v>3173</v>
      </c>
      <c r="F22" s="556"/>
      <c r="G22" s="575" t="s">
        <v>3173</v>
      </c>
      <c r="H22" s="554"/>
      <c r="I22" s="575" t="s">
        <v>3173</v>
      </c>
      <c r="J22" s="554"/>
      <c r="K22" s="2621"/>
      <c r="L22" s="2140"/>
      <c r="M22" s="2132"/>
      <c r="N22" s="2132"/>
      <c r="O22" s="2139"/>
      <c r="P22" s="3434"/>
      <c r="Q22" s="2601"/>
      <c r="R22" s="1572"/>
      <c r="S22" s="1573"/>
      <c r="T22" s="1572"/>
      <c r="U22" s="1573"/>
      <c r="V22" s="1572"/>
      <c r="W22" s="1573"/>
      <c r="X22" s="2603"/>
      <c r="Y22" s="3434"/>
      <c r="Z22" s="2602"/>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40"/>
      <c r="M23" s="2132"/>
      <c r="N23" s="2132"/>
      <c r="O23" s="2139"/>
      <c r="P23" s="3434"/>
      <c r="Q23" s="1571" t="str">
        <f>B23</f>
        <v>自然及人文环境</v>
      </c>
      <c r="R23" s="1572" t="s">
        <v>11</v>
      </c>
      <c r="S23" s="1573">
        <f>F23</f>
        <v>100</v>
      </c>
      <c r="T23" s="1572" t="s">
        <v>11</v>
      </c>
      <c r="U23" s="1573">
        <f>H23</f>
        <v>100</v>
      </c>
      <c r="V23" s="1572" t="s">
        <v>11</v>
      </c>
      <c r="W23" s="1573">
        <f>J23</f>
        <v>100</v>
      </c>
      <c r="X23" s="1566"/>
      <c r="Y23" s="3434"/>
      <c r="Z23" s="1574" t="str">
        <f>Q23</f>
        <v>自然及人文环境</v>
      </c>
      <c r="AA23" s="1575">
        <f t="shared" si="3"/>
        <v>1</v>
      </c>
      <c r="AB23" s="1575">
        <f t="shared" si="4"/>
        <v>1</v>
      </c>
      <c r="AC23" s="1575">
        <f t="shared" si="5"/>
        <v>1</v>
      </c>
    </row>
    <row r="24" spans="1:29" ht="15">
      <c r="A24" s="531"/>
      <c r="B24" s="594"/>
      <c r="C24" s="575" t="s">
        <v>3153</v>
      </c>
      <c r="D24" s="554"/>
      <c r="E24" s="555" t="s">
        <v>3153</v>
      </c>
      <c r="F24" s="556"/>
      <c r="G24" s="557" t="s">
        <v>3153</v>
      </c>
      <c r="H24" s="554"/>
      <c r="I24" s="555" t="s">
        <v>3153</v>
      </c>
      <c r="J24" s="554"/>
      <c r="K24" s="869"/>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hidden="1">
      <c r="A25" s="531"/>
      <c r="B25" s="1893" t="s">
        <v>2258</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4"/>
      <c r="Q25" s="1571" t="str">
        <f t="shared" ref="Q25:Q46" si="11">B25</f>
        <v>楼层-1</v>
      </c>
      <c r="R25" s="1572" t="s">
        <v>11</v>
      </c>
      <c r="S25" s="1573">
        <f>F25</f>
        <v>100</v>
      </c>
      <c r="T25" s="1572" t="s">
        <v>11</v>
      </c>
      <c r="U25" s="1573">
        <f>H25</f>
        <v>100</v>
      </c>
      <c r="V25" s="1572" t="s">
        <v>11</v>
      </c>
      <c r="W25" s="1573">
        <f>J25</f>
        <v>100</v>
      </c>
      <c r="X25" s="1566"/>
      <c r="Y25" s="3434"/>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4"/>
      <c r="Q26" s="1571" t="str">
        <f t="shared" si="11"/>
        <v>朝向</v>
      </c>
      <c r="R26" s="1572" t="s">
        <v>11</v>
      </c>
      <c r="S26" s="1573">
        <f>F26</f>
        <v>100</v>
      </c>
      <c r="T26" s="1572" t="s">
        <v>11</v>
      </c>
      <c r="U26" s="1573">
        <f>H26</f>
        <v>100</v>
      </c>
      <c r="V26" s="1572" t="s">
        <v>11</v>
      </c>
      <c r="W26" s="1573">
        <f>J26</f>
        <v>100</v>
      </c>
      <c r="X26" s="1566"/>
      <c r="Y26" s="3434"/>
      <c r="Z26" s="1574" t="str">
        <f>Q26</f>
        <v>朝向</v>
      </c>
      <c r="AA26" s="1575">
        <f t="shared" si="3"/>
        <v>1</v>
      </c>
      <c r="AB26" s="1575">
        <f t="shared" si="4"/>
        <v>1</v>
      </c>
      <c r="AC26" s="1575">
        <f t="shared" si="5"/>
        <v>1</v>
      </c>
    </row>
    <row r="27" spans="1:29" s="1219" customFormat="1" ht="15.75" thickBot="1">
      <c r="A27" s="535"/>
      <c r="B27" s="536" t="s">
        <v>725</v>
      </c>
      <c r="C27" s="3208" t="s">
        <v>3185</v>
      </c>
      <c r="D27" s="874">
        <v>100</v>
      </c>
      <c r="E27" s="3209" t="s">
        <v>3186</v>
      </c>
      <c r="F27" s="875">
        <f>SUMIF(90:90,E27,91:91)-SUMIF(90:90,C27,91:91)+100</f>
        <v>103</v>
      </c>
      <c r="G27" s="3210" t="s">
        <v>3230</v>
      </c>
      <c r="H27" s="874">
        <f>SUMIF(90:90,G27,91:91)-SUMIF(90:90,C27,91:91)+100</f>
        <v>102</v>
      </c>
      <c r="I27" s="3209" t="s">
        <v>3186</v>
      </c>
      <c r="J27" s="874">
        <f>SUMIF(90:90,I27,91:91)-SUMIF(90:90,C27,91:91)+100</f>
        <v>103</v>
      </c>
      <c r="K27" s="864"/>
      <c r="L27" s="2133"/>
      <c r="M27" s="2134"/>
      <c r="N27" s="2134"/>
      <c r="O27" s="2135"/>
      <c r="P27" s="3434"/>
      <c r="Q27" s="1150" t="str">
        <f t="shared" si="11"/>
        <v>道路级别</v>
      </c>
      <c r="R27" s="1567" t="s">
        <v>11</v>
      </c>
      <c r="S27" s="1568">
        <f>F27</f>
        <v>103</v>
      </c>
      <c r="T27" s="1567" t="s">
        <v>11</v>
      </c>
      <c r="U27" s="1568">
        <f>H27</f>
        <v>102</v>
      </c>
      <c r="V27" s="1567" t="s">
        <v>11</v>
      </c>
      <c r="W27" s="1568">
        <f>J27</f>
        <v>103</v>
      </c>
      <c r="X27" s="1569"/>
      <c r="Y27" s="3434"/>
      <c r="Z27" s="1149" t="str">
        <f>Q27</f>
        <v>道路级别</v>
      </c>
      <c r="AA27" s="1575">
        <f>D27/F27</f>
        <v>0.970873786407767</v>
      </c>
      <c r="AB27" s="1575">
        <f>D27/H27</f>
        <v>0.98039215686274506</v>
      </c>
      <c r="AC27" s="1575">
        <f>D27/J27</f>
        <v>0.970873786407767</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4"/>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4"/>
      <c r="Q29" s="1571">
        <f t="shared" si="11"/>
        <v>111</v>
      </c>
      <c r="R29" s="1572" t="s">
        <v>11</v>
      </c>
      <c r="S29" s="1573">
        <f t="shared" si="12"/>
        <v>100</v>
      </c>
      <c r="T29" s="1572" t="s">
        <v>11</v>
      </c>
      <c r="U29" s="1573">
        <f t="shared" si="13"/>
        <v>100</v>
      </c>
      <c r="V29" s="1572" t="s">
        <v>11</v>
      </c>
      <c r="W29" s="1573">
        <f t="shared" si="14"/>
        <v>100</v>
      </c>
      <c r="X29" s="1566"/>
      <c r="Y29" s="3434"/>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4"/>
      <c r="Q30" s="1571">
        <f t="shared" si="11"/>
        <v>111</v>
      </c>
      <c r="R30" s="1572" t="s">
        <v>11</v>
      </c>
      <c r="S30" s="1573">
        <f t="shared" si="12"/>
        <v>100</v>
      </c>
      <c r="T30" s="1572" t="s">
        <v>11</v>
      </c>
      <c r="U30" s="1573">
        <f t="shared" si="13"/>
        <v>100</v>
      </c>
      <c r="V30" s="1572" t="s">
        <v>11</v>
      </c>
      <c r="W30" s="1573">
        <f t="shared" si="14"/>
        <v>100</v>
      </c>
      <c r="X30" s="1566"/>
      <c r="Y30" s="3434"/>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4"/>
      <c r="Q31" s="1571">
        <f t="shared" si="11"/>
        <v>111</v>
      </c>
      <c r="R31" s="1572" t="s">
        <v>11</v>
      </c>
      <c r="S31" s="1573">
        <f t="shared" si="12"/>
        <v>100</v>
      </c>
      <c r="T31" s="1572" t="s">
        <v>11</v>
      </c>
      <c r="U31" s="1573">
        <f t="shared" si="13"/>
        <v>100</v>
      </c>
      <c r="V31" s="1572" t="s">
        <v>11</v>
      </c>
      <c r="W31" s="1573">
        <f t="shared" si="14"/>
        <v>100</v>
      </c>
      <c r="X31" s="1566"/>
      <c r="Y31" s="3434"/>
      <c r="Z31" s="1574">
        <f t="shared" si="15"/>
        <v>111</v>
      </c>
      <c r="AA31" s="1575">
        <f t="shared" si="3"/>
        <v>1</v>
      </c>
      <c r="AB31" s="1575">
        <f t="shared" si="4"/>
        <v>1</v>
      </c>
      <c r="AC31" s="1575">
        <f t="shared" si="5"/>
        <v>1</v>
      </c>
    </row>
    <row r="32" spans="1:29" ht="15">
      <c r="A32" s="2931" t="s">
        <v>2760</v>
      </c>
      <c r="B32" s="172" t="s">
        <v>726</v>
      </c>
      <c r="C32" s="877" t="s">
        <v>3137</v>
      </c>
      <c r="D32" s="596">
        <v>100</v>
      </c>
      <c r="E32" s="878" t="s">
        <v>3137</v>
      </c>
      <c r="F32" s="574">
        <f>SUMIF(100:100,E32,101:101)-SUMIF(100:100,C32,101:101)+100</f>
        <v>100</v>
      </c>
      <c r="G32" s="877" t="s">
        <v>3137</v>
      </c>
      <c r="H32" s="596">
        <f>SUMIF(100:100,G32,101:101)-SUMIF(100:100,C32,101:101)+100</f>
        <v>100</v>
      </c>
      <c r="I32" s="878" t="s">
        <v>3137</v>
      </c>
      <c r="J32" s="539">
        <f>SUMIF(100:100,I32,101:101)-SUMIF(100:100,C32,101:101)+100</f>
        <v>100</v>
      </c>
      <c r="K32" s="863">
        <v>5</v>
      </c>
      <c r="L32" s="2140"/>
      <c r="M32" s="2132"/>
      <c r="N32" s="2132"/>
      <c r="O32" s="2139"/>
      <c r="P32" s="3435" t="s">
        <v>551</v>
      </c>
      <c r="Q32" s="1571" t="str">
        <f t="shared" si="11"/>
        <v>建筑类型</v>
      </c>
      <c r="R32" s="1572" t="s">
        <v>11</v>
      </c>
      <c r="S32" s="1573">
        <f t="shared" si="12"/>
        <v>100</v>
      </c>
      <c r="T32" s="1572" t="s">
        <v>11</v>
      </c>
      <c r="U32" s="1573">
        <f t="shared" si="13"/>
        <v>100</v>
      </c>
      <c r="V32" s="1572" t="s">
        <v>11</v>
      </c>
      <c r="W32" s="1573">
        <f t="shared" si="14"/>
        <v>100</v>
      </c>
      <c r="X32" s="1566"/>
      <c r="Y32" s="3436" t="s">
        <v>551</v>
      </c>
      <c r="Z32" s="1574" t="str">
        <f t="shared" si="15"/>
        <v>建筑类型</v>
      </c>
      <c r="AA32" s="1575">
        <f t="shared" si="3"/>
        <v>1</v>
      </c>
      <c r="AB32" s="1575">
        <f t="shared" si="4"/>
        <v>1</v>
      </c>
      <c r="AC32" s="1575">
        <f t="shared" si="5"/>
        <v>1</v>
      </c>
    </row>
    <row r="33" spans="1:29" s="1338" customFormat="1" ht="15">
      <c r="A33" s="602"/>
      <c r="B33" s="526" t="s">
        <v>727</v>
      </c>
      <c r="C33" s="879">
        <f>'数据-基础表'!B3</f>
        <v>118125.52</v>
      </c>
      <c r="D33" s="254">
        <v>100</v>
      </c>
      <c r="E33" s="533">
        <v>414140</v>
      </c>
      <c r="F33" s="862">
        <f>LOOKUP(E33,103:103,104:104)-LOOKUP(C33,103:103,104:104)+100</f>
        <v>103</v>
      </c>
      <c r="G33" s="532">
        <v>172000</v>
      </c>
      <c r="H33" s="254">
        <f>LOOKUP(G33,103:103,104:104)-LOOKUP(C33,103:103,104:104)+100</f>
        <v>101</v>
      </c>
      <c r="I33" s="532">
        <v>426800</v>
      </c>
      <c r="J33" s="254">
        <f>LOOKUP(I33,103:103,104:104)-LOOKUP(C33,103:103,104:104)+100</f>
        <v>103</v>
      </c>
      <c r="K33" s="864"/>
      <c r="L33" s="2138"/>
      <c r="M33" s="2169"/>
      <c r="N33" s="2169"/>
      <c r="O33" s="2141"/>
      <c r="P33" s="3436"/>
      <c r="Q33" s="1604" t="str">
        <f t="shared" si="11"/>
        <v>项目建筑规模</v>
      </c>
      <c r="R33" s="1576" t="s">
        <v>11</v>
      </c>
      <c r="S33" s="1577">
        <f t="shared" si="12"/>
        <v>103</v>
      </c>
      <c r="T33" s="1576" t="s">
        <v>11</v>
      </c>
      <c r="U33" s="1577">
        <f t="shared" si="13"/>
        <v>101</v>
      </c>
      <c r="V33" s="1576" t="s">
        <v>11</v>
      </c>
      <c r="W33" s="1577">
        <f t="shared" si="14"/>
        <v>103</v>
      </c>
      <c r="X33" s="1578"/>
      <c r="Y33" s="3436"/>
      <c r="Z33" s="1579" t="str">
        <f t="shared" si="15"/>
        <v>项目建筑规模</v>
      </c>
      <c r="AA33" s="1575">
        <f t="shared" si="3"/>
        <v>0.970873786407767</v>
      </c>
      <c r="AB33" s="1575">
        <f t="shared" si="4"/>
        <v>0.99009900990099009</v>
      </c>
      <c r="AC33" s="1575">
        <f t="shared" si="5"/>
        <v>0.970873786407767</v>
      </c>
    </row>
    <row r="34" spans="1:29" ht="15">
      <c r="A34" s="593"/>
      <c r="B34" s="526" t="s">
        <v>728</v>
      </c>
      <c r="C34" s="880" t="s">
        <v>3190</v>
      </c>
      <c r="D34" s="539">
        <v>100</v>
      </c>
      <c r="E34" s="881" t="s">
        <v>3190</v>
      </c>
      <c r="F34" s="574">
        <f>SUMIF(105:105,E34,106:106)-SUMIF(105:105,C34,106:106)+100</f>
        <v>100</v>
      </c>
      <c r="G34" s="880" t="s">
        <v>3190</v>
      </c>
      <c r="H34" s="539">
        <f>SUMIF(105:105,G34,106:106)-SUMIF(105:105,C34,106:106)+100</f>
        <v>100</v>
      </c>
      <c r="I34" s="881" t="s">
        <v>3190</v>
      </c>
      <c r="J34" s="539">
        <f>SUMIF(105:105,I34,106:106)-SUMIF(105:105,C34,106:106)+100</f>
        <v>100</v>
      </c>
      <c r="K34" s="863"/>
      <c r="L34" s="2140"/>
      <c r="M34" s="2132"/>
      <c r="N34" s="2132"/>
      <c r="O34" s="2139"/>
      <c r="P34" s="3436"/>
      <c r="Q34" s="1571" t="str">
        <f t="shared" si="11"/>
        <v>建筑结构</v>
      </c>
      <c r="R34" s="1572" t="s">
        <v>11</v>
      </c>
      <c r="S34" s="1573">
        <f t="shared" si="12"/>
        <v>100</v>
      </c>
      <c r="T34" s="1572" t="s">
        <v>11</v>
      </c>
      <c r="U34" s="1573">
        <f t="shared" si="13"/>
        <v>100</v>
      </c>
      <c r="V34" s="1572" t="s">
        <v>11</v>
      </c>
      <c r="W34" s="1573">
        <f t="shared" si="14"/>
        <v>100</v>
      </c>
      <c r="X34" s="1566"/>
      <c r="Y34" s="3436"/>
      <c r="Z34" s="1574" t="str">
        <f t="shared" si="15"/>
        <v>建筑结构</v>
      </c>
      <c r="AA34" s="1575">
        <f t="shared" si="3"/>
        <v>1</v>
      </c>
      <c r="AB34" s="1575">
        <f t="shared" si="4"/>
        <v>1</v>
      </c>
      <c r="AC34" s="1575">
        <f t="shared" si="5"/>
        <v>1</v>
      </c>
    </row>
    <row r="35" spans="1:29" ht="15">
      <c r="A35" s="593"/>
      <c r="B35" s="526" t="s">
        <v>729</v>
      </c>
      <c r="C35" s="598" t="s">
        <v>3195</v>
      </c>
      <c r="D35" s="539">
        <v>100</v>
      </c>
      <c r="E35" s="873" t="s">
        <v>3195</v>
      </c>
      <c r="F35" s="574">
        <f>SUMIF(107:107,E35,108:108)-SUMIF(107:107,C35,108:108)+100</f>
        <v>100</v>
      </c>
      <c r="G35" s="598" t="s">
        <v>3195</v>
      </c>
      <c r="H35" s="539">
        <f>SUMIF(107:107,G35,108:108)-SUMIF(107:107,C35,108:108)+100</f>
        <v>100</v>
      </c>
      <c r="I35" s="873" t="s">
        <v>3195</v>
      </c>
      <c r="J35" s="539">
        <f>SUMIF(107:107,I35,108:108)-SUMIF(107:107,C35,108:108)+100</f>
        <v>100</v>
      </c>
      <c r="K35" s="863">
        <v>3</v>
      </c>
      <c r="L35" s="2140"/>
      <c r="M35" s="2132"/>
      <c r="N35" s="2132"/>
      <c r="O35" s="2139"/>
      <c r="P35" s="3436"/>
      <c r="Q35" s="1571" t="str">
        <f t="shared" si="11"/>
        <v>建筑品质</v>
      </c>
      <c r="R35" s="1572" t="s">
        <v>11</v>
      </c>
      <c r="S35" s="1573">
        <f t="shared" si="12"/>
        <v>100</v>
      </c>
      <c r="T35" s="1572" t="s">
        <v>11</v>
      </c>
      <c r="U35" s="1573">
        <f t="shared" si="13"/>
        <v>100</v>
      </c>
      <c r="V35" s="1572" t="s">
        <v>11</v>
      </c>
      <c r="W35" s="1573">
        <f t="shared" si="14"/>
        <v>100</v>
      </c>
      <c r="X35" s="1566"/>
      <c r="Y35" s="3436"/>
      <c r="Z35" s="1574" t="str">
        <f t="shared" si="15"/>
        <v>建筑品质</v>
      </c>
      <c r="AA35" s="1575">
        <f t="shared" si="3"/>
        <v>1</v>
      </c>
      <c r="AB35" s="1575">
        <f t="shared" si="4"/>
        <v>1</v>
      </c>
      <c r="AC35" s="1575">
        <f t="shared" si="5"/>
        <v>1</v>
      </c>
    </row>
    <row r="36" spans="1:29" ht="15">
      <c r="A36" s="593"/>
      <c r="B36" s="526" t="s">
        <v>730</v>
      </c>
      <c r="C36" s="598" t="s">
        <v>3198</v>
      </c>
      <c r="D36" s="539">
        <v>100</v>
      </c>
      <c r="E36" s="873" t="s">
        <v>3198</v>
      </c>
      <c r="F36" s="574">
        <f>SUMIF(109:109,E36,110:110)-SUMIF(109:109,C36,110:110)+100</f>
        <v>100</v>
      </c>
      <c r="G36" s="598" t="s">
        <v>3198</v>
      </c>
      <c r="H36" s="539">
        <f>SUMIF(109:109,G36,110:110)-SUMIF(109:109,C36,110:110)+100</f>
        <v>100</v>
      </c>
      <c r="I36" s="873" t="s">
        <v>3198</v>
      </c>
      <c r="J36" s="539">
        <f>SUMIF(109:109,I36,110:110)-SUMIF(109:109,C36,110:110)+100</f>
        <v>100</v>
      </c>
      <c r="K36" s="863"/>
      <c r="L36" s="2140"/>
      <c r="M36" s="2132"/>
      <c r="N36" s="2132"/>
      <c r="O36" s="2139"/>
      <c r="P36" s="3436"/>
      <c r="Q36" s="1571" t="str">
        <f t="shared" si="11"/>
        <v>公共部分装修</v>
      </c>
      <c r="R36" s="1572" t="s">
        <v>11</v>
      </c>
      <c r="S36" s="1573">
        <f t="shared" si="12"/>
        <v>100</v>
      </c>
      <c r="T36" s="1572" t="s">
        <v>11</v>
      </c>
      <c r="U36" s="1573">
        <f t="shared" si="13"/>
        <v>100</v>
      </c>
      <c r="V36" s="1572" t="s">
        <v>11</v>
      </c>
      <c r="W36" s="1573">
        <f t="shared" si="14"/>
        <v>100</v>
      </c>
      <c r="X36" s="1566"/>
      <c r="Y36" s="3436"/>
      <c r="Z36" s="1574" t="str">
        <f t="shared" si="15"/>
        <v>公共部分装修</v>
      </c>
      <c r="AA36" s="1575">
        <f t="shared" si="3"/>
        <v>1</v>
      </c>
      <c r="AB36" s="1575">
        <f t="shared" si="4"/>
        <v>1</v>
      </c>
      <c r="AC36" s="1575">
        <f t="shared" si="5"/>
        <v>1</v>
      </c>
    </row>
    <row r="37" spans="1:29" s="1219" customFormat="1" ht="15" hidden="1">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3"/>
      <c r="M37" s="2134"/>
      <c r="N37" s="2134"/>
      <c r="O37" s="2135"/>
      <c r="P37" s="3436"/>
      <c r="Q37" s="1150" t="str">
        <f t="shared" si="11"/>
        <v>成新度</v>
      </c>
      <c r="R37" s="1567" t="s">
        <v>11</v>
      </c>
      <c r="S37" s="1568">
        <f t="shared" si="12"/>
        <v>100</v>
      </c>
      <c r="T37" s="1567" t="s">
        <v>11</v>
      </c>
      <c r="U37" s="1568">
        <f t="shared" si="13"/>
        <v>100</v>
      </c>
      <c r="V37" s="1567" t="s">
        <v>11</v>
      </c>
      <c r="W37" s="1568">
        <f t="shared" si="14"/>
        <v>100</v>
      </c>
      <c r="X37" s="1569"/>
      <c r="Y37" s="3436"/>
      <c r="Z37" s="1149" t="str">
        <f t="shared" si="15"/>
        <v>成新度</v>
      </c>
      <c r="AA37" s="1570">
        <f t="shared" si="3"/>
        <v>1</v>
      </c>
      <c r="AB37" s="1570">
        <f t="shared" si="4"/>
        <v>1</v>
      </c>
      <c r="AC37" s="1570">
        <f t="shared" si="5"/>
        <v>1</v>
      </c>
    </row>
    <row r="38" spans="1:29" ht="15">
      <c r="A38" s="593"/>
      <c r="B38" s="526" t="s">
        <v>732</v>
      </c>
      <c r="C38" s="598" t="s">
        <v>3203</v>
      </c>
      <c r="D38" s="539">
        <v>100</v>
      </c>
      <c r="E38" s="873" t="s">
        <v>3203</v>
      </c>
      <c r="F38" s="574">
        <f>SUMIF(114:114,E38,115:115)-SUMIF(114:114,C38,115:115)+100</f>
        <v>100</v>
      </c>
      <c r="G38" s="598" t="s">
        <v>3203</v>
      </c>
      <c r="H38" s="539">
        <f>SUMIF(114:114,G38,115:115)-SUMIF(114:114,C38,115:115)+100</f>
        <v>100</v>
      </c>
      <c r="I38" s="873" t="s">
        <v>3203</v>
      </c>
      <c r="J38" s="539">
        <f>SUMIF(114:114,I38,115:115)-SUMIF(114:114,C38,115:115)+100</f>
        <v>100</v>
      </c>
      <c r="K38" s="863"/>
      <c r="L38" s="2140"/>
      <c r="M38" s="2132"/>
      <c r="N38" s="2132"/>
      <c r="O38" s="2139"/>
      <c r="P38" s="3436" t="s">
        <v>551</v>
      </c>
      <c r="Q38" s="1571" t="str">
        <f t="shared" si="11"/>
        <v>物业管理</v>
      </c>
      <c r="R38" s="1572" t="s">
        <v>11</v>
      </c>
      <c r="S38" s="1573">
        <f t="shared" si="12"/>
        <v>100</v>
      </c>
      <c r="T38" s="1572" t="s">
        <v>11</v>
      </c>
      <c r="U38" s="1573">
        <f t="shared" si="13"/>
        <v>100</v>
      </c>
      <c r="V38" s="1572" t="s">
        <v>11</v>
      </c>
      <c r="W38" s="1573">
        <f t="shared" si="14"/>
        <v>100</v>
      </c>
      <c r="X38" s="1566"/>
      <c r="Y38" s="3436" t="s">
        <v>551</v>
      </c>
      <c r="Z38" s="1574" t="str">
        <f t="shared" si="15"/>
        <v>物业管理</v>
      </c>
      <c r="AA38" s="1575">
        <f t="shared" si="3"/>
        <v>1</v>
      </c>
      <c r="AB38" s="1575">
        <f t="shared" si="4"/>
        <v>1</v>
      </c>
      <c r="AC38" s="1575">
        <f t="shared" si="5"/>
        <v>1</v>
      </c>
    </row>
    <row r="39" spans="1:29" ht="15">
      <c r="A39" s="593"/>
      <c r="B39" s="3243" t="s">
        <v>2567</v>
      </c>
      <c r="C39" s="3244" t="s">
        <v>3510</v>
      </c>
      <c r="D39" s="3245">
        <v>100</v>
      </c>
      <c r="E39" s="3244" t="s">
        <v>3510</v>
      </c>
      <c r="F39" s="3246">
        <f>SUMIF(116:116,E39,117:117)-SUMIF(116:116,C39,117:117)+100</f>
        <v>100</v>
      </c>
      <c r="G39" s="3244" t="s">
        <v>3510</v>
      </c>
      <c r="H39" s="3245">
        <f>SUMIF(116:116,G39,117:117)-SUMIF(116:116,C39,117:117)+100</f>
        <v>100</v>
      </c>
      <c r="I39" s="3244" t="s">
        <v>3510</v>
      </c>
      <c r="J39" s="3245">
        <f>SUMIF(116:116,I39,117:117)-SUMIF(116:116,C39,117:117)+100</f>
        <v>100</v>
      </c>
      <c r="K39" s="3247">
        <f>'比较法-住宅、综合'!K43</f>
        <v>1</v>
      </c>
      <c r="L39" s="2140"/>
      <c r="M39" s="2132"/>
      <c r="N39" s="2132"/>
      <c r="O39" s="2139"/>
      <c r="P39" s="3436"/>
      <c r="Q39" s="1571" t="str">
        <f t="shared" si="11"/>
        <v>市政基础设施</v>
      </c>
      <c r="R39" s="1572" t="s">
        <v>11</v>
      </c>
      <c r="S39" s="1573">
        <f t="shared" si="12"/>
        <v>100</v>
      </c>
      <c r="T39" s="1572" t="s">
        <v>11</v>
      </c>
      <c r="U39" s="1573">
        <f t="shared" si="13"/>
        <v>100</v>
      </c>
      <c r="V39" s="1572" t="s">
        <v>11</v>
      </c>
      <c r="W39" s="1573">
        <f t="shared" si="14"/>
        <v>100</v>
      </c>
      <c r="X39" s="1566"/>
      <c r="Y39" s="3436"/>
      <c r="Z39" s="1574" t="str">
        <f t="shared" si="15"/>
        <v>市政基础设施</v>
      </c>
      <c r="AA39" s="1575">
        <f t="shared" si="3"/>
        <v>1</v>
      </c>
      <c r="AB39" s="1575">
        <f t="shared" si="4"/>
        <v>1</v>
      </c>
      <c r="AC39" s="1575">
        <f t="shared" si="5"/>
        <v>1</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36"/>
      <c r="Q40" s="1571" t="str">
        <f t="shared" si="11"/>
        <v>房型</v>
      </c>
      <c r="R40" s="1572" t="s">
        <v>11</v>
      </c>
      <c r="S40" s="1573">
        <f t="shared" si="12"/>
        <v>100</v>
      </c>
      <c r="T40" s="1572" t="s">
        <v>11</v>
      </c>
      <c r="U40" s="1573">
        <f t="shared" si="13"/>
        <v>100</v>
      </c>
      <c r="V40" s="1572" t="s">
        <v>11</v>
      </c>
      <c r="W40" s="1573">
        <f t="shared" si="14"/>
        <v>100</v>
      </c>
      <c r="X40" s="1566"/>
      <c r="Y40" s="3436"/>
      <c r="Z40" s="1574" t="str">
        <f t="shared" si="15"/>
        <v>房型</v>
      </c>
      <c r="AA40" s="1575">
        <f t="shared" si="3"/>
        <v>1</v>
      </c>
      <c r="AB40" s="1575">
        <f t="shared" si="4"/>
        <v>1</v>
      </c>
      <c r="AC40" s="1575">
        <f t="shared" si="5"/>
        <v>1</v>
      </c>
    </row>
    <row r="41" spans="1:29" s="1338" customFormat="1" ht="28.5" hidden="1">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36"/>
      <c r="Q41" s="1604" t="str">
        <f t="shared" si="11"/>
        <v>单套/主力户型建筑面积</v>
      </c>
      <c r="R41" s="1576" t="s">
        <v>11</v>
      </c>
      <c r="S41" s="1577">
        <f t="shared" si="12"/>
        <v>100</v>
      </c>
      <c r="T41" s="1576" t="s">
        <v>11</v>
      </c>
      <c r="U41" s="1577">
        <f t="shared" si="13"/>
        <v>100</v>
      </c>
      <c r="V41" s="1576" t="s">
        <v>11</v>
      </c>
      <c r="W41" s="1577">
        <f t="shared" si="14"/>
        <v>100</v>
      </c>
      <c r="X41" s="1578"/>
      <c r="Y41" s="3436"/>
      <c r="Z41" s="1579" t="str">
        <f t="shared" si="15"/>
        <v>单套/主力户型建筑面积</v>
      </c>
      <c r="AA41" s="1575">
        <f t="shared" si="3"/>
        <v>1</v>
      </c>
      <c r="AB41" s="1575">
        <f t="shared" si="4"/>
        <v>1</v>
      </c>
      <c r="AC41" s="1575">
        <f t="shared" si="5"/>
        <v>1</v>
      </c>
    </row>
    <row r="42" spans="1:29" ht="15.75" thickBot="1">
      <c r="A42" s="593"/>
      <c r="B42" s="526" t="s">
        <v>735</v>
      </c>
      <c r="C42" s="598" t="s">
        <v>3201</v>
      </c>
      <c r="D42" s="539">
        <v>100</v>
      </c>
      <c r="E42" s="873" t="s">
        <v>3201</v>
      </c>
      <c r="F42" s="574">
        <f>SUMIF(122:122,E42,123:123)-SUMIF(122:122,C42,123:123)+100</f>
        <v>100</v>
      </c>
      <c r="G42" s="598" t="s">
        <v>3201</v>
      </c>
      <c r="H42" s="539">
        <f>SUMIF(122:122,G42,123:123)-SUMIF(122:122,C42,123:123)+100</f>
        <v>100</v>
      </c>
      <c r="I42" s="873" t="s">
        <v>3201</v>
      </c>
      <c r="J42" s="539">
        <f>SUMIF(122:122,I42,123:123)-SUMIF(122:122,C42,123:123)+100</f>
        <v>100</v>
      </c>
      <c r="K42" s="863"/>
      <c r="L42" s="2140"/>
      <c r="M42" s="2132"/>
      <c r="N42" s="2132"/>
      <c r="O42" s="2139"/>
      <c r="P42" s="3436"/>
      <c r="Q42" s="1571" t="str">
        <f t="shared" si="11"/>
        <v>内部装修</v>
      </c>
      <c r="R42" s="1572" t="s">
        <v>11</v>
      </c>
      <c r="S42" s="1573">
        <f t="shared" si="12"/>
        <v>100</v>
      </c>
      <c r="T42" s="1572" t="s">
        <v>11</v>
      </c>
      <c r="U42" s="1573">
        <f t="shared" si="13"/>
        <v>100</v>
      </c>
      <c r="V42" s="1572" t="s">
        <v>11</v>
      </c>
      <c r="W42" s="1573">
        <f t="shared" si="14"/>
        <v>100</v>
      </c>
      <c r="X42" s="1566"/>
      <c r="Y42" s="3436"/>
      <c r="Z42" s="1574" t="str">
        <f t="shared" si="15"/>
        <v>内部装修</v>
      </c>
      <c r="AA42" s="1575">
        <f t="shared" si="3"/>
        <v>1</v>
      </c>
      <c r="AB42" s="1575">
        <f t="shared" si="4"/>
        <v>1</v>
      </c>
      <c r="AC42" s="157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36"/>
      <c r="Q43" s="1571" t="str">
        <f t="shared" si="11"/>
        <v>内部装修维护情况</v>
      </c>
      <c r="R43" s="1572" t="s">
        <v>11</v>
      </c>
      <c r="S43" s="1573">
        <f t="shared" si="12"/>
        <v>100</v>
      </c>
      <c r="T43" s="1572" t="s">
        <v>11</v>
      </c>
      <c r="U43" s="1573">
        <f t="shared" si="13"/>
        <v>100</v>
      </c>
      <c r="V43" s="1572" t="s">
        <v>11</v>
      </c>
      <c r="W43" s="1573">
        <f t="shared" si="14"/>
        <v>100</v>
      </c>
      <c r="X43" s="1566"/>
      <c r="Y43" s="3436"/>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36"/>
      <c r="Q44" s="1150">
        <f t="shared" si="11"/>
        <v>111</v>
      </c>
      <c r="R44" s="1567" t="s">
        <v>11</v>
      </c>
      <c r="S44" s="1568">
        <f t="shared" si="12"/>
        <v>100</v>
      </c>
      <c r="T44" s="1567" t="s">
        <v>11</v>
      </c>
      <c r="U44" s="1568">
        <f t="shared" si="13"/>
        <v>100</v>
      </c>
      <c r="V44" s="1567" t="s">
        <v>11</v>
      </c>
      <c r="W44" s="1568">
        <f t="shared" si="14"/>
        <v>100</v>
      </c>
      <c r="X44" s="1569"/>
      <c r="Y44" s="3436"/>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6"/>
      <c r="Q45" s="1571">
        <f t="shared" si="11"/>
        <v>111</v>
      </c>
      <c r="R45" s="1572" t="s">
        <v>11</v>
      </c>
      <c r="S45" s="1573">
        <f t="shared" si="12"/>
        <v>100</v>
      </c>
      <c r="T45" s="1572" t="s">
        <v>11</v>
      </c>
      <c r="U45" s="1573">
        <f t="shared" si="13"/>
        <v>100</v>
      </c>
      <c r="V45" s="1572" t="s">
        <v>11</v>
      </c>
      <c r="W45" s="1573">
        <f t="shared" si="14"/>
        <v>100</v>
      </c>
      <c r="X45" s="1566"/>
      <c r="Y45" s="3436"/>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14"/>
      <c r="Q46" s="1571">
        <f t="shared" si="11"/>
        <v>111</v>
      </c>
      <c r="R46" s="1572" t="s">
        <v>10</v>
      </c>
      <c r="S46" s="1573">
        <f t="shared" si="12"/>
        <v>100</v>
      </c>
      <c r="T46" s="1572" t="s">
        <v>10</v>
      </c>
      <c r="U46" s="1573">
        <f t="shared" si="13"/>
        <v>100</v>
      </c>
      <c r="V46" s="1572" t="s">
        <v>10</v>
      </c>
      <c r="W46" s="1573">
        <f t="shared" si="14"/>
        <v>100</v>
      </c>
      <c r="X46" s="1566"/>
      <c r="Y46" s="3514"/>
      <c r="Z46" s="1574">
        <f t="shared" si="15"/>
        <v>111</v>
      </c>
      <c r="AA46" s="1575">
        <f t="shared" si="3"/>
        <v>1</v>
      </c>
      <c r="AB46" s="1575">
        <f t="shared" si="4"/>
        <v>1</v>
      </c>
      <c r="AC46" s="1575">
        <f t="shared" si="5"/>
        <v>1</v>
      </c>
    </row>
    <row r="47" spans="1:29" ht="15">
      <c r="A47" s="606" t="s">
        <v>737</v>
      </c>
      <c r="B47" s="886"/>
      <c r="C47" s="2649" t="s">
        <v>9</v>
      </c>
      <c r="D47" s="2650"/>
      <c r="E47" s="2651">
        <v>9300</v>
      </c>
      <c r="F47" s="2652"/>
      <c r="G47" s="2653">
        <v>9200</v>
      </c>
      <c r="H47" s="2654"/>
      <c r="I47" s="2651">
        <v>9000</v>
      </c>
      <c r="J47" s="2654"/>
      <c r="K47" s="1605"/>
      <c r="L47" s="2142"/>
      <c r="M47" s="2143"/>
      <c r="N47" s="2132"/>
      <c r="O47" s="2143"/>
      <c r="P47" s="3431" t="str">
        <f>A47</f>
        <v>成交单价（元/平方米）</v>
      </c>
      <c r="Q47" s="3431"/>
      <c r="R47" s="3513">
        <f>E47</f>
        <v>9300</v>
      </c>
      <c r="S47" s="3513"/>
      <c r="T47" s="3513">
        <f>G47</f>
        <v>9200</v>
      </c>
      <c r="U47" s="3513"/>
      <c r="V47" s="3513">
        <f>I47</f>
        <v>9000</v>
      </c>
      <c r="W47" s="3513"/>
      <c r="X47" s="1558"/>
      <c r="Y47" s="1580"/>
      <c r="Z47" s="1558"/>
      <c r="AA47" s="1558"/>
      <c r="AB47" s="1558"/>
      <c r="AC47" s="1558"/>
    </row>
    <row r="48" spans="1:29" ht="15.75" thickBot="1">
      <c r="A48" s="614" t="s">
        <v>2765</v>
      </c>
      <c r="B48" s="887"/>
      <c r="C48" s="2655">
        <f>R49</f>
        <v>8251</v>
      </c>
      <c r="D48" s="2656"/>
      <c r="E48" s="2657">
        <f>R48</f>
        <v>8344</v>
      </c>
      <c r="F48" s="2657"/>
      <c r="G48" s="2655">
        <f>T48</f>
        <v>8334</v>
      </c>
      <c r="H48" s="2656"/>
      <c r="I48" s="2657">
        <f>V48</f>
        <v>8075</v>
      </c>
      <c r="J48" s="2656"/>
      <c r="K48" s="1606"/>
      <c r="L48" s="2142"/>
      <c r="M48" s="2143"/>
      <c r="N48" s="2143"/>
      <c r="O48" s="2143"/>
      <c r="P48" s="3431" t="str">
        <f>A48</f>
        <v>比较价格（元/平方米）</v>
      </c>
      <c r="Q48" s="3431"/>
      <c r="R48" s="3513">
        <f>IF(F1="售价",ROUND(PRODUCT(R47,AA7:AA46),0),ROUND(PRODUCT(R47,AA7:AA46),1))</f>
        <v>8344</v>
      </c>
      <c r="S48" s="3513"/>
      <c r="T48" s="3513">
        <f>IF(F1="售价",ROUND(PRODUCT(T47,AB7:AB46),0),ROUND(PRODUCT(T47,AB7:AB46),1))</f>
        <v>8334</v>
      </c>
      <c r="U48" s="3513"/>
      <c r="V48" s="3513">
        <f>IF(F1="售价",ROUND(PRODUCT(V47,AC7:AC46),0),ROUND(PRODUCT(V47,AC7:AC46),1))</f>
        <v>8075</v>
      </c>
      <c r="W48" s="3513"/>
      <c r="X48" s="1558"/>
      <c r="Y48" s="1558"/>
      <c r="Z48" s="1558"/>
      <c r="AA48" s="1558"/>
      <c r="AB48" s="1558"/>
      <c r="AC48" s="1558"/>
    </row>
    <row r="49" spans="1:29" ht="15.75" thickBot="1">
      <c r="A49" s="620" t="s">
        <v>2937</v>
      </c>
      <c r="B49" s="621"/>
      <c r="C49" s="2658">
        <f>R49</f>
        <v>8251</v>
      </c>
      <c r="D49" s="2658"/>
      <c r="E49" s="2658"/>
      <c r="F49" s="2658"/>
      <c r="G49" s="2658"/>
      <c r="H49" s="2658"/>
      <c r="I49" s="2658"/>
      <c r="J49" s="2658"/>
      <c r="K49" s="1607"/>
      <c r="L49" s="2142"/>
      <c r="M49" s="2143"/>
      <c r="N49" s="2143"/>
      <c r="O49" s="2143"/>
      <c r="P49" s="3454" t="str">
        <f>A49</f>
        <v>估价对象XX用房的比较价格（楼面单价，元/平方米）</v>
      </c>
      <c r="Q49" s="3455"/>
      <c r="R49" s="3512">
        <f>IF(F1="售价",ROUND(AVERAGE(R48:V48),0),ROUND(AVERAGE(R48:V48),1))</f>
        <v>8251</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f>IF(E47&lt;E48,E48/E47-1,E47/E48-1)</f>
        <v>0.11457334611697023</v>
      </c>
      <c r="F52" s="626" t="str">
        <f>IF(OR(E52&gt;=0.3,E52&lt;=-0.3),"超过30%","")</f>
        <v/>
      </c>
      <c r="G52" s="625">
        <f>IF(G47&lt;G48,G48/G47-1,G47/G48-1)</f>
        <v>0.10391168706503473</v>
      </c>
      <c r="H52" s="626" t="str">
        <f>IF(OR(G52&gt;=0.3,G52&lt;=-0.3),"超过30%","")</f>
        <v/>
      </c>
      <c r="I52" s="625">
        <f>IF(I47&lt;I48,I48/I47-1,I47/I48-1)</f>
        <v>0.11455108359133126</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f>IF(E48&lt;G48,G48/E48-1,E48/G48-1)</f>
        <v>1.199904007679331E-3</v>
      </c>
      <c r="F53" s="626" t="str">
        <f>IF(OR(E53&gt;=0.2,E53&lt;=-0.2),"超过20%","")</f>
        <v/>
      </c>
      <c r="G53" s="625">
        <f>IF(G48&lt;I48,I48/G48-1,G48/I48-1)</f>
        <v>3.2074303405572824E-2</v>
      </c>
      <c r="H53" s="626" t="str">
        <f>IF(OR(G53&gt;=0.2,G53&lt;=-0.2),"超过20%","")</f>
        <v/>
      </c>
      <c r="I53" s="625">
        <f>IF(I48&lt;E48,E48/I48-1,I48/E48-1)</f>
        <v>3.3312693498452006E-2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560</v>
      </c>
      <c r="D54" s="627"/>
      <c r="E54" s="625">
        <f>IF(E47&lt;G47,G47/E47-1,E47/G47-1)</f>
        <v>1.0869565217391353E-2</v>
      </c>
      <c r="F54" s="626" t="str">
        <f>IF(OR(E54&gt;=0.3,E54&lt;=-0.3),"超过30%","")</f>
        <v/>
      </c>
      <c r="G54" s="625">
        <f>IF(G47&lt;I47,I47/G47-1,G47/I47-1)</f>
        <v>2.2222222222222143E-2</v>
      </c>
      <c r="H54" s="626" t="str">
        <f>IF(OR(G54&gt;=0.3,G54&lt;=-0.3),"超过30%","")</f>
        <v/>
      </c>
      <c r="I54" s="625">
        <f>IF(I47&lt;E47,E47/I47-1,I47/E47-1)</f>
        <v>3.3333333333333437E-2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530</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578</v>
      </c>
      <c r="B63" s="664" t="s">
        <v>535</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0（含）-1.5</v>
      </c>
      <c r="D67" s="681" t="str">
        <f t="shared" ref="D67:L67" si="18">D68&amp;"（含）"&amp;"-"&amp;E68</f>
        <v>1.5（含）-3</v>
      </c>
      <c r="E67" s="681" t="str">
        <f t="shared" si="18"/>
        <v>3（含）-4.5</v>
      </c>
      <c r="F67" s="681" t="str">
        <f t="shared" si="18"/>
        <v>4.5（含）-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1.5</v>
      </c>
      <c r="E68" s="540">
        <v>3</v>
      </c>
      <c r="F68" s="540">
        <v>4.5</v>
      </c>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8" customFormat="1" ht="15.75" hidden="1"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hidden="1"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hidden="1"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hidden="1" thickTop="1">
      <c r="A86" s="708"/>
      <c r="B86" s="1894" t="s">
        <v>2259</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hidden="1" thickTop="1">
      <c r="A88" s="708"/>
      <c r="B88" s="672" t="s">
        <v>747</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3204" t="s">
        <v>3154</v>
      </c>
      <c r="D90" s="3204" t="s">
        <v>3155</v>
      </c>
      <c r="E90" s="3204" t="s">
        <v>3157</v>
      </c>
      <c r="F90" s="3204" t="s">
        <v>3158</v>
      </c>
      <c r="G90" s="3204" t="s">
        <v>3159</v>
      </c>
      <c r="H90" s="3205" t="s">
        <v>3161</v>
      </c>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v>100</v>
      </c>
      <c r="D91" s="691">
        <v>99</v>
      </c>
      <c r="E91" s="691">
        <v>98</v>
      </c>
      <c r="F91" s="691">
        <v>97</v>
      </c>
      <c r="G91" s="691">
        <v>96</v>
      </c>
      <c r="H91" s="692">
        <v>95</v>
      </c>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552</v>
      </c>
      <c r="B100" s="664" t="s">
        <v>748</v>
      </c>
      <c r="C100" s="3203" t="s">
        <v>3187</v>
      </c>
      <c r="D100" s="3203" t="s">
        <v>3188</v>
      </c>
      <c r="E100" s="3203" t="s">
        <v>3189</v>
      </c>
      <c r="F100" s="3203" t="s">
        <v>3221</v>
      </c>
      <c r="G100" s="3203" t="s">
        <v>3222</v>
      </c>
      <c r="H100" s="3203" t="s">
        <v>3223</v>
      </c>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749</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50000</v>
      </c>
      <c r="E103" s="729">
        <v>100000</v>
      </c>
      <c r="F103" s="729">
        <v>150000</v>
      </c>
      <c r="G103" s="729">
        <v>200000</v>
      </c>
      <c r="H103" s="729">
        <v>250000</v>
      </c>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3204" t="s">
        <v>3191</v>
      </c>
      <c r="D105" s="3204" t="s">
        <v>3192</v>
      </c>
      <c r="E105" s="3205" t="s">
        <v>3193</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05" t="s">
        <v>3194</v>
      </c>
      <c r="D107" s="3205" t="s">
        <v>3196</v>
      </c>
      <c r="E107" s="3205" t="s">
        <v>3197</v>
      </c>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3204" t="s">
        <v>3199</v>
      </c>
      <c r="D109" s="3204" t="s">
        <v>3200</v>
      </c>
      <c r="E109" s="3204" t="s">
        <v>3202</v>
      </c>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754</v>
      </c>
      <c r="C114" s="3204" t="s">
        <v>3204</v>
      </c>
      <c r="D114" s="3204" t="s">
        <v>3205</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2559</v>
      </c>
      <c r="C116" s="3204" t="s">
        <v>3206</v>
      </c>
      <c r="D116" s="3204" t="s">
        <v>3207</v>
      </c>
      <c r="E116" s="3204" t="s">
        <v>3208</v>
      </c>
      <c r="F116" s="3204" t="s">
        <v>3209</v>
      </c>
      <c r="G116" s="3204" t="s">
        <v>3210</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hidden="1" thickTop="1">
      <c r="A118" s="734"/>
      <c r="B118" s="672" t="s">
        <v>755</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hidden="1" thickTop="1">
      <c r="A120" s="727"/>
      <c r="B120" s="672" t="s">
        <v>734</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hidden="1"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3204" t="s">
        <v>3199</v>
      </c>
      <c r="D122" s="3204" t="s">
        <v>3200</v>
      </c>
      <c r="E122" s="3204" t="s">
        <v>3202</v>
      </c>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hidden="1"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hidden="1"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0" sqref="C4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1727</v>
      </c>
      <c r="B1" s="737"/>
      <c r="C1" s="772" t="s">
        <v>3119</v>
      </c>
      <c r="D1" s="3156" t="s">
        <v>3212</v>
      </c>
      <c r="E1" s="2409" t="s">
        <v>2375</v>
      </c>
      <c r="F1" s="2410">
        <f ca="1">J53</f>
        <v>34.4</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1728</v>
      </c>
      <c r="B2" s="774">
        <f ca="1">C40+J29+L46</f>
        <v>5101</v>
      </c>
      <c r="C2" s="2055"/>
      <c r="D2" s="2053"/>
      <c r="E2" s="2054"/>
      <c r="F2" s="2054"/>
      <c r="G2" s="1589"/>
      <c r="H2" s="2055"/>
      <c r="I2" s="2055"/>
      <c r="J2" s="2055"/>
      <c r="K2" s="2056"/>
      <c r="L2" s="2055"/>
      <c r="M2" s="2055"/>
    </row>
    <row r="3" spans="1:33" ht="18" customHeight="1" thickBot="1">
      <c r="A3" s="832" t="s">
        <v>1729</v>
      </c>
      <c r="B3" s="833">
        <f ca="1">IF(ISERROR(B2*10000/F43),0,ROUND(B2*10000/F43,0))</f>
        <v>8637</v>
      </c>
      <c r="C3" s="2055"/>
      <c r="D3" s="2053"/>
      <c r="E3" s="2054"/>
      <c r="F3" s="2054"/>
      <c r="G3" s="1589"/>
      <c r="H3" s="775" t="s">
        <v>696</v>
      </c>
      <c r="I3" s="1362"/>
      <c r="J3" s="1362"/>
      <c r="K3" s="1590"/>
      <c r="L3" s="1362"/>
      <c r="M3" s="1362"/>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2460</v>
      </c>
      <c r="C5" s="55">
        <f ca="1">C6+C10+C12</f>
        <v>320</v>
      </c>
      <c r="D5" s="2518" t="s">
        <v>2463</v>
      </c>
      <c r="E5" s="2512"/>
      <c r="F5" s="2513"/>
      <c r="G5" s="1591"/>
      <c r="H5" s="780">
        <v>1</v>
      </c>
      <c r="I5" s="781" t="s">
        <v>2460</v>
      </c>
      <c r="J5" s="55">
        <f ca="1">J6+J10+J12</f>
        <v>0</v>
      </c>
      <c r="K5" s="2518" t="s">
        <v>2463</v>
      </c>
      <c r="L5" s="2512"/>
      <c r="M5" s="2513"/>
    </row>
    <row r="6" spans="1:33" ht="18" customHeight="1">
      <c r="A6" s="1829" t="s">
        <v>1826</v>
      </c>
      <c r="B6" s="3494" t="s">
        <v>2465</v>
      </c>
      <c r="C6" s="782">
        <f ca="1">ROUND(F6*F8*F7*(1-F9)/10000,0)</f>
        <v>319</v>
      </c>
      <c r="D6" s="2519" t="s">
        <v>2464</v>
      </c>
      <c r="E6" s="783" t="s">
        <v>1740</v>
      </c>
      <c r="F6" s="784">
        <f ca="1">INDIRECT("'数据-取费表'!u"&amp;$G$1)</f>
        <v>60</v>
      </c>
      <c r="G6" s="1591"/>
      <c r="H6" s="2526" t="s">
        <v>2471</v>
      </c>
      <c r="I6" s="3494" t="s">
        <v>2465</v>
      </c>
      <c r="J6" s="782">
        <f ca="1">ROUND(M6*M8*M7*(1-M9)/10000,0)</f>
        <v>0</v>
      </c>
      <c r="K6" s="340" t="s">
        <v>1739</v>
      </c>
      <c r="L6" s="783" t="s">
        <v>1740</v>
      </c>
      <c r="M6" s="784">
        <f ca="1">INDIRECT("'数据-取费表'!z"&amp;$G$1)</f>
        <v>0</v>
      </c>
    </row>
    <row r="7" spans="1:33" ht="18" customHeight="1">
      <c r="A7" s="2522"/>
      <c r="B7" s="3495"/>
      <c r="C7" s="787"/>
      <c r="D7" s="788"/>
      <c r="E7" s="783" t="s">
        <v>1741</v>
      </c>
      <c r="F7" s="784">
        <f ca="1">IF(INDIRECT("'数据-取费表'!ah"&amp;$G$1)="",INDIRECT("'数据-取费表'!k"&amp;$G$1),INDIRECT("'数据-取费表'!ah"&amp;$G$1))</f>
        <v>5906.2800000000125</v>
      </c>
      <c r="G7" s="1591"/>
      <c r="H7" s="2511"/>
      <c r="I7" s="3495"/>
      <c r="J7" s="787"/>
      <c r="K7" s="788"/>
      <c r="L7" s="783" t="s">
        <v>1741</v>
      </c>
      <c r="M7" s="784">
        <f ca="1">F7</f>
        <v>5906.2800000000125</v>
      </c>
    </row>
    <row r="8" spans="1:33" ht="18" customHeight="1">
      <c r="A8" s="2515"/>
      <c r="B8" s="3496"/>
      <c r="C8" s="787"/>
      <c r="D8" s="788"/>
      <c r="E8" s="783" t="s">
        <v>1742</v>
      </c>
      <c r="F8" s="784">
        <f ca="1">INDIRECT("'数据-取费表'!ai"&amp;$G$1)</f>
        <v>12</v>
      </c>
      <c r="G8" s="1591"/>
      <c r="H8" s="2511"/>
      <c r="I8" s="3496"/>
      <c r="J8" s="787"/>
      <c r="K8" s="788"/>
      <c r="L8" s="783" t="s">
        <v>1742</v>
      </c>
      <c r="M8" s="784">
        <f ca="1">INDIRECT("'数据-取费表'!ai"&amp;$G$1)</f>
        <v>12</v>
      </c>
    </row>
    <row r="9" spans="1:33" ht="18" customHeight="1">
      <c r="A9" s="785"/>
      <c r="B9" s="3497"/>
      <c r="C9" s="787"/>
      <c r="D9" s="788"/>
      <c r="E9" s="783" t="s">
        <v>1743</v>
      </c>
      <c r="F9" s="793">
        <f ca="1">INDIRECT("'数据-取费表'!w"&amp;$G$1)</f>
        <v>0.25</v>
      </c>
      <c r="G9" s="1591"/>
      <c r="H9" s="2527"/>
      <c r="I9" s="3496"/>
      <c r="J9" s="787"/>
      <c r="K9" s="788"/>
      <c r="L9" s="794" t="s">
        <v>1743</v>
      </c>
      <c r="M9" s="795">
        <f ca="1">INDIRECT("'数据-取费表'!ab"&amp;$G$1)</f>
        <v>0</v>
      </c>
    </row>
    <row r="10" spans="1:33" ht="18" customHeight="1">
      <c r="A10" s="1829" t="s">
        <v>2469</v>
      </c>
      <c r="B10" s="2516" t="s">
        <v>2461</v>
      </c>
      <c r="C10" s="798">
        <f ca="1">ROUND(IF(F10="押一",F6*F8*F7/12*F11,IF(F10="押二",F6*F8*F7/12*2*F11,IF(F10="押三",F6*F8*F7/12*3*F11,C11*F11)))/10000,0)</f>
        <v>1</v>
      </c>
      <c r="D10" s="2523" t="s">
        <v>2468</v>
      </c>
      <c r="E10" s="2520" t="s">
        <v>2466</v>
      </c>
      <c r="F10" s="2643" t="s">
        <v>3211</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1744</v>
      </c>
      <c r="C13" s="791">
        <f ca="1">ROUND(C29*F13,0)</f>
        <v>1865</v>
      </c>
      <c r="D13" s="1833" t="s">
        <v>2299</v>
      </c>
      <c r="E13" s="1833" t="s">
        <v>1746</v>
      </c>
      <c r="F13" s="2558">
        <f ca="1">INDIRECT("'数据-取费表'!y"&amp;$G$1)</f>
        <v>1</v>
      </c>
      <c r="G13" s="1591"/>
      <c r="H13" s="1828">
        <v>2</v>
      </c>
      <c r="I13" s="1826" t="s">
        <v>1744</v>
      </c>
      <c r="J13" s="1818">
        <f ca="1">ROUND(J14*J15,0)</f>
        <v>0</v>
      </c>
      <c r="K13" s="1820" t="s">
        <v>1745</v>
      </c>
      <c r="L13" s="2574"/>
      <c r="M13" s="2575"/>
    </row>
    <row r="14" spans="1:33" ht="18" customHeight="1">
      <c r="A14" s="1647" t="s">
        <v>1886</v>
      </c>
      <c r="B14" s="783" t="s">
        <v>646</v>
      </c>
      <c r="C14" s="803">
        <f ca="1">INDIRECT("'数据-取费表'!m"&amp;$G$1)+INDIRECT("'数据-取费表'!t"&amp;$G$1)</f>
        <v>1181</v>
      </c>
      <c r="D14" s="1977" t="s">
        <v>1747</v>
      </c>
      <c r="E14" s="1978"/>
      <c r="F14" s="804"/>
      <c r="G14" s="1591"/>
      <c r="H14" s="1648" t="s">
        <v>1832</v>
      </c>
      <c r="I14" s="2229" t="s">
        <v>2831</v>
      </c>
      <c r="J14" s="53">
        <f ca="1">C29</f>
        <v>1865</v>
      </c>
      <c r="K14" s="26"/>
      <c r="L14" s="800"/>
      <c r="M14" s="801"/>
    </row>
    <row r="15" spans="1:33" s="2062" customFormat="1" ht="18" customHeight="1" thickBot="1">
      <c r="A15" s="1647" t="s">
        <v>1887</v>
      </c>
      <c r="B15" s="783" t="s">
        <v>648</v>
      </c>
      <c r="C15" s="53">
        <f ca="1">ROUND(C14*F15,0)</f>
        <v>47</v>
      </c>
      <c r="D15" s="805" t="s">
        <v>1748</v>
      </c>
      <c r="E15" s="805" t="s">
        <v>1749</v>
      </c>
      <c r="F15" s="806">
        <f>'数据-取费表'!B33</f>
        <v>0.04</v>
      </c>
      <c r="G15" s="1592"/>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8" t="s">
        <v>1750</v>
      </c>
      <c r="I16" s="1826" t="s">
        <v>1751</v>
      </c>
      <c r="J16" s="791">
        <f ca="1">ROUND(J17+J22+J23+J24,0)</f>
        <v>188</v>
      </c>
      <c r="K16" s="1820" t="s">
        <v>1752</v>
      </c>
      <c r="L16" s="2508"/>
      <c r="M16" s="2513"/>
    </row>
    <row r="17" spans="1:33" s="2062" customFormat="1" ht="18" customHeight="1">
      <c r="A17" s="1647" t="s">
        <v>1889</v>
      </c>
      <c r="B17" s="783" t="s">
        <v>654</v>
      </c>
      <c r="C17" s="53">
        <f ca="1">ROUND(F17*(F43+INDIRECT("'数据-取费表'!S"&amp;$G$1))/10000,0)</f>
        <v>118</v>
      </c>
      <c r="D17" s="783" t="s">
        <v>1753</v>
      </c>
      <c r="E17" s="783" t="s">
        <v>1754</v>
      </c>
      <c r="F17" s="56">
        <f>'数据-取费表'!B35</f>
        <v>200</v>
      </c>
      <c r="G17" s="1592"/>
      <c r="H17" s="1648" t="s">
        <v>1832</v>
      </c>
      <c r="I17" s="783" t="s">
        <v>657</v>
      </c>
      <c r="J17" s="53">
        <f ca="1">ROUND(IF(项目基本情况!B11="自然人",J5*M17,J18+J19+J20),0)</f>
        <v>160</v>
      </c>
      <c r="K17" s="2507" t="s">
        <v>1755</v>
      </c>
      <c r="L17" s="2506" t="s">
        <v>1756</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1890</v>
      </c>
      <c r="B18" s="783" t="s">
        <v>660</v>
      </c>
      <c r="C18" s="53">
        <f ca="1">ROUND(C14*F18,0)</f>
        <v>18</v>
      </c>
      <c r="D18" s="783" t="s">
        <v>1748</v>
      </c>
      <c r="E18" s="783" t="s">
        <v>1749</v>
      </c>
      <c r="F18" s="808">
        <f>'数据-取费表'!B36</f>
        <v>1.4999999999999999E-2</v>
      </c>
      <c r="G18" s="1592"/>
      <c r="H18" s="1647" t="s">
        <v>1886</v>
      </c>
      <c r="I18" s="783" t="s">
        <v>1757</v>
      </c>
      <c r="J18" s="53">
        <f ca="1">ROUND(J5*M18/1.05,1)</f>
        <v>0</v>
      </c>
      <c r="K18" s="2506" t="s">
        <v>1758</v>
      </c>
      <c r="L18" s="783" t="s">
        <v>1749</v>
      </c>
      <c r="M18" s="808">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1832</v>
      </c>
      <c r="B19" s="783" t="s">
        <v>663</v>
      </c>
      <c r="C19" s="53">
        <f ca="1">SUM(C14:C18)</f>
        <v>1364</v>
      </c>
      <c r="D19" s="260" t="s">
        <v>1759</v>
      </c>
      <c r="E19" s="1980"/>
      <c r="F19" s="56"/>
      <c r="G19" s="1591"/>
      <c r="H19" s="1647" t="s">
        <v>1887</v>
      </c>
      <c r="I19" s="783" t="s">
        <v>1760</v>
      </c>
      <c r="J19" s="53">
        <f ca="1">IF(K19="按租金收入计税",ROUND(J5*M19,1),ROUND(C29*F33*0.7,1))</f>
        <v>156.69999999999999</v>
      </c>
      <c r="K19" s="810" t="s">
        <v>666</v>
      </c>
      <c r="L19" s="783" t="s">
        <v>1749</v>
      </c>
      <c r="M19" s="808">
        <f>IF(K19="按租金收入计税",'数据-取费表'!B51,'数据-取费表'!B50)</f>
        <v>1.2E-2</v>
      </c>
    </row>
    <row r="20" spans="1:33" s="2062" customFormat="1" ht="18" customHeight="1">
      <c r="A20" s="1648" t="s">
        <v>1891</v>
      </c>
      <c r="B20" s="783" t="s">
        <v>667</v>
      </c>
      <c r="C20" s="53">
        <f ca="1">ROUND(C19*F20,0)</f>
        <v>14</v>
      </c>
      <c r="D20" s="811" t="s">
        <v>1761</v>
      </c>
      <c r="E20" s="783" t="s">
        <v>1749</v>
      </c>
      <c r="F20" s="808">
        <f>'数据-取费表'!B37</f>
        <v>0.01</v>
      </c>
      <c r="G20" s="1592"/>
      <c r="H20" s="1650" t="s">
        <v>1882</v>
      </c>
      <c r="I20" s="340" t="s">
        <v>1762</v>
      </c>
      <c r="J20" s="54">
        <f ca="1">ROUND(M20*M21/10000,0)</f>
        <v>3</v>
      </c>
      <c r="K20" s="813" t="s">
        <v>1763</v>
      </c>
      <c r="L20" s="783" t="s">
        <v>1764</v>
      </c>
      <c r="M20" s="639">
        <f>'数据-取费表'!B52</f>
        <v>10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1892</v>
      </c>
      <c r="B21" s="783" t="s">
        <v>1765</v>
      </c>
      <c r="C21" s="53" t="s">
        <v>1766</v>
      </c>
      <c r="D21" s="811" t="s">
        <v>2300</v>
      </c>
      <c r="E21" s="783" t="s">
        <v>1767</v>
      </c>
      <c r="F21" s="808">
        <f>'数据-取费表'!B38</f>
        <v>0.02</v>
      </c>
      <c r="G21" s="1592"/>
      <c r="H21" s="2528"/>
      <c r="I21" s="792"/>
      <c r="J21" s="69"/>
      <c r="K21" s="815"/>
      <c r="L21" s="783" t="s">
        <v>1768</v>
      </c>
      <c r="M21" s="784">
        <f ca="1">INDIRECT("'数据-取费表'!r"&amp;$G$1)</f>
        <v>3037.95</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1893</v>
      </c>
      <c r="B22" s="783" t="s">
        <v>1769</v>
      </c>
      <c r="C22" s="53"/>
      <c r="D22" s="2594" t="str">
        <f>IF(F23&lt;=1,"单利计息。","复利计息。")&amp;"建造成本、管理费用、销售费用产生的利息。"</f>
        <v>复利计息。建造成本、管理费用、销售费用产生的利息。</v>
      </c>
      <c r="E22" s="1980"/>
      <c r="F22" s="56"/>
      <c r="G22" s="1591"/>
      <c r="H22" s="1648" t="s">
        <v>1891</v>
      </c>
      <c r="I22" s="783" t="s">
        <v>1770</v>
      </c>
      <c r="J22" s="53">
        <f ca="1">ROUND(J14*M22,0)</f>
        <v>28</v>
      </c>
      <c r="K22" s="2506" t="s">
        <v>1771</v>
      </c>
      <c r="L22" s="783" t="s">
        <v>1749</v>
      </c>
      <c r="M22" s="816">
        <f ca="1">INDIRECT("'数据-取费表'!Ak"&amp;$G$1)</f>
        <v>1.4999999999999999E-2</v>
      </c>
    </row>
    <row r="23" spans="1:33" s="2062" customFormat="1" ht="18" customHeight="1">
      <c r="A23" s="1647" t="s">
        <v>1833</v>
      </c>
      <c r="B23" s="783" t="s">
        <v>2538</v>
      </c>
      <c r="C23" s="53">
        <f ca="1">ROUND(IF('数据-取费表'!B22&lt;=1,(C19+C20)*F24*F23/2,(C19+C20)*(POWER((1+F24),F23/2)-1)),0)</f>
        <v>65</v>
      </c>
      <c r="D23" s="2593" t="str">
        <f>IF(F23&lt;=1,"(建造成本+管理费用)×利率×(建设周期÷2)","(建造成本+管理费用)×((1+利率)^(建设周期÷2)-1)")</f>
        <v>(建造成本+管理费用)×((1+利率)^(建设周期÷2)-1)</v>
      </c>
      <c r="E23" s="783" t="s">
        <v>1772</v>
      </c>
      <c r="F23" s="639">
        <f>'数据-取费表'!B20</f>
        <v>2</v>
      </c>
      <c r="G23" s="1592"/>
      <c r="H23" s="1648" t="s">
        <v>1892</v>
      </c>
      <c r="I23" s="783" t="s">
        <v>680</v>
      </c>
      <c r="J23" s="53">
        <f ca="1">ROUND(J13*M23,0)</f>
        <v>0</v>
      </c>
      <c r="K23" s="2506" t="s">
        <v>1773</v>
      </c>
      <c r="L23" s="783" t="s">
        <v>1749</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1834</v>
      </c>
      <c r="B24" s="783" t="s">
        <v>1774</v>
      </c>
      <c r="C24" s="53">
        <f ca="1">ROUND(IF('数据-取费表'!B22&lt;=1,F21*F24*F23/2,F21*(POWER((1+F24),F23/2)-1)),4)</f>
        <v>1E-3</v>
      </c>
      <c r="D24" s="2593" t="str">
        <f>IF(F23&lt;=1,"销售费用×利率×(建设周期÷2)","销售费用×((1+利率)^(建设周期÷2)-1)")</f>
        <v>销售费用×((1+利率)^(建设周期÷2)-1)</v>
      </c>
      <c r="E24" s="783" t="s">
        <v>1775</v>
      </c>
      <c r="F24" s="818">
        <f ca="1">'数据-取费表'!B40</f>
        <v>4.7500000000000001E-2</v>
      </c>
      <c r="G24" s="1592"/>
      <c r="H24" s="2573" t="s">
        <v>1893</v>
      </c>
      <c r="I24" s="2568" t="s">
        <v>667</v>
      </c>
      <c r="J24" s="2566">
        <f ca="1">ROUND(J5*M24,0)</f>
        <v>0</v>
      </c>
      <c r="K24" s="2567" t="s">
        <v>1776</v>
      </c>
      <c r="L24" s="2568" t="s">
        <v>1749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1842</v>
      </c>
      <c r="B25" s="783" t="s">
        <v>685</v>
      </c>
      <c r="C25" s="53"/>
      <c r="D25" s="260" t="s">
        <v>1777</v>
      </c>
      <c r="E25" s="1980"/>
      <c r="F25" s="56"/>
      <c r="G25" s="1591"/>
      <c r="H25" s="1828" t="s">
        <v>1778</v>
      </c>
      <c r="I25" s="3034" t="s">
        <v>2827</v>
      </c>
      <c r="J25" s="791">
        <f ca="1">J5-J16</f>
        <v>-188</v>
      </c>
      <c r="K25" s="2570" t="s">
        <v>1779</v>
      </c>
      <c r="L25" s="2571"/>
      <c r="M25" s="2572"/>
    </row>
    <row r="26" spans="1:33" ht="18" customHeight="1">
      <c r="A26" s="1647" t="s">
        <v>1833</v>
      </c>
      <c r="B26" s="783" t="s">
        <v>2439</v>
      </c>
      <c r="C26" s="53">
        <f ca="1">ROUND((C19+C20)*F26,0)</f>
        <v>276</v>
      </c>
      <c r="D26" s="811" t="s">
        <v>1780</v>
      </c>
      <c r="E26" s="794" t="s">
        <v>1781</v>
      </c>
      <c r="F26" s="793">
        <f ca="1">INDIRECT("'数据-取费表'!q"&amp;$G$1)</f>
        <v>0.2</v>
      </c>
      <c r="G26" s="1591"/>
      <c r="H26" s="2524" t="s">
        <v>1782</v>
      </c>
      <c r="I26" s="2230" t="s">
        <v>2832</v>
      </c>
      <c r="J26" s="782">
        <f ca="1">IF(J5&lt;&gt;0,ROUND(J25*(1-((1+M28)/(1+M26))^M27)/(M26-M28),0),0)</f>
        <v>0</v>
      </c>
      <c r="K26" s="813" t="s">
        <v>1783</v>
      </c>
      <c r="L26" s="783" t="s">
        <v>2420</v>
      </c>
      <c r="M26" s="793">
        <f ca="1">INDIRECT("'数据-取费表'!I"&amp;$G$1)</f>
        <v>5.5E-2</v>
      </c>
    </row>
    <row r="27" spans="1:33" ht="18" customHeight="1">
      <c r="A27" s="1647" t="s">
        <v>1834</v>
      </c>
      <c r="B27" s="783" t="s">
        <v>687</v>
      </c>
      <c r="C27" s="53">
        <f ca="1">ROUND(F21*F26,4)</f>
        <v>4.0000000000000001E-3</v>
      </c>
      <c r="D27" s="811" t="s">
        <v>1784</v>
      </c>
      <c r="E27" s="805"/>
      <c r="F27" s="806"/>
      <c r="G27" s="1591"/>
      <c r="H27" s="2525"/>
      <c r="I27" s="786"/>
      <c r="J27" s="787"/>
      <c r="K27" s="820" t="s">
        <v>1785</v>
      </c>
      <c r="L27" s="783" t="s">
        <v>1786</v>
      </c>
      <c r="M27" s="821">
        <f ca="1">INDIRECT("'数据-取费表'!ag"&amp;$G$1)</f>
        <v>0</v>
      </c>
    </row>
    <row r="28" spans="1:33" s="2062" customFormat="1" ht="18" customHeight="1">
      <c r="A28" s="1649" t="s">
        <v>1843</v>
      </c>
      <c r="B28" s="783" t="s">
        <v>688</v>
      </c>
      <c r="C28" s="53">
        <f>ROUND(F28/(1+'数据-取费表'!C42),4)</f>
        <v>5.33E-2</v>
      </c>
      <c r="D28" s="811" t="s">
        <v>2301</v>
      </c>
      <c r="E28" s="783" t="s">
        <v>1787</v>
      </c>
      <c r="F28" s="808">
        <f>'数据-取费表'!B41</f>
        <v>5.6000000000000001E-2</v>
      </c>
      <c r="G28" s="1592"/>
      <c r="H28" s="1828"/>
      <c r="I28" s="790"/>
      <c r="J28" s="791"/>
      <c r="K28" s="815"/>
      <c r="L28" s="783" t="s">
        <v>1788</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2302</v>
      </c>
      <c r="C29" s="2566">
        <f ca="1">ROUND((C19+C20+C23+C26)/(1-F21-C24-C27-C28),0)</f>
        <v>1865</v>
      </c>
      <c r="D29" s="2567"/>
      <c r="E29" s="2568"/>
      <c r="F29" s="2569"/>
      <c r="G29" s="1592"/>
      <c r="H29" s="822" t="s">
        <v>1789</v>
      </c>
      <c r="I29" s="823" t="s">
        <v>1790</v>
      </c>
      <c r="J29" s="824">
        <f ca="1">ROUND(J26/(1+F40)^F41,0)</f>
        <v>0</v>
      </c>
      <c r="K29" s="825" t="s">
        <v>1791</v>
      </c>
      <c r="L29" s="826"/>
      <c r="M29" s="827">
        <f ca="1">INDIRECT("'数据-取费表'!k"&amp;$G$1)</f>
        <v>5906.2800000000125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1895</v>
      </c>
      <c r="B30" s="1826" t="s">
        <v>1792</v>
      </c>
      <c r="C30" s="791">
        <f ca="1">ROUND(C31+C36+C37+C38,0)</f>
        <v>93</v>
      </c>
      <c r="D30" s="1820" t="s">
        <v>1793</v>
      </c>
      <c r="E30" s="2508"/>
      <c r="F30" s="2513"/>
      <c r="G30" s="2060"/>
      <c r="H30" s="2063"/>
      <c r="I30" s="2064"/>
      <c r="J30" s="2065"/>
      <c r="K30" s="2066"/>
      <c r="L30" s="2067"/>
      <c r="M30" s="2068"/>
    </row>
    <row r="31" spans="1:33" ht="18" customHeight="1">
      <c r="A31" s="1648" t="s">
        <v>1832</v>
      </c>
      <c r="B31" s="783" t="s">
        <v>657</v>
      </c>
      <c r="C31" s="53">
        <f ca="1">ROUND(IF(项目基本情况!B11="自然人",C5*F31,C32+C33+C34),1)</f>
        <v>58.5</v>
      </c>
      <c r="D31" s="1977" t="s">
        <v>1794</v>
      </c>
      <c r="E31" s="1975" t="s">
        <v>1795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1833</v>
      </c>
      <c r="B32" s="783" t="s">
        <v>1796</v>
      </c>
      <c r="C32" s="53">
        <f ca="1">ROUND(C5*F32/1.05,1)</f>
        <v>17.100000000000001</v>
      </c>
      <c r="D32" s="1975" t="s">
        <v>1797</v>
      </c>
      <c r="E32" s="783" t="s">
        <v>1798</v>
      </c>
      <c r="F32" s="808">
        <f>'数据-取费表'!B41</f>
        <v>5.6000000000000001E-2</v>
      </c>
      <c r="G32" s="2060"/>
      <c r="H32" s="2069"/>
      <c r="I32" s="2070"/>
      <c r="J32" s="2071"/>
      <c r="K32" s="2072"/>
      <c r="L32" s="2073"/>
      <c r="M32" s="2074"/>
    </row>
    <row r="33" spans="1:18" ht="18" customHeight="1">
      <c r="A33" s="1647" t="s">
        <v>1834</v>
      </c>
      <c r="B33" s="783" t="s">
        <v>1799</v>
      </c>
      <c r="C33" s="53">
        <f ca="1">IF(D33="按租金收入计税",ROUND(C5*F33,1),IF(D33="按房产原值计税",ROUND(C29*F33*0.7,1),INDIRECT("'数据-取费表'!Aj"&amp;$G$1)))</f>
        <v>38.4</v>
      </c>
      <c r="D33" s="3248" t="s">
        <v>3511</v>
      </c>
      <c r="E33" s="783" t="s">
        <v>1798</v>
      </c>
      <c r="F33" s="808">
        <f>IF(D33="按租金收入计税",'数据-取费表'!B51,'数据-取费表'!B50)</f>
        <v>0.12</v>
      </c>
      <c r="G33" s="2060"/>
      <c r="H33" s="2075"/>
      <c r="I33" s="2075"/>
      <c r="J33" s="2075"/>
      <c r="K33" s="2076"/>
      <c r="L33" s="2075"/>
      <c r="M33" s="2075"/>
    </row>
    <row r="34" spans="1:18" ht="18" customHeight="1">
      <c r="A34" s="1650" t="s">
        <v>1835</v>
      </c>
      <c r="B34" s="340" t="s">
        <v>1800</v>
      </c>
      <c r="C34" s="54">
        <f ca="1">ROUND(F34*F35/10000,1)</f>
        <v>3</v>
      </c>
      <c r="D34" s="813" t="s">
        <v>1801</v>
      </c>
      <c r="E34" s="783" t="s">
        <v>1802</v>
      </c>
      <c r="F34" s="639">
        <f>'数据-取费表'!B52</f>
        <v>10</v>
      </c>
      <c r="G34" s="2060"/>
      <c r="H34" s="2063"/>
      <c r="I34" s="834" t="s">
        <v>1815</v>
      </c>
      <c r="J34" s="835"/>
      <c r="K34" s="2078"/>
      <c r="L34" s="2077"/>
      <c r="M34" s="2077"/>
    </row>
    <row r="35" spans="1:18" ht="18" customHeight="1">
      <c r="A35" s="814"/>
      <c r="B35" s="792"/>
      <c r="C35" s="69"/>
      <c r="D35" s="815"/>
      <c r="E35" s="783" t="s">
        <v>1803</v>
      </c>
      <c r="F35" s="784">
        <f ca="1">INDIRECT("'数据-取费表'!r"&amp;$G$1)</f>
        <v>3037.95</v>
      </c>
      <c r="G35" s="2060"/>
      <c r="H35" s="2063"/>
      <c r="I35" s="836" t="s">
        <v>1816</v>
      </c>
      <c r="J35" s="837">
        <f ca="1">ROUND(C13*J36,0)</f>
        <v>159</v>
      </c>
      <c r="K35" s="2076"/>
      <c r="L35" s="2075"/>
      <c r="M35" s="2075"/>
    </row>
    <row r="36" spans="1:18" ht="18" customHeight="1">
      <c r="A36" s="1648" t="s">
        <v>1891</v>
      </c>
      <c r="B36" s="783" t="s">
        <v>1804</v>
      </c>
      <c r="C36" s="53">
        <f ca="1">ROUND(C29*F36,1)</f>
        <v>28</v>
      </c>
      <c r="D36" s="1975" t="s">
        <v>1805</v>
      </c>
      <c r="E36" s="783" t="s">
        <v>1798</v>
      </c>
      <c r="F36" s="816">
        <f ca="1">INDIRECT("'数据-取费表'!Ak"&amp;$G$1)</f>
        <v>1.4999999999999999E-2</v>
      </c>
      <c r="G36" s="2060"/>
      <c r="H36" s="2075"/>
      <c r="I36" s="838" t="s">
        <v>1817</v>
      </c>
      <c r="J36" s="839">
        <f ca="1">INDIRECT("'数据-取费表'!j"&amp;$G$1)</f>
        <v>8.5000000000000006E-2</v>
      </c>
      <c r="K36" s="2080"/>
      <c r="L36" s="2075"/>
      <c r="M36" s="2075"/>
    </row>
    <row r="37" spans="1:18" ht="18" customHeight="1">
      <c r="A37" s="1648" t="s">
        <v>1892</v>
      </c>
      <c r="B37" s="783" t="s">
        <v>680</v>
      </c>
      <c r="C37" s="53">
        <f ca="1">ROUND(C13*F37,1)</f>
        <v>2.8</v>
      </c>
      <c r="D37" s="1975" t="s">
        <v>1806</v>
      </c>
      <c r="E37" s="783" t="s">
        <v>1798</v>
      </c>
      <c r="F37" s="817">
        <f ca="1">INDIRECT("'数据-取费表'!Al"&amp;$G$1)</f>
        <v>1.5E-3</v>
      </c>
      <c r="G37" s="2060"/>
      <c r="H37" s="2075"/>
      <c r="I37" s="840" t="s">
        <v>1818</v>
      </c>
      <c r="J37" s="841"/>
      <c r="K37" s="2080"/>
      <c r="L37" s="2075"/>
      <c r="M37" s="2075"/>
    </row>
    <row r="38" spans="1:18" ht="18" customHeight="1" thickBot="1">
      <c r="A38" s="2573" t="s">
        <v>1893</v>
      </c>
      <c r="B38" s="2568" t="s">
        <v>667</v>
      </c>
      <c r="C38" s="2566">
        <f ca="1">ROUND(C5*F38,1)</f>
        <v>3.2</v>
      </c>
      <c r="D38" s="2567" t="s">
        <v>1807</v>
      </c>
      <c r="E38" s="2568" t="s">
        <v>1798</v>
      </c>
      <c r="F38" s="2564">
        <f ca="1">INDIRECT("'数据-取费表'!Am"&amp;$G$1)</f>
        <v>0.01</v>
      </c>
      <c r="G38" s="2060"/>
      <c r="H38" s="2075"/>
      <c r="I38" s="842" t="s">
        <v>1819</v>
      </c>
      <c r="J38" s="843"/>
      <c r="K38" s="2081"/>
      <c r="L38" s="2075"/>
      <c r="M38" s="2075"/>
    </row>
    <row r="39" spans="1:18" ht="24.6" customHeight="1" thickTop="1">
      <c r="A39" s="1828" t="s">
        <v>1896</v>
      </c>
      <c r="B39" s="3034" t="s">
        <v>2827</v>
      </c>
      <c r="C39" s="791">
        <f ca="1">C5-C30</f>
        <v>227</v>
      </c>
      <c r="D39" s="2570" t="s">
        <v>1808</v>
      </c>
      <c r="E39" s="2571"/>
      <c r="F39" s="2572"/>
      <c r="G39" s="2060"/>
      <c r="H39" s="2075"/>
      <c r="I39" s="836" t="s">
        <v>1820</v>
      </c>
      <c r="J39" s="844">
        <f ca="1">ROUND(J35/C39,3)</f>
        <v>0.7</v>
      </c>
      <c r="K39" s="2081"/>
      <c r="L39" s="2075"/>
      <c r="M39" s="2075"/>
    </row>
    <row r="40" spans="1:18" ht="18" customHeight="1">
      <c r="A40" s="780" t="s">
        <v>1897</v>
      </c>
      <c r="B40" s="2230" t="s">
        <v>2303</v>
      </c>
      <c r="C40" s="782">
        <f ca="1">ROUND(C39*(1-((1+F42)/(1+F40))^F41)/(F40-F42),0)</f>
        <v>5101</v>
      </c>
      <c r="D40" s="813" t="s">
        <v>1809</v>
      </c>
      <c r="E40" s="783" t="s">
        <v>2420</v>
      </c>
      <c r="F40" s="793">
        <f ca="1">INDIRECT("'数据-取费表'!I"&amp;$G$1)</f>
        <v>5.5E-2</v>
      </c>
      <c r="G40" s="2060"/>
      <c r="H40" s="2060"/>
      <c r="I40" s="836" t="s">
        <v>1821</v>
      </c>
      <c r="J40" s="844">
        <f ca="1">1-J39</f>
        <v>0.30000000000000004</v>
      </c>
      <c r="K40" s="2081"/>
      <c r="L40" s="2060"/>
      <c r="M40" s="2060"/>
    </row>
    <row r="41" spans="1:18" ht="18" customHeight="1">
      <c r="A41" s="785"/>
      <c r="B41" s="786"/>
      <c r="C41" s="787"/>
      <c r="D41" s="820" t="s">
        <v>1810</v>
      </c>
      <c r="E41" s="783" t="s">
        <v>2969</v>
      </c>
      <c r="F41" s="821">
        <f ca="1">IF(INDIRECT("'数据-取费表'!af"&amp;$G$1)=0,INDIRECT("'数据-取费表'!ae"&amp;$G$1),INDIRECT("'数据-取费表'!af"&amp;$G$1))</f>
        <v>34.4</v>
      </c>
      <c r="G41" s="2060"/>
      <c r="H41" s="1986"/>
      <c r="I41" s="842" t="s">
        <v>1822</v>
      </c>
      <c r="J41" s="845"/>
      <c r="K41" s="2080"/>
      <c r="L41" s="1986"/>
      <c r="M41" s="1986"/>
    </row>
    <row r="42" spans="1:18" ht="18" customHeight="1">
      <c r="A42" s="789"/>
      <c r="B42" s="790"/>
      <c r="C42" s="791"/>
      <c r="D42" s="815"/>
      <c r="E42" s="783" t="s">
        <v>1811</v>
      </c>
      <c r="F42" s="793">
        <f ca="1">INDIRECT("'数据-取费表'!v"&amp;$G$1)</f>
        <v>0.03</v>
      </c>
      <c r="G42" s="2060"/>
      <c r="H42" s="1986"/>
      <c r="I42" s="846" t="s">
        <v>1823</v>
      </c>
      <c r="J42" s="844">
        <f ca="1">ROUND(C13/C40,3)</f>
        <v>0.36599999999999999</v>
      </c>
      <c r="K42" s="2080"/>
      <c r="L42" s="1986"/>
      <c r="M42" s="1986"/>
    </row>
    <row r="43" spans="1:18" ht="18" customHeight="1" thickBot="1">
      <c r="A43" s="822" t="s">
        <v>1789</v>
      </c>
      <c r="B43" s="823" t="s">
        <v>1812</v>
      </c>
      <c r="C43" s="824">
        <f ca="1">ROUND(C40*10000/F43,0)</f>
        <v>8637</v>
      </c>
      <c r="D43" s="825" t="s">
        <v>1813</v>
      </c>
      <c r="E43" s="826" t="s">
        <v>1814</v>
      </c>
      <c r="F43" s="827">
        <f ca="1">INDIRECT("'数据-取费表'!k"&amp;$G$1)</f>
        <v>5906.2800000000125</v>
      </c>
      <c r="G43" s="2060"/>
      <c r="H43" s="1986"/>
      <c r="I43" s="846" t="s">
        <v>1824</v>
      </c>
      <c r="J43" s="847">
        <f ca="1">1-J42</f>
        <v>0.63400000000000001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-5621</v>
      </c>
      <c r="D46" s="2083"/>
      <c r="E46" s="2083"/>
      <c r="F46" s="2083"/>
      <c r="I46" s="2376" t="s">
        <v>2343</v>
      </c>
      <c r="J46" s="2377"/>
      <c r="K46" s="2378"/>
      <c r="L46" s="2379" t="str">
        <f ca="1">IF(M47="住宅",0,IF(L48&gt;J51,L60,J60))</f>
        <v>0</v>
      </c>
      <c r="O46" s="2416" t="s">
        <v>2411</v>
      </c>
      <c r="P46" s="1591"/>
      <c r="Q46" s="1603"/>
      <c r="R46" s="1591"/>
    </row>
    <row r="47" spans="1:18" s="2057" customFormat="1" ht="18" customHeight="1" thickBot="1">
      <c r="A47" s="2370">
        <v>1</v>
      </c>
      <c r="B47" s="2371" t="s">
        <v>636</v>
      </c>
      <c r="C47" s="2596">
        <f ca="1">C48+C52+C54</f>
        <v>0</v>
      </c>
      <c r="D47" s="2083"/>
      <c r="E47" s="2083"/>
      <c r="F47" s="2083"/>
      <c r="I47" s="2380" t="s">
        <v>2344</v>
      </c>
      <c r="J47" s="2385" t="s">
        <v>3190</v>
      </c>
      <c r="K47" s="2386" t="s">
        <v>2350</v>
      </c>
      <c r="L47" s="2387">
        <f ca="1">INDIRECT("'数据-取费表'!d"&amp;$G$1)</f>
        <v>40</v>
      </c>
      <c r="M47" s="1603" t="str">
        <f>IF(ISNUMBER(FIND("住宅",C1)),"住宅","非住宅")</f>
        <v>非住宅</v>
      </c>
      <c r="O47" s="2417" t="s">
        <v>2376</v>
      </c>
      <c r="P47" s="2418" t="s">
        <v>2377</v>
      </c>
      <c r="Q47" s="2419" t="s">
        <v>2378</v>
      </c>
      <c r="R47" s="2418" t="s">
        <v>2379</v>
      </c>
    </row>
    <row r="48" spans="1:18" s="2057" customFormat="1" ht="18" customHeight="1" thickBot="1">
      <c r="A48" s="2665" t="s">
        <v>2540</v>
      </c>
      <c r="B48" s="2666" t="s">
        <v>2541</v>
      </c>
      <c r="C48" s="2372">
        <f ca="1">ROUND(F48*F50*F49*(1-F51)/10000,0)</f>
        <v>0</v>
      </c>
      <c r="D48" s="2373" t="s">
        <v>637</v>
      </c>
      <c r="E48" s="2374" t="s">
        <v>2298</v>
      </c>
      <c r="F48" s="2375"/>
      <c r="G48" s="2088"/>
      <c r="I48" s="2381" t="s">
        <v>2345</v>
      </c>
      <c r="J48" s="2388" t="s">
        <v>2351</v>
      </c>
      <c r="K48" s="2389" t="s">
        <v>2352</v>
      </c>
      <c r="L48" s="2390">
        <f ca="1">INDIRECT("'数据-取费表'!f"&amp;$G$1)</f>
        <v>36.4</v>
      </c>
      <c r="O48" s="2420" t="s">
        <v>2380</v>
      </c>
      <c r="P48" s="2421" t="s">
        <v>2406</v>
      </c>
      <c r="Q48" s="2422">
        <f ca="1">C40+J29</f>
        <v>5101</v>
      </c>
      <c r="R48" s="2421" t="s">
        <v>2381</v>
      </c>
    </row>
    <row r="49" spans="1:18" s="2057" customFormat="1" ht="18" customHeight="1" thickBot="1">
      <c r="A49" s="785"/>
      <c r="B49" s="786"/>
      <c r="C49" s="787"/>
      <c r="D49" s="788"/>
      <c r="E49" s="783" t="s">
        <v>1741</v>
      </c>
      <c r="F49" s="784">
        <f ca="1">F7</f>
        <v>5906.2800000000125</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5"/>
      <c r="B50" s="786"/>
      <c r="C50" s="787"/>
      <c r="D50" s="788"/>
      <c r="E50" s="783" t="s">
        <v>1742</v>
      </c>
      <c r="F50" s="784">
        <f ca="1">F8</f>
        <v>12</v>
      </c>
      <c r="G50" s="2093"/>
      <c r="H50" s="2091"/>
      <c r="I50" s="2381" t="s">
        <v>2347</v>
      </c>
      <c r="J50" s="2394">
        <f>SUMPRODUCT((I63:I65=J47)*(J62:L62=J48)*(J63:L65))</f>
        <v>60</v>
      </c>
      <c r="K50" s="2392" t="s">
        <v>2354</v>
      </c>
      <c r="L50" s="2393"/>
      <c r="O50" s="2423" t="s">
        <v>2384</v>
      </c>
      <c r="P50" s="2421" t="s">
        <v>2408</v>
      </c>
      <c r="Q50" s="2422">
        <f ca="1">C29</f>
        <v>1865</v>
      </c>
      <c r="R50" s="2421" t="s">
        <v>2381</v>
      </c>
    </row>
    <row r="51" spans="1:18" s="2057" customFormat="1" ht="18" customHeight="1" thickBot="1">
      <c r="A51" s="785"/>
      <c r="B51" s="786"/>
      <c r="C51" s="787"/>
      <c r="D51" s="788"/>
      <c r="E51" s="783" t="s">
        <v>641</v>
      </c>
      <c r="F51" s="2369"/>
      <c r="H51" s="2091"/>
      <c r="I51" s="2382" t="s">
        <v>2348</v>
      </c>
      <c r="J51" s="2395">
        <f>IF(J49="",J50,J49+J50-YEAR('数据-取费表'!B2))</f>
        <v>60</v>
      </c>
      <c r="K51" s="2381" t="s">
        <v>2355</v>
      </c>
      <c r="L51" s="2396">
        <f ca="1">ROUND(-PV(INDIRECT("'数据-取费表'!h"&amp;$G$1),L48,(C39-C13*J36),0),0)</f>
        <v>1138</v>
      </c>
      <c r="O51" s="2423" t="s">
        <v>2385</v>
      </c>
      <c r="P51" s="2421" t="s">
        <v>2386</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2422</v>
      </c>
      <c r="J52" s="2397"/>
      <c r="K52" s="2383" t="s">
        <v>2421</v>
      </c>
      <c r="L52" s="2397"/>
      <c r="O52" s="2423" t="s">
        <v>2387</v>
      </c>
      <c r="P52" s="2421" t="s">
        <v>2388</v>
      </c>
      <c r="Q52" s="2424">
        <f>J52</f>
        <v>0</v>
      </c>
      <c r="R52" s="2425"/>
    </row>
    <row r="53" spans="1:18" s="2057" customFormat="1" ht="39.75" customHeight="1" thickBot="1">
      <c r="A53" s="785"/>
      <c r="B53" s="2517" t="s">
        <v>2576</v>
      </c>
      <c r="C53" s="2521"/>
      <c r="D53" s="2523"/>
      <c r="E53" s="2520"/>
      <c r="F53" s="799"/>
      <c r="I53" s="2384" t="s">
        <v>2349</v>
      </c>
      <c r="J53" s="2398">
        <f ca="1">IF(M47="住宅",J51,IF(D1="——",MIN(J51,L48),IF(D1="土地（套用方法）",MIN(J51,L48-'数据-取费表'!B20))))</f>
        <v>34.4</v>
      </c>
      <c r="K53" s="3515" t="s">
        <v>2971</v>
      </c>
      <c r="L53" s="3516"/>
      <c r="O53" s="2423" t="s">
        <v>2389</v>
      </c>
      <c r="P53" s="2421" t="s">
        <v>2390</v>
      </c>
      <c r="Q53" s="2422">
        <f ca="1">J53</f>
        <v>34.4</v>
      </c>
      <c r="R53" s="2421" t="s">
        <v>2391</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5101</v>
      </c>
      <c r="R54" s="2425" t="s">
        <v>2393</v>
      </c>
    </row>
    <row r="55" spans="1:18" s="2057" customFormat="1" ht="18" customHeight="1" thickTop="1" thickBot="1">
      <c r="A55" s="796">
        <v>2</v>
      </c>
      <c r="B55" s="797" t="s">
        <v>645</v>
      </c>
      <c r="C55" s="798">
        <f ca="1">C13</f>
        <v>1865</v>
      </c>
      <c r="D55" s="794"/>
      <c r="E55" s="794"/>
      <c r="F55" s="799"/>
      <c r="I55" s="3127" t="s">
        <v>2356</v>
      </c>
      <c r="J55" s="3126" t="e">
        <f ca="1">ROUND(IF(J47="钢混",J57/J50,1-(1-2%)*(J50-J57)/J50),3)</f>
        <v>#VALUE!</v>
      </c>
      <c r="K55" s="2399" t="s">
        <v>2357</v>
      </c>
      <c r="L55" s="2400"/>
      <c r="O55" s="2426" t="s">
        <v>2412</v>
      </c>
      <c r="P55" s="1591"/>
      <c r="Q55" s="1603"/>
      <c r="R55" s="1591"/>
    </row>
    <row r="56" spans="1:18" s="2057" customFormat="1" ht="42.75" customHeight="1" thickBot="1">
      <c r="A56" s="1649"/>
      <c r="B56" s="2229" t="s">
        <v>2304</v>
      </c>
      <c r="C56" s="53">
        <f ca="1">C29</f>
        <v>1865</v>
      </c>
      <c r="D56" s="2662"/>
      <c r="E56" s="783"/>
      <c r="F56" s="808"/>
      <c r="I56" s="2401" t="s">
        <v>2358</v>
      </c>
      <c r="J56" s="3150" t="s">
        <v>1680</v>
      </c>
      <c r="K56" s="2381" t="s">
        <v>2363</v>
      </c>
      <c r="L56" s="2390" t="str">
        <f ca="1">IF(L48&lt;J51,"——",L48-J51)</f>
        <v>——</v>
      </c>
      <c r="O56" s="2417" t="s">
        <v>2376</v>
      </c>
      <c r="P56" s="2418" t="s">
        <v>2377</v>
      </c>
      <c r="Q56" s="2419" t="s">
        <v>2378</v>
      </c>
      <c r="R56" s="2418" t="s">
        <v>2379</v>
      </c>
    </row>
    <row r="57" spans="1:18" s="2057" customFormat="1" ht="28.5" customHeight="1" thickBot="1">
      <c r="A57" s="796" t="s">
        <v>1750</v>
      </c>
      <c r="B57" s="797" t="s">
        <v>652</v>
      </c>
      <c r="C57" s="798">
        <f ca="1">ROUND(C58+C63+C64+C65,0)</f>
        <v>34</v>
      </c>
      <c r="D57" s="26" t="s">
        <v>1752</v>
      </c>
      <c r="E57" s="2663"/>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5101</v>
      </c>
      <c r="R57" s="2421" t="s">
        <v>2381</v>
      </c>
    </row>
    <row r="58" spans="1:18" s="2057" customFormat="1" ht="28.5" customHeight="1" thickBot="1">
      <c r="A58" s="1648" t="s">
        <v>1826</v>
      </c>
      <c r="B58" s="783" t="s">
        <v>657</v>
      </c>
      <c r="C58" s="53">
        <f ca="1">ROUND(IF(项目基本情况!B11="自然人",C47*F58,C59+C60+C61),1)</f>
        <v>3</v>
      </c>
      <c r="D58" s="2661" t="s">
        <v>658</v>
      </c>
      <c r="E58" s="2662" t="s">
        <v>691</v>
      </c>
      <c r="F58" s="809" t="str">
        <f ca="1">IF(项目基本情况!B11="企业","",IF(INDIRECT("'数据-取费表'!c"&amp;$G$1)="住宅",5%,IF(F48*F49*F50/12/(1+'数据-取费表'!C42)&gt;20000,12%,7%)))</f>
        <v/>
      </c>
      <c r="I58" s="2402" t="s">
        <v>2360</v>
      </c>
      <c r="J58" s="3128"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7" t="s">
        <v>1833</v>
      </c>
      <c r="B59" s="783" t="s">
        <v>661</v>
      </c>
      <c r="C59" s="53">
        <f ca="1">ROUND(C47*F59/1.05,1)</f>
        <v>0</v>
      </c>
      <c r="D59" s="2662" t="s">
        <v>1758</v>
      </c>
      <c r="E59" s="783" t="s">
        <v>1749</v>
      </c>
      <c r="F59" s="808">
        <f t="shared" ref="F59:F65" si="0">F32</f>
        <v>5.6000000000000001E-2</v>
      </c>
      <c r="I59" s="2402" t="s">
        <v>2361</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7" t="s">
        <v>1834</v>
      </c>
      <c r="B60" s="783" t="s">
        <v>1760</v>
      </c>
      <c r="C60" s="53">
        <f ca="1">IF(D60="按租金收入计税",ROUND(C47*F60,1),IF(D60="按房产原值计税",ROUND(C56*F60*0.7,1),INDIRECT("'数据-取费表'!Aj"&amp;$G$1)))</f>
        <v>0</v>
      </c>
      <c r="D60" s="2662" t="str">
        <f>D33</f>
        <v>按租金收入计税</v>
      </c>
      <c r="E60" s="783" t="s">
        <v>1749</v>
      </c>
      <c r="F60" s="808">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50" t="s">
        <v>1835</v>
      </c>
      <c r="B61" s="340" t="s">
        <v>669</v>
      </c>
      <c r="C61" s="54">
        <f ca="1">ROUND(F61*F62/10000,1)</f>
        <v>3</v>
      </c>
      <c r="D61" s="813" t="s">
        <v>670</v>
      </c>
      <c r="E61" s="783" t="s">
        <v>671</v>
      </c>
      <c r="F61" s="639">
        <f t="shared" si="0"/>
        <v>10</v>
      </c>
      <c r="K61" s="2084"/>
      <c r="O61" s="2423" t="s">
        <v>2387</v>
      </c>
      <c r="P61" s="2421" t="s">
        <v>2395</v>
      </c>
      <c r="Q61" s="2422" t="e">
        <f ca="1">L58</f>
        <v>#DIV/0!</v>
      </c>
      <c r="R61" s="2425" t="s">
        <v>2396</v>
      </c>
    </row>
    <row r="62" spans="1:18" s="2057" customFormat="1" ht="15.75" thickBot="1">
      <c r="A62" s="814"/>
      <c r="B62" s="792"/>
      <c r="C62" s="69"/>
      <c r="D62" s="815"/>
      <c r="E62" s="783" t="s">
        <v>675</v>
      </c>
      <c r="F62" s="784">
        <f t="shared" ca="1" si="0"/>
        <v>3037.95</v>
      </c>
      <c r="I62" s="2407" t="s">
        <v>2368</v>
      </c>
      <c r="J62" s="2408" t="s">
        <v>2369</v>
      </c>
      <c r="K62" s="2408" t="s">
        <v>2370</v>
      </c>
      <c r="L62" s="2408" t="s">
        <v>2351</v>
      </c>
      <c r="M62" s="3129" t="s">
        <v>2946</v>
      </c>
      <c r="O62" s="2423" t="s">
        <v>2389</v>
      </c>
      <c r="P62" s="2421" t="str">
        <f>K59</f>
        <v>建设期及建筑物耐用年限下的土地年期修正系数Kn</v>
      </c>
      <c r="Q62" s="2422" t="e">
        <f ca="1">L59</f>
        <v>#DIV/0!</v>
      </c>
      <c r="R62" s="2425" t="s">
        <v>2398</v>
      </c>
    </row>
    <row r="63" spans="1:18" s="2057" customFormat="1" ht="15.75" thickBot="1">
      <c r="A63" s="1648" t="s">
        <v>1891</v>
      </c>
      <c r="B63" s="783" t="s">
        <v>677</v>
      </c>
      <c r="C63" s="53">
        <f ca="1">ROUND(C56*F63,1)</f>
        <v>28</v>
      </c>
      <c r="D63" s="2662" t="s">
        <v>1805</v>
      </c>
      <c r="E63" s="783" t="s">
        <v>1749</v>
      </c>
      <c r="F63" s="816">
        <f t="shared" ca="1" si="0"/>
        <v>1.4999999999999999E-2</v>
      </c>
      <c r="I63" s="2407" t="s">
        <v>2371</v>
      </c>
      <c r="J63" s="2408">
        <v>70</v>
      </c>
      <c r="K63" s="2408">
        <v>50</v>
      </c>
      <c r="L63" s="2408">
        <v>80</v>
      </c>
      <c r="M63" s="3130">
        <v>0.02</v>
      </c>
      <c r="O63" s="2420" t="s">
        <v>2392</v>
      </c>
      <c r="P63" s="2421" t="s">
        <v>2409</v>
      </c>
      <c r="Q63" s="2422">
        <f ca="1">Q57+Q58</f>
        <v>5101</v>
      </c>
      <c r="R63" s="2425" t="s">
        <v>2393</v>
      </c>
    </row>
    <row r="64" spans="1:18" s="2057" customFormat="1" ht="16.5" thickBot="1">
      <c r="A64" s="1648" t="s">
        <v>1892</v>
      </c>
      <c r="B64" s="783" t="s">
        <v>680</v>
      </c>
      <c r="C64" s="53">
        <f ca="1">ROUND(C55*F64,1)</f>
        <v>2.8</v>
      </c>
      <c r="D64" s="2662" t="s">
        <v>681</v>
      </c>
      <c r="E64" s="783" t="s">
        <v>1749</v>
      </c>
      <c r="F64" s="817">
        <f t="shared" ca="1" si="0"/>
        <v>1.5E-3</v>
      </c>
      <c r="I64" s="2407" t="s">
        <v>2372</v>
      </c>
      <c r="J64" s="2408">
        <v>50</v>
      </c>
      <c r="K64" s="2408">
        <v>35</v>
      </c>
      <c r="L64" s="2408">
        <v>60</v>
      </c>
      <c r="M64" s="3131">
        <v>0</v>
      </c>
      <c r="O64" s="2426" t="s">
        <v>2416</v>
      </c>
      <c r="P64" s="1591"/>
      <c r="Q64" s="1603"/>
      <c r="R64" s="1591"/>
    </row>
    <row r="65" spans="1:18" s="2057" customFormat="1" ht="15.75" thickBot="1">
      <c r="A65" s="1648" t="s">
        <v>1893</v>
      </c>
      <c r="B65" s="783" t="s">
        <v>667</v>
      </c>
      <c r="C65" s="53">
        <f ca="1">ROUND(C47*F65,1)</f>
        <v>0</v>
      </c>
      <c r="D65" s="2662" t="s">
        <v>684</v>
      </c>
      <c r="E65" s="783" t="s">
        <v>1749</v>
      </c>
      <c r="F65" s="793">
        <f t="shared" ca="1" si="0"/>
        <v>0.01</v>
      </c>
      <c r="I65" s="2407" t="s">
        <v>2373</v>
      </c>
      <c r="J65" s="2408">
        <v>40</v>
      </c>
      <c r="K65" s="2408">
        <v>30</v>
      </c>
      <c r="L65" s="2408">
        <v>50</v>
      </c>
      <c r="M65" s="3130">
        <v>0.02</v>
      </c>
      <c r="O65" s="2417" t="s">
        <v>2376</v>
      </c>
      <c r="P65" s="2418" t="s">
        <v>2377</v>
      </c>
      <c r="Q65" s="2419" t="s">
        <v>2378</v>
      </c>
      <c r="R65" s="2418" t="s">
        <v>2379</v>
      </c>
    </row>
    <row r="66" spans="1:18" s="2057" customFormat="1" ht="24.75" thickBot="1">
      <c r="A66" s="796" t="s">
        <v>1778</v>
      </c>
      <c r="B66" s="3035" t="s">
        <v>2827</v>
      </c>
      <c r="C66" s="798">
        <f ca="1">C47-C57</f>
        <v>-34</v>
      </c>
      <c r="D66" s="2661" t="s">
        <v>701</v>
      </c>
      <c r="E66" s="2660"/>
      <c r="F66" s="819"/>
      <c r="K66" s="2084"/>
      <c r="O66" s="2420" t="s">
        <v>2380</v>
      </c>
      <c r="P66" s="2421" t="s">
        <v>2410</v>
      </c>
      <c r="Q66" s="2422">
        <f ca="1">C40+J29</f>
        <v>5101</v>
      </c>
      <c r="R66" s="2421" t="s">
        <v>2381</v>
      </c>
    </row>
    <row r="67" spans="1:18" s="2057" customFormat="1" ht="20.25" thickBot="1">
      <c r="A67" s="780" t="s">
        <v>1782</v>
      </c>
      <c r="B67" s="2230" t="s">
        <v>2303</v>
      </c>
      <c r="C67" s="782">
        <f ca="1">ROUND(C66*(1-((1+F69)/(1+F67))^F68)/(F67-F69),0)</f>
        <v>-520</v>
      </c>
      <c r="D67" s="813" t="s">
        <v>705</v>
      </c>
      <c r="E67" s="783" t="s">
        <v>706</v>
      </c>
      <c r="F67" s="793">
        <f ca="1">F40</f>
        <v>5.5E-2</v>
      </c>
      <c r="K67" s="2084"/>
      <c r="O67" s="2420" t="s">
        <v>2382</v>
      </c>
      <c r="P67" s="2421" t="s">
        <v>2413</v>
      </c>
      <c r="Q67" s="2422">
        <f ca="1">L60</f>
        <v>0</v>
      </c>
      <c r="R67" s="2425" t="s">
        <v>2415</v>
      </c>
    </row>
    <row r="68" spans="1:18" ht="21.75" thickBot="1">
      <c r="A68" s="785"/>
      <c r="B68" s="786"/>
      <c r="C68" s="787"/>
      <c r="D68" s="820" t="s">
        <v>1810</v>
      </c>
      <c r="E68" s="783" t="s">
        <v>1786</v>
      </c>
      <c r="F68" s="821">
        <f ca="1">F41</f>
        <v>34.4</v>
      </c>
      <c r="O68" s="2423" t="s">
        <v>2384</v>
      </c>
      <c r="P68" s="2421" t="s">
        <v>2414</v>
      </c>
      <c r="Q68" s="2427">
        <f ca="1">L51</f>
        <v>1138</v>
      </c>
      <c r="R68" s="2428" t="s">
        <v>2417</v>
      </c>
    </row>
    <row r="69" spans="1:18" ht="20.25" thickBot="1">
      <c r="A69" s="789"/>
      <c r="B69" s="790"/>
      <c r="C69" s="791"/>
      <c r="D69" s="815"/>
      <c r="E69" s="783" t="s">
        <v>711</v>
      </c>
      <c r="F69" s="2369"/>
      <c r="O69" s="2423" t="s">
        <v>2385</v>
      </c>
      <c r="P69" s="2429" t="s">
        <v>2399</v>
      </c>
      <c r="Q69" s="2422">
        <f ca="1">ROUND(Q70-Q71*Q72,0)</f>
        <v>68</v>
      </c>
      <c r="R69" s="2425"/>
    </row>
    <row r="70" spans="1:18" ht="15.75" thickBot="1">
      <c r="A70" s="822" t="s">
        <v>1789</v>
      </c>
      <c r="B70" s="823" t="s">
        <v>1812</v>
      </c>
      <c r="C70" s="824">
        <f ca="1">ROUND(C67*10000/F70,0)</f>
        <v>-880</v>
      </c>
      <c r="D70" s="825" t="s">
        <v>1813</v>
      </c>
      <c r="E70" s="826" t="s">
        <v>1814</v>
      </c>
      <c r="F70" s="827">
        <f ca="1">F43</f>
        <v>5906.2800000000125</v>
      </c>
      <c r="O70" s="2423" t="s">
        <v>2400</v>
      </c>
      <c r="P70" s="2429" t="s">
        <v>2401</v>
      </c>
      <c r="Q70" s="2422">
        <f ca="1">C39</f>
        <v>227</v>
      </c>
      <c r="R70" s="2421" t="s">
        <v>2381</v>
      </c>
    </row>
    <row r="71" spans="1:18" ht="15.75" thickBot="1">
      <c r="O71" s="2423" t="s">
        <v>2402</v>
      </c>
      <c r="P71" s="2429" t="s">
        <v>2403</v>
      </c>
      <c r="Q71" s="2422">
        <f ca="1">C13</f>
        <v>1865</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5101</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3" t="s">
        <v>2474</v>
      </c>
      <c r="B1" s="3534"/>
      <c r="C1" s="3535"/>
      <c r="D1" s="3536">
        <f>SUM(I10,I15,I20,I21,I23)</f>
        <v>0</v>
      </c>
      <c r="E1" s="3536"/>
      <c r="F1" s="3536"/>
      <c r="G1" s="3536"/>
      <c r="H1" s="3536"/>
      <c r="I1" s="3537"/>
    </row>
    <row r="2" spans="1:9">
      <c r="A2" s="3523" t="s">
        <v>2475</v>
      </c>
      <c r="B2" s="3524" t="s">
        <v>2476</v>
      </c>
      <c r="C2" s="3524"/>
      <c r="D2" s="2529" t="s">
        <v>2477</v>
      </c>
      <c r="E2" s="2529" t="s">
        <v>2478</v>
      </c>
      <c r="F2" s="2529" t="s">
        <v>2479</v>
      </c>
      <c r="G2" s="2529" t="s">
        <v>2480</v>
      </c>
      <c r="H2" s="2529" t="s">
        <v>2481</v>
      </c>
      <c r="I2" s="2530" t="s">
        <v>2482</v>
      </c>
    </row>
    <row r="3" spans="1:9">
      <c r="A3" s="3523"/>
      <c r="B3" s="3524" t="s">
        <v>2483</v>
      </c>
      <c r="C3" s="3524"/>
      <c r="D3" s="2531"/>
      <c r="E3" s="2529"/>
      <c r="F3" s="2532"/>
      <c r="G3" s="2532"/>
      <c r="H3" s="2533"/>
      <c r="I3" s="2534">
        <f>ROUND(D3*E3*F3*G3*H3/10000,0)</f>
        <v>0</v>
      </c>
    </row>
    <row r="4" spans="1:9">
      <c r="A4" s="3523"/>
      <c r="B4" s="3524" t="s">
        <v>2484</v>
      </c>
      <c r="C4" s="3524"/>
      <c r="D4" s="2531"/>
      <c r="E4" s="2529"/>
      <c r="F4" s="2532"/>
      <c r="G4" s="2532"/>
      <c r="H4" s="2533"/>
      <c r="I4" s="2534">
        <f t="shared" ref="I4:I9" si="0">ROUND(D4*E4*F4*G4*H4/10000,0)</f>
        <v>0</v>
      </c>
    </row>
    <row r="5" spans="1:9">
      <c r="A5" s="3523"/>
      <c r="B5" s="3524" t="s">
        <v>2485</v>
      </c>
      <c r="C5" s="3524"/>
      <c r="D5" s="2531"/>
      <c r="E5" s="2529"/>
      <c r="F5" s="2532"/>
      <c r="G5" s="2532"/>
      <c r="H5" s="2533"/>
      <c r="I5" s="2534">
        <f t="shared" si="0"/>
        <v>0</v>
      </c>
    </row>
    <row r="6" spans="1:9">
      <c r="A6" s="3523"/>
      <c r="B6" s="3524" t="s">
        <v>2486</v>
      </c>
      <c r="C6" s="3524"/>
      <c r="D6" s="2531"/>
      <c r="E6" s="2529"/>
      <c r="F6" s="2532"/>
      <c r="G6" s="2532"/>
      <c r="H6" s="2533"/>
      <c r="I6" s="2534">
        <f t="shared" si="0"/>
        <v>0</v>
      </c>
    </row>
    <row r="7" spans="1:9">
      <c r="A7" s="3523"/>
      <c r="B7" s="3524" t="s">
        <v>2487</v>
      </c>
      <c r="C7" s="3524"/>
      <c r="D7" s="2531"/>
      <c r="E7" s="2529"/>
      <c r="F7" s="2532"/>
      <c r="G7" s="2532"/>
      <c r="H7" s="2533"/>
      <c r="I7" s="2534">
        <f t="shared" si="0"/>
        <v>0</v>
      </c>
    </row>
    <row r="8" spans="1:9">
      <c r="A8" s="3523"/>
      <c r="B8" s="3524" t="s">
        <v>2488</v>
      </c>
      <c r="C8" s="3524"/>
      <c r="D8" s="2531"/>
      <c r="E8" s="2529"/>
      <c r="F8" s="2532"/>
      <c r="G8" s="2532"/>
      <c r="H8" s="2533"/>
      <c r="I8" s="2534">
        <f t="shared" si="0"/>
        <v>0</v>
      </c>
    </row>
    <row r="9" spans="1:9">
      <c r="A9" s="3523"/>
      <c r="B9" s="3524" t="s">
        <v>2489</v>
      </c>
      <c r="C9" s="3524"/>
      <c r="D9" s="2531"/>
      <c r="E9" s="2529"/>
      <c r="F9" s="2532"/>
      <c r="G9" s="2532"/>
      <c r="H9" s="2533"/>
      <c r="I9" s="2534">
        <f t="shared" si="0"/>
        <v>0</v>
      </c>
    </row>
    <row r="10" spans="1:9">
      <c r="A10" s="3523"/>
      <c r="B10" s="3525" t="s">
        <v>2490</v>
      </c>
      <c r="C10" s="3525"/>
      <c r="D10" s="2535">
        <v>527</v>
      </c>
      <c r="E10" s="2535" t="e">
        <f>ROUND(D1*10000/D10/H9,0)</f>
        <v>#DIV/0!</v>
      </c>
      <c r="F10" s="2536"/>
      <c r="G10" s="2536"/>
      <c r="H10" s="2537"/>
      <c r="I10" s="2538">
        <f>SUM(I3:I9)</f>
        <v>0</v>
      </c>
    </row>
    <row r="11" spans="1:9" ht="14.25">
      <c r="A11" s="3523" t="s">
        <v>2491</v>
      </c>
      <c r="B11" s="3524" t="s">
        <v>2492</v>
      </c>
      <c r="C11" s="3524"/>
      <c r="D11" s="2531" t="s">
        <v>2493</v>
      </c>
      <c r="E11" s="2531" t="s">
        <v>2494</v>
      </c>
      <c r="F11" s="2532" t="s">
        <v>2495</v>
      </c>
      <c r="G11" s="2532" t="s">
        <v>2496</v>
      </c>
      <c r="H11" s="2539" t="s">
        <v>2497</v>
      </c>
      <c r="I11" s="2530" t="s">
        <v>2498</v>
      </c>
    </row>
    <row r="12" spans="1:9">
      <c r="A12" s="3523"/>
      <c r="B12" s="3524" t="s">
        <v>2499</v>
      </c>
      <c r="C12" s="3524"/>
      <c r="D12" s="2531"/>
      <c r="E12" s="2531"/>
      <c r="F12" s="2532"/>
      <c r="G12" s="2533"/>
      <c r="H12" s="2540"/>
      <c r="I12" s="2530">
        <f>ROUND(D12*E12*F12*G12/10000,0)</f>
        <v>0</v>
      </c>
    </row>
    <row r="13" spans="1:9">
      <c r="A13" s="3523"/>
      <c r="B13" s="3524" t="s">
        <v>2500</v>
      </c>
      <c r="C13" s="3524"/>
      <c r="D13" s="2531"/>
      <c r="E13" s="2531"/>
      <c r="F13" s="2532"/>
      <c r="G13" s="2533"/>
      <c r="H13" s="2540"/>
      <c r="I13" s="2530">
        <f>ROUND(D13*E13*F13*G13/10000,0)</f>
        <v>0</v>
      </c>
    </row>
    <row r="14" spans="1:9">
      <c r="A14" s="3523"/>
      <c r="B14" s="3524" t="s">
        <v>2501</v>
      </c>
      <c r="C14" s="3524"/>
      <c r="D14" s="2531"/>
      <c r="E14" s="2531"/>
      <c r="F14" s="2532"/>
      <c r="G14" s="2533"/>
      <c r="H14" s="2540"/>
      <c r="I14" s="2530">
        <f>ROUND(D14*E14*F14*G14/10000,0)</f>
        <v>0</v>
      </c>
    </row>
    <row r="15" spans="1:9">
      <c r="A15" s="3523"/>
      <c r="B15" s="3525" t="s">
        <v>2490</v>
      </c>
      <c r="C15" s="3525"/>
      <c r="D15" s="2535"/>
      <c r="E15" s="2535">
        <f>SUM(E12:E14)</f>
        <v>0</v>
      </c>
      <c r="F15" s="2536"/>
      <c r="G15" s="2533"/>
      <c r="H15" s="2540"/>
      <c r="I15" s="2541">
        <f>SUM(I12:I14)</f>
        <v>0</v>
      </c>
    </row>
    <row r="16" spans="1:9" ht="24">
      <c r="A16" s="3523" t="s">
        <v>2502</v>
      </c>
      <c r="B16" s="3524" t="s">
        <v>2503</v>
      </c>
      <c r="C16" s="3524"/>
      <c r="D16" s="2531" t="s">
        <v>2504</v>
      </c>
      <c r="E16" s="2542" t="s">
        <v>2505</v>
      </c>
      <c r="F16" s="2532" t="s">
        <v>2506</v>
      </c>
      <c r="G16" s="2533" t="s">
        <v>2496</v>
      </c>
      <c r="H16" s="2539" t="s">
        <v>2497</v>
      </c>
      <c r="I16" s="2530" t="s">
        <v>2498</v>
      </c>
    </row>
    <row r="17" spans="1:9" ht="14.25">
      <c r="A17" s="3523"/>
      <c r="B17" s="3524" t="s">
        <v>2507</v>
      </c>
      <c r="C17" s="3524"/>
      <c r="D17" s="2531"/>
      <c r="E17" s="2531"/>
      <c r="F17" s="2532"/>
      <c r="G17" s="2533"/>
      <c r="H17" s="2543"/>
      <c r="I17" s="2544">
        <f>ROUND(D17*E17*F17*G17/10000,0)</f>
        <v>0</v>
      </c>
    </row>
    <row r="18" spans="1:9" ht="14.25">
      <c r="A18" s="3523"/>
      <c r="B18" s="3524" t="s">
        <v>2508</v>
      </c>
      <c r="C18" s="3524"/>
      <c r="D18" s="2531"/>
      <c r="E18" s="2531"/>
      <c r="F18" s="2532"/>
      <c r="G18" s="2533"/>
      <c r="H18" s="2543"/>
      <c r="I18" s="2544">
        <f>ROUND(D18*E18*F18*G18/10000,0)</f>
        <v>0</v>
      </c>
    </row>
    <row r="19" spans="1:9" ht="14.25">
      <c r="A19" s="3523"/>
      <c r="B19" s="3524" t="s">
        <v>2509</v>
      </c>
      <c r="C19" s="3524"/>
      <c r="D19" s="2531"/>
      <c r="E19" s="2531"/>
      <c r="F19" s="2532"/>
      <c r="G19" s="2533"/>
      <c r="H19" s="2543"/>
      <c r="I19" s="2544">
        <f>ROUND(D19*E19*F19*G19/10000,0)</f>
        <v>0</v>
      </c>
    </row>
    <row r="20" spans="1:9">
      <c r="A20" s="3523"/>
      <c r="B20" s="3525" t="s">
        <v>2490</v>
      </c>
      <c r="C20" s="3525"/>
      <c r="D20" s="2535">
        <f>SUM(D17:D19)</f>
        <v>0</v>
      </c>
      <c r="E20" s="2535"/>
      <c r="F20" s="2536"/>
      <c r="G20" s="2533"/>
      <c r="H20" s="2540"/>
      <c r="I20" s="2541">
        <f>SUM(I17:I19)</f>
        <v>0</v>
      </c>
    </row>
    <row r="21" spans="1:9">
      <c r="A21" s="3523" t="s">
        <v>2510</v>
      </c>
      <c r="B21" s="3526"/>
      <c r="C21" s="3526"/>
      <c r="D21" s="3526"/>
      <c r="E21" s="3526"/>
      <c r="F21" s="3526"/>
      <c r="G21" s="3526"/>
      <c r="H21" s="2545">
        <v>0.1</v>
      </c>
      <c r="I21" s="2538">
        <f>ROUND(I10*H21,0)</f>
        <v>0</v>
      </c>
    </row>
    <row r="22" spans="1:9" ht="14.25">
      <c r="A22" s="3527" t="s">
        <v>2511</v>
      </c>
      <c r="B22" s="3528"/>
      <c r="C22" s="3529"/>
      <c r="D22" s="2546" t="s">
        <v>2512</v>
      </c>
      <c r="E22" s="2546" t="s">
        <v>2513</v>
      </c>
      <c r="F22" s="2547" t="s">
        <v>2514</v>
      </c>
      <c r="G22" s="2547" t="s">
        <v>2515</v>
      </c>
      <c r="H22" s="2539" t="s">
        <v>2516</v>
      </c>
      <c r="I22" s="2530" t="s">
        <v>2517</v>
      </c>
    </row>
    <row r="23" spans="1:9" ht="14.25" thickBot="1">
      <c r="A23" s="3530"/>
      <c r="B23" s="3531"/>
      <c r="C23" s="3532"/>
      <c r="D23" s="2548"/>
      <c r="E23" s="2548"/>
      <c r="F23" s="2548"/>
      <c r="G23" s="2549"/>
      <c r="H23" s="2550"/>
      <c r="I23" s="2551">
        <f>ROUND(E23*D23*F23*(1-G23)/10000,0)</f>
        <v>0</v>
      </c>
    </row>
    <row r="26" spans="1:9">
      <c r="A26" s="2552" t="s">
        <v>2518</v>
      </c>
      <c r="B26" s="2552"/>
      <c r="C26" s="2552"/>
      <c r="D26" s="2552"/>
      <c r="E26" s="3520">
        <f>C27-C30-C31-C32</f>
        <v>0</v>
      </c>
      <c r="F26" s="3520"/>
      <c r="G26" s="3520"/>
      <c r="H26" s="3068" t="s">
        <v>2848</v>
      </c>
    </row>
    <row r="27" spans="1:9">
      <c r="A27" s="2553">
        <v>1</v>
      </c>
      <c r="B27" s="2554" t="s">
        <v>2519</v>
      </c>
      <c r="C27" s="2554"/>
      <c r="D27" s="2554"/>
      <c r="E27" s="3521"/>
      <c r="F27" s="3521"/>
      <c r="G27" s="3521"/>
    </row>
    <row r="28" spans="1:9">
      <c r="A28" s="2555" t="s">
        <v>2520</v>
      </c>
      <c r="B28" s="2554" t="s">
        <v>2521</v>
      </c>
      <c r="C28" s="2554"/>
      <c r="D28" s="2554"/>
      <c r="E28" s="3521"/>
      <c r="F28" s="3521"/>
      <c r="G28" s="3521"/>
    </row>
    <row r="29" spans="1:9">
      <c r="A29" s="2555" t="s">
        <v>2522</v>
      </c>
      <c r="B29" s="2554" t="s">
        <v>2462</v>
      </c>
      <c r="C29" s="2554"/>
      <c r="D29" s="2554"/>
      <c r="E29" s="2554" t="s">
        <v>2523</v>
      </c>
      <c r="F29" s="2554"/>
      <c r="G29" s="2554"/>
    </row>
    <row r="30" spans="1:9">
      <c r="A30" s="2553">
        <v>2</v>
      </c>
      <c r="B30" s="2554" t="s">
        <v>2524</v>
      </c>
      <c r="C30" s="2554">
        <f>C27*D30</f>
        <v>0</v>
      </c>
      <c r="D30" s="2556">
        <v>0.2</v>
      </c>
      <c r="E30" s="2554" t="s">
        <v>2525</v>
      </c>
      <c r="F30" s="2554"/>
      <c r="G30" s="2554"/>
    </row>
    <row r="31" spans="1:9">
      <c r="A31" s="2553">
        <v>3</v>
      </c>
      <c r="B31" s="2554" t="s">
        <v>2526</v>
      </c>
      <c r="C31" s="2554">
        <f>C25*D31</f>
        <v>0</v>
      </c>
      <c r="D31" s="2556">
        <v>0.15</v>
      </c>
      <c r="E31" s="2554" t="s">
        <v>2527</v>
      </c>
      <c r="F31" s="2554"/>
      <c r="G31" s="2554"/>
    </row>
    <row r="32" spans="1:9">
      <c r="A32" s="2553">
        <v>4</v>
      </c>
      <c r="B32" s="2554" t="s">
        <v>2528</v>
      </c>
      <c r="C32" s="2554">
        <f>C27*D32</f>
        <v>0</v>
      </c>
      <c r="D32" s="2556">
        <v>0.05</v>
      </c>
      <c r="E32" s="3522"/>
      <c r="F32" s="3522"/>
      <c r="G32" s="3522"/>
    </row>
    <row r="33" spans="1:7" hidden="1">
      <c r="A33" s="3517" t="s">
        <v>2529</v>
      </c>
      <c r="B33" s="3518"/>
      <c r="C33" s="3518"/>
      <c r="D33" s="3519"/>
      <c r="E33" s="3520"/>
      <c r="F33" s="3520"/>
      <c r="G33" s="3520"/>
    </row>
    <row r="34" spans="1:7" hidden="1">
      <c r="A34" s="2557">
        <v>1</v>
      </c>
      <c r="B34" s="2554" t="s">
        <v>2530</v>
      </c>
      <c r="C34" s="2554"/>
      <c r="D34" s="2554"/>
      <c r="E34" s="3521"/>
      <c r="F34" s="3521"/>
      <c r="G34" s="3521"/>
    </row>
    <row r="35" spans="1:7" hidden="1">
      <c r="A35" s="2557">
        <v>2</v>
      </c>
      <c r="B35" s="2554" t="s">
        <v>2531</v>
      </c>
      <c r="C35" s="2554"/>
      <c r="D35" s="2554"/>
      <c r="E35" s="3521"/>
      <c r="F35" s="3521"/>
      <c r="G35" s="3521"/>
    </row>
    <row r="36" spans="1:7" hidden="1">
      <c r="A36" s="2557">
        <v>3</v>
      </c>
      <c r="B36" s="2554" t="s">
        <v>2532</v>
      </c>
      <c r="C36" s="2554"/>
      <c r="D36" s="2554"/>
      <c r="E36" s="3521"/>
      <c r="F36" s="3521"/>
      <c r="G36" s="3521"/>
    </row>
    <row r="37" spans="1:7" hidden="1">
      <c r="A37" s="2557">
        <v>4</v>
      </c>
      <c r="B37" s="2554" t="s">
        <v>2533</v>
      </c>
      <c r="C37" s="2554"/>
      <c r="D37" s="2554"/>
      <c r="E37" s="3521"/>
      <c r="F37" s="3521"/>
      <c r="G37" s="3521"/>
    </row>
    <row r="38" spans="1:7" hidden="1">
      <c r="A38" s="3517" t="s">
        <v>2534</v>
      </c>
      <c r="B38" s="3518"/>
      <c r="C38" s="3518"/>
      <c r="D38" s="3519"/>
      <c r="E38" s="3520"/>
      <c r="F38" s="3520"/>
      <c r="G38" s="35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604</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1687</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605</v>
      </c>
      <c r="C6" s="744" t="s">
        <v>606</v>
      </c>
      <c r="D6" s="744" t="s">
        <v>607</v>
      </c>
      <c r="E6" s="745" t="s">
        <v>608</v>
      </c>
      <c r="F6" s="745" t="s">
        <v>609</v>
      </c>
      <c r="G6" s="746"/>
    </row>
    <row r="7" spans="1:25" s="2181" customFormat="1" ht="13.5" customHeight="1">
      <c r="A7" s="2491">
        <v>1</v>
      </c>
      <c r="B7" s="747" t="s">
        <v>610</v>
      </c>
      <c r="C7" s="748">
        <f>C8+C9</f>
        <v>0</v>
      </c>
      <c r="D7" s="748"/>
      <c r="E7" s="749"/>
      <c r="F7" s="749"/>
      <c r="G7" s="2501"/>
    </row>
    <row r="8" spans="1:25" s="2181" customFormat="1" ht="13.5" customHeight="1">
      <c r="A8" s="2491" t="s">
        <v>2441</v>
      </c>
      <c r="B8" s="2494" t="s">
        <v>2443</v>
      </c>
      <c r="C8" s="2495"/>
      <c r="D8" s="748"/>
      <c r="E8" s="749"/>
      <c r="F8" s="749"/>
      <c r="G8" s="750"/>
    </row>
    <row r="9" spans="1:25" s="2181" customFormat="1" ht="13.5" customHeight="1">
      <c r="A9" s="2491" t="s">
        <v>2442</v>
      </c>
      <c r="B9" s="2494" t="s">
        <v>2444</v>
      </c>
      <c r="C9" s="2495"/>
      <c r="D9" s="748"/>
      <c r="E9" s="749"/>
      <c r="F9" s="749"/>
      <c r="G9" s="750"/>
    </row>
    <row r="10" spans="1:25" s="2181" customFormat="1" ht="36">
      <c r="A10" s="2491">
        <v>2</v>
      </c>
      <c r="B10" s="747" t="s">
        <v>614</v>
      </c>
      <c r="C10" s="748">
        <f>C11+C14+C15</f>
        <v>0</v>
      </c>
      <c r="D10" s="759">
        <f>'数据-汇总表'!E3</f>
        <v>118125.52</v>
      </c>
      <c r="E10" s="748">
        <f>'数据-取费表'!B31</f>
        <v>50</v>
      </c>
      <c r="F10" s="760"/>
      <c r="G10" s="758" t="s">
        <v>615</v>
      </c>
    </row>
    <row r="11" spans="1:25" s="2181" customFormat="1" ht="13.5" customHeight="1">
      <c r="A11" s="2491" t="s">
        <v>2441</v>
      </c>
      <c r="B11" s="751" t="s">
        <v>611</v>
      </c>
      <c r="C11" s="752">
        <f>'数据-取费表'!B29</f>
        <v>0</v>
      </c>
      <c r="D11" s="753"/>
      <c r="E11" s="752"/>
      <c r="F11" s="754"/>
      <c r="G11" s="2500" t="s">
        <v>2452</v>
      </c>
    </row>
    <row r="12" spans="1:25" s="2181" customFormat="1" ht="13.5" customHeight="1">
      <c r="A12" s="2498" t="s">
        <v>2449</v>
      </c>
      <c r="B12" s="755" t="s">
        <v>612</v>
      </c>
      <c r="C12" s="756">
        <f>ROUND(D12*E12/10000,0)</f>
        <v>505</v>
      </c>
      <c r="D12" s="757">
        <f>'数据-汇总表'!E5</f>
        <v>112219.23999999999</v>
      </c>
      <c r="E12" s="756">
        <f>'数据-取费表'!B27</f>
        <v>45</v>
      </c>
      <c r="F12" s="754"/>
      <c r="G12" s="758"/>
    </row>
    <row r="13" spans="1:25" s="2181" customFormat="1" ht="13.5" customHeight="1">
      <c r="A13" s="2498" t="s">
        <v>2448</v>
      </c>
      <c r="B13" s="755" t="s">
        <v>613</v>
      </c>
      <c r="C13" s="756">
        <f>ROUND(D13*E13/10000,0)</f>
        <v>27</v>
      </c>
      <c r="D13" s="757">
        <f>'数据-汇总表'!E6</f>
        <v>5906.2800000000134</v>
      </c>
      <c r="E13" s="756">
        <f>'数据-取费表'!B28</f>
        <v>45</v>
      </c>
      <c r="F13" s="754"/>
      <c r="G13" s="758"/>
    </row>
    <row r="14" spans="1:25" s="2181" customFormat="1" ht="13.5" customHeight="1">
      <c r="A14" s="2491" t="s">
        <v>2442</v>
      </c>
      <c r="B14" s="2497" t="s">
        <v>2445</v>
      </c>
      <c r="C14" s="2495"/>
      <c r="D14" s="757"/>
      <c r="E14" s="756"/>
      <c r="F14" s="2496"/>
      <c r="G14" s="2499" t="s">
        <v>2450</v>
      </c>
    </row>
    <row r="15" spans="1:25" s="2181" customFormat="1" ht="13.5" customHeight="1">
      <c r="A15" s="2491" t="s">
        <v>2447</v>
      </c>
      <c r="B15" s="2497" t="s">
        <v>2446</v>
      </c>
      <c r="C15" s="2495"/>
      <c r="D15" s="757"/>
      <c r="E15" s="756"/>
      <c r="F15" s="2496"/>
      <c r="G15" s="2499" t="s">
        <v>2451</v>
      </c>
    </row>
    <row r="16" spans="1:25" s="2182" customFormat="1" ht="48">
      <c r="A16" s="2491">
        <v>3</v>
      </c>
      <c r="B16" s="747" t="s">
        <v>616</v>
      </c>
      <c r="C16" s="2495"/>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617</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618</v>
      </c>
      <c r="C18" s="748">
        <f>ROUND((C7+C10+C16)*F18,0)</f>
        <v>0</v>
      </c>
      <c r="D18" s="761"/>
      <c r="E18" s="762"/>
      <c r="F18" s="760">
        <f>'数据-取费表'!Q16</f>
        <v>0.2</v>
      </c>
      <c r="G18" s="764"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620</v>
      </c>
      <c r="C19" s="748">
        <f ca="1">C7+C10+C16+C17+C18</f>
        <v>0</v>
      </c>
      <c r="D19" s="759"/>
      <c r="E19" s="748"/>
      <c r="F19" s="760"/>
      <c r="G19" s="764"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622</v>
      </c>
      <c r="C20" s="748">
        <f ca="1">ROUND(C19*F20,0)</f>
        <v>0</v>
      </c>
      <c r="D20" s="759"/>
      <c r="E20" s="748"/>
      <c r="F20" s="1348"/>
      <c r="G20" s="764"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624</v>
      </c>
      <c r="C21" s="748">
        <f ca="1">C19+C20</f>
        <v>0</v>
      </c>
      <c r="D21" s="759"/>
      <c r="E21" s="748"/>
      <c r="F21" s="760"/>
      <c r="G21" s="764"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626</v>
      </c>
      <c r="C22" s="748">
        <f ca="1">ROUND(C21*F22,0)</f>
        <v>0</v>
      </c>
      <c r="D22" s="759"/>
      <c r="E22" s="748"/>
      <c r="F22" s="765">
        <f>'数据-取费表'!AP16</f>
        <v>0.94</v>
      </c>
      <c r="G22" s="764"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628</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6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522</v>
      </c>
      <c r="B4" s="512"/>
      <c r="C4" s="3437" t="s">
        <v>523</v>
      </c>
      <c r="D4" s="3438"/>
      <c r="E4" s="3463" t="s">
        <v>524</v>
      </c>
      <c r="F4" s="3464"/>
      <c r="G4" s="3437" t="s">
        <v>525</v>
      </c>
      <c r="H4" s="3438"/>
      <c r="I4" s="3437" t="s">
        <v>526</v>
      </c>
      <c r="J4" s="3438"/>
      <c r="K4" s="513" t="s">
        <v>527</v>
      </c>
      <c r="L4" s="2131"/>
      <c r="M4" s="2132"/>
      <c r="N4" s="2132"/>
      <c r="O4" s="2132"/>
      <c r="P4" s="3439" t="s">
        <v>528</v>
      </c>
      <c r="Q4" s="3440"/>
      <c r="R4" s="3425" t="s">
        <v>524</v>
      </c>
      <c r="S4" s="3426"/>
      <c r="T4" s="3425" t="s">
        <v>525</v>
      </c>
      <c r="U4" s="3426"/>
      <c r="V4" s="3445" t="s">
        <v>526</v>
      </c>
      <c r="W4" s="3445"/>
      <c r="X4" s="1566"/>
      <c r="Y4" s="3425" t="s">
        <v>528</v>
      </c>
      <c r="Z4" s="3426"/>
      <c r="AA4" s="3420" t="s">
        <v>524</v>
      </c>
      <c r="AB4" s="3445" t="s">
        <v>525</v>
      </c>
      <c r="AC4" s="3420" t="s">
        <v>526</v>
      </c>
    </row>
    <row r="5" spans="1:29" ht="15">
      <c r="A5" s="514"/>
      <c r="B5" s="515"/>
      <c r="C5" s="3450" t="s">
        <v>2931</v>
      </c>
      <c r="D5" s="3449"/>
      <c r="E5" s="3465" t="s">
        <v>2932</v>
      </c>
      <c r="F5" s="3466"/>
      <c r="G5" s="3450" t="s">
        <v>2933</v>
      </c>
      <c r="H5" s="3449"/>
      <c r="I5" s="3450" t="s">
        <v>2934</v>
      </c>
      <c r="J5" s="3449"/>
      <c r="K5" s="513"/>
      <c r="L5" s="2131"/>
      <c r="M5" s="2132"/>
      <c r="N5" s="2132"/>
      <c r="O5" s="2132"/>
      <c r="P5" s="3441"/>
      <c r="Q5" s="3442"/>
      <c r="R5" s="3427"/>
      <c r="S5" s="3428"/>
      <c r="T5" s="3427"/>
      <c r="U5" s="3428"/>
      <c r="V5" s="3445"/>
      <c r="W5" s="3445"/>
      <c r="X5" s="1566"/>
      <c r="Y5" s="3427"/>
      <c r="Z5" s="3428"/>
      <c r="AA5" s="3421"/>
      <c r="AB5" s="3445"/>
      <c r="AC5" s="3421"/>
    </row>
    <row r="6" spans="1:29" ht="15.75" thickBot="1">
      <c r="A6" s="516"/>
      <c r="B6" s="517"/>
      <c r="C6" s="3467" t="s">
        <v>2935</v>
      </c>
      <c r="D6" s="3447"/>
      <c r="E6" s="3468" t="s">
        <v>2935</v>
      </c>
      <c r="F6" s="3469"/>
      <c r="G6" s="3467" t="s">
        <v>2935</v>
      </c>
      <c r="H6" s="3447"/>
      <c r="I6" s="3467" t="s">
        <v>2935</v>
      </c>
      <c r="J6" s="3447"/>
      <c r="K6" s="513" t="s">
        <v>529</v>
      </c>
      <c r="L6" s="2131"/>
      <c r="M6" s="2132"/>
      <c r="N6" s="2132"/>
      <c r="O6" s="2132"/>
      <c r="P6" s="3443"/>
      <c r="Q6" s="3444"/>
      <c r="R6" s="3427"/>
      <c r="S6" s="3428"/>
      <c r="T6" s="3429"/>
      <c r="U6" s="3430"/>
      <c r="V6" s="3445"/>
      <c r="W6" s="3445"/>
      <c r="X6" s="1566"/>
      <c r="Y6" s="3429"/>
      <c r="Z6" s="3430"/>
      <c r="AA6" s="3422"/>
      <c r="AB6" s="3445"/>
      <c r="AC6" s="3422"/>
    </row>
    <row r="7" spans="1:29" s="1219" customFormat="1" ht="15.75" thickBot="1">
      <c r="A7" s="2936"/>
      <c r="B7" s="2943" t="s">
        <v>530</v>
      </c>
      <c r="C7" s="518">
        <f>'数据-取费表'!B2</f>
        <v>43104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23" t="s">
        <v>531</v>
      </c>
      <c r="Q7" s="3432"/>
      <c r="R7" s="1567" t="s">
        <v>8</v>
      </c>
      <c r="S7" s="1568">
        <f t="shared" ref="S7:S15" si="0">F7</f>
        <v>0</v>
      </c>
      <c r="T7" s="1567" t="s">
        <v>8</v>
      </c>
      <c r="U7" s="1568">
        <f t="shared" ref="U7:U15" si="1">H7</f>
        <v>0</v>
      </c>
      <c r="V7" s="1567" t="s">
        <v>8</v>
      </c>
      <c r="W7" s="1568">
        <f t="shared" ref="W7:W15" si="2">J7</f>
        <v>0</v>
      </c>
      <c r="X7" s="1569"/>
      <c r="Y7" s="3423" t="s">
        <v>531</v>
      </c>
      <c r="Z7" s="3424"/>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23" t="s">
        <v>534</v>
      </c>
      <c r="Q8" s="3424"/>
      <c r="R8" s="1567" t="s">
        <v>8</v>
      </c>
      <c r="S8" s="1568">
        <f t="shared" si="0"/>
        <v>0</v>
      </c>
      <c r="T8" s="1567" t="s">
        <v>8</v>
      </c>
      <c r="U8" s="1568">
        <f t="shared" si="1"/>
        <v>0</v>
      </c>
      <c r="V8" s="1567" t="s">
        <v>8</v>
      </c>
      <c r="W8" s="1568">
        <f t="shared" si="2"/>
        <v>0</v>
      </c>
      <c r="X8" s="1569"/>
      <c r="Y8" s="3423" t="s">
        <v>534</v>
      </c>
      <c r="Z8" s="3424"/>
      <c r="AA8" s="1570" t="e">
        <f t="shared" ref="AA8:AA46" si="3">D8/F8</f>
        <v>#DIV/0!</v>
      </c>
      <c r="AB8" s="1570" t="e">
        <f t="shared" ref="AB8:AB46" si="4">D8/H8</f>
        <v>#DIV/0!</v>
      </c>
      <c r="AC8" s="1570" t="e">
        <f t="shared" ref="AC8:AC46" si="5">D8/J8</f>
        <v>#DIV/0!</v>
      </c>
    </row>
    <row r="9" spans="1:29" s="1219" customFormat="1" ht="15">
      <c r="A9" s="2938"/>
      <c r="B9" s="2945" t="s">
        <v>2761</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31"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31"/>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31"/>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31"/>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31"/>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934" t="s">
        <v>2759</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33" t="s">
        <v>541</v>
      </c>
      <c r="Q15" s="1571" t="str">
        <f t="shared" si="6"/>
        <v>商业繁华度</v>
      </c>
      <c r="R15" s="1572" t="s">
        <v>8</v>
      </c>
      <c r="S15" s="1573">
        <f t="shared" si="0"/>
        <v>100</v>
      </c>
      <c r="T15" s="1572" t="s">
        <v>8</v>
      </c>
      <c r="U15" s="1573">
        <f t="shared" si="1"/>
        <v>100</v>
      </c>
      <c r="V15" s="1572" t="s">
        <v>8</v>
      </c>
      <c r="W15" s="1573">
        <f t="shared" si="2"/>
        <v>100</v>
      </c>
      <c r="X15" s="1566"/>
      <c r="Y15" s="3433"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34"/>
      <c r="Q16" s="1571"/>
      <c r="R16" s="1572"/>
      <c r="S16" s="1573"/>
      <c r="T16" s="1572"/>
      <c r="U16" s="1573"/>
      <c r="V16" s="1572"/>
      <c r="W16" s="1573"/>
      <c r="X16" s="1566"/>
      <c r="Y16" s="343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34"/>
      <c r="Q18" s="1571"/>
      <c r="R18" s="1572"/>
      <c r="S18" s="1573"/>
      <c r="T18" s="1572"/>
      <c r="U18" s="1573"/>
      <c r="V18" s="1572"/>
      <c r="W18" s="1573"/>
      <c r="X18" s="1566"/>
      <c r="Y18" s="3434"/>
      <c r="Z18" s="1574"/>
      <c r="AA18" s="1575">
        <v>1</v>
      </c>
      <c r="AB18" s="1575">
        <v>1</v>
      </c>
      <c r="AC18" s="1575">
        <v>1</v>
      </c>
    </row>
    <row r="19" spans="1:29" ht="42.75">
      <c r="A19" s="531"/>
      <c r="B19" s="2622" t="s">
        <v>2549</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8.5">
      <c r="A21" s="531"/>
      <c r="B21" s="2615"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34"/>
      <c r="Q21" s="2601" t="str">
        <f>B21</f>
        <v>基础设施水平</v>
      </c>
      <c r="R21" s="1572" t="s">
        <v>8</v>
      </c>
      <c r="S21" s="1573">
        <f>F21</f>
        <v>100</v>
      </c>
      <c r="T21" s="1572" t="s">
        <v>8</v>
      </c>
      <c r="U21" s="1573">
        <f>H21</f>
        <v>100</v>
      </c>
      <c r="V21" s="1572" t="s">
        <v>8</v>
      </c>
      <c r="W21" s="1573">
        <f>J21</f>
        <v>100</v>
      </c>
      <c r="X21" s="2603"/>
      <c r="Y21" s="3434"/>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0"/>
      <c r="M22" s="2132"/>
      <c r="N22" s="2132"/>
      <c r="O22" s="2139"/>
      <c r="P22" s="3434"/>
      <c r="Q22" s="2601"/>
      <c r="R22" s="1572"/>
      <c r="S22" s="1573"/>
      <c r="T22" s="1572"/>
      <c r="U22" s="1573"/>
      <c r="V22" s="1572"/>
      <c r="W22" s="1573"/>
      <c r="X22" s="2603"/>
      <c r="Y22" s="3434"/>
      <c r="Z22" s="2602"/>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34"/>
      <c r="Q23" s="1571" t="str">
        <f>B23</f>
        <v>自然及人文环境</v>
      </c>
      <c r="R23" s="1572" t="s">
        <v>8</v>
      </c>
      <c r="S23" s="1573">
        <f>F23</f>
        <v>100</v>
      </c>
      <c r="T23" s="1572" t="s">
        <v>8</v>
      </c>
      <c r="U23" s="1573">
        <f>H23</f>
        <v>100</v>
      </c>
      <c r="V23" s="1572" t="s">
        <v>8</v>
      </c>
      <c r="W23" s="1573">
        <f>J23</f>
        <v>100</v>
      </c>
      <c r="X23" s="1566"/>
      <c r="Y23" s="343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34"/>
      <c r="Q25" s="1571" t="str">
        <f t="shared" ref="Q25:Q46" si="11">B25</f>
        <v>临街状况</v>
      </c>
      <c r="R25" s="1572" t="s">
        <v>8</v>
      </c>
      <c r="S25" s="1573">
        <f>F25</f>
        <v>100</v>
      </c>
      <c r="T25" s="1572" t="s">
        <v>8</v>
      </c>
      <c r="U25" s="1573">
        <f>H25</f>
        <v>100</v>
      </c>
      <c r="V25" s="1572" t="s">
        <v>8</v>
      </c>
      <c r="W25" s="1573">
        <f>J25</f>
        <v>100</v>
      </c>
      <c r="X25" s="1566"/>
      <c r="Y25" s="3434"/>
      <c r="Z25" s="1574" t="str">
        <f>Q25</f>
        <v>临街状况</v>
      </c>
      <c r="AA25" s="1575">
        <f t="shared" si="3"/>
        <v>1</v>
      </c>
      <c r="AB25" s="1575">
        <f t="shared" si="4"/>
        <v>1</v>
      </c>
      <c r="AC25" s="1575">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34"/>
      <c r="Q26" s="1571" t="str">
        <f t="shared" si="11"/>
        <v>平面位置/可视性</v>
      </c>
      <c r="R26" s="1572" t="s">
        <v>8</v>
      </c>
      <c r="S26" s="1573">
        <f>F26</f>
        <v>100</v>
      </c>
      <c r="T26" s="1572" t="s">
        <v>8</v>
      </c>
      <c r="U26" s="1573">
        <f>H26</f>
        <v>100</v>
      </c>
      <c r="V26" s="1572" t="s">
        <v>8</v>
      </c>
      <c r="W26" s="1573">
        <f>J26</f>
        <v>100</v>
      </c>
      <c r="X26" s="1566"/>
      <c r="Y26" s="3434"/>
      <c r="Z26" s="1574" t="str">
        <f>Q26</f>
        <v>平面位置/可视性</v>
      </c>
      <c r="AA26" s="1575">
        <f t="shared" si="3"/>
        <v>1</v>
      </c>
      <c r="AB26" s="1575">
        <f t="shared" si="4"/>
        <v>1</v>
      </c>
      <c r="AC26" s="1575">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34"/>
      <c r="Q27" s="1150" t="str">
        <f t="shared" si="11"/>
        <v>人流量</v>
      </c>
      <c r="R27" s="1567" t="s">
        <v>8</v>
      </c>
      <c r="S27" s="1568">
        <f>F27</f>
        <v>100</v>
      </c>
      <c r="T27" s="1567" t="s">
        <v>8</v>
      </c>
      <c r="U27" s="1568">
        <f>H27</f>
        <v>100</v>
      </c>
      <c r="V27" s="1567" t="s">
        <v>8</v>
      </c>
      <c r="W27" s="1568">
        <f>J27</f>
        <v>100</v>
      </c>
      <c r="X27" s="1569"/>
      <c r="Y27" s="3434"/>
      <c r="Z27" s="1149" t="str">
        <f>Q27</f>
        <v>人流量</v>
      </c>
      <c r="AA27" s="1575">
        <f>D27/F27</f>
        <v>1</v>
      </c>
      <c r="AB27" s="1575">
        <f>D27/H27</f>
        <v>1</v>
      </c>
      <c r="AC27" s="1575">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3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4"/>
      <c r="Q29" s="1571">
        <f t="shared" si="11"/>
        <v>111</v>
      </c>
      <c r="R29" s="1572" t="s">
        <v>8</v>
      </c>
      <c r="S29" s="1573">
        <f t="shared" si="12"/>
        <v>100</v>
      </c>
      <c r="T29" s="1572" t="s">
        <v>8</v>
      </c>
      <c r="U29" s="1573">
        <f t="shared" si="13"/>
        <v>100</v>
      </c>
      <c r="V29" s="1572" t="s">
        <v>8</v>
      </c>
      <c r="W29" s="1573">
        <f t="shared" si="14"/>
        <v>100</v>
      </c>
      <c r="X29" s="1566"/>
      <c r="Y29" s="343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4"/>
      <c r="Q30" s="1571">
        <f t="shared" si="11"/>
        <v>111</v>
      </c>
      <c r="R30" s="1572" t="s">
        <v>8</v>
      </c>
      <c r="S30" s="1573">
        <f t="shared" si="12"/>
        <v>100</v>
      </c>
      <c r="T30" s="1572" t="s">
        <v>8</v>
      </c>
      <c r="U30" s="1573">
        <f t="shared" si="13"/>
        <v>100</v>
      </c>
      <c r="V30" s="1572" t="s">
        <v>8</v>
      </c>
      <c r="W30" s="1573">
        <f t="shared" si="14"/>
        <v>100</v>
      </c>
      <c r="X30" s="1566"/>
      <c r="Y30" s="343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4"/>
      <c r="Q31" s="1571">
        <f t="shared" si="11"/>
        <v>111</v>
      </c>
      <c r="R31" s="1572" t="s">
        <v>8</v>
      </c>
      <c r="S31" s="1573">
        <f t="shared" si="12"/>
        <v>100</v>
      </c>
      <c r="T31" s="1572" t="s">
        <v>8</v>
      </c>
      <c r="U31" s="1573">
        <f t="shared" si="13"/>
        <v>100</v>
      </c>
      <c r="V31" s="1572" t="s">
        <v>8</v>
      </c>
      <c r="W31" s="1573">
        <f t="shared" si="14"/>
        <v>100</v>
      </c>
      <c r="X31" s="1566"/>
      <c r="Y31" s="3434"/>
      <c r="Z31" s="1574">
        <f t="shared" si="15"/>
        <v>111</v>
      </c>
      <c r="AA31" s="1575">
        <f t="shared" si="3"/>
        <v>1</v>
      </c>
      <c r="AB31" s="1575">
        <f t="shared" si="4"/>
        <v>1</v>
      </c>
      <c r="AC31" s="1575">
        <f t="shared" si="5"/>
        <v>1</v>
      </c>
    </row>
    <row r="32" spans="1:29" ht="15">
      <c r="A32" s="2931" t="s">
        <v>2760</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35" t="s">
        <v>551</v>
      </c>
      <c r="Q32" s="1571" t="str">
        <f t="shared" si="11"/>
        <v>商业类型</v>
      </c>
      <c r="R32" s="1572" t="s">
        <v>8</v>
      </c>
      <c r="S32" s="1573">
        <f t="shared" si="12"/>
        <v>100</v>
      </c>
      <c r="T32" s="1572" t="s">
        <v>8</v>
      </c>
      <c r="U32" s="1573">
        <f t="shared" si="13"/>
        <v>100</v>
      </c>
      <c r="V32" s="1572" t="s">
        <v>8</v>
      </c>
      <c r="W32" s="1573">
        <f t="shared" si="14"/>
        <v>100</v>
      </c>
      <c r="X32" s="1566"/>
      <c r="Y32" s="3436" t="s">
        <v>551</v>
      </c>
      <c r="Z32" s="1574" t="str">
        <f t="shared" si="15"/>
        <v>商业类型</v>
      </c>
      <c r="AA32" s="1575">
        <f t="shared" si="3"/>
        <v>1</v>
      </c>
      <c r="AB32" s="1575">
        <f t="shared" si="4"/>
        <v>1</v>
      </c>
      <c r="AC32" s="1575">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36"/>
      <c r="Q33" s="1604" t="str">
        <f t="shared" si="11"/>
        <v>项目建筑规模</v>
      </c>
      <c r="R33" s="1576" t="s">
        <v>8</v>
      </c>
      <c r="S33" s="1577" t="e">
        <f t="shared" si="12"/>
        <v>#N/A</v>
      </c>
      <c r="T33" s="1576" t="s">
        <v>8</v>
      </c>
      <c r="U33" s="1577" t="e">
        <f t="shared" si="13"/>
        <v>#N/A</v>
      </c>
      <c r="V33" s="1576" t="s">
        <v>8</v>
      </c>
      <c r="W33" s="1577" t="e">
        <f t="shared" si="14"/>
        <v>#N/A</v>
      </c>
      <c r="X33" s="1578"/>
      <c r="Y33" s="3436"/>
      <c r="Z33" s="1579" t="str">
        <f t="shared" si="15"/>
        <v>项目建筑规模</v>
      </c>
      <c r="AA33" s="1575" t="e">
        <f t="shared" si="3"/>
        <v>#N/A</v>
      </c>
      <c r="AB33" s="1575" t="e">
        <f t="shared" si="4"/>
        <v>#N/A</v>
      </c>
      <c r="AC33" s="1575"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36"/>
      <c r="Q34" s="1571" t="str">
        <f t="shared" si="11"/>
        <v>建筑结构</v>
      </c>
      <c r="R34" s="1572" t="s">
        <v>8</v>
      </c>
      <c r="S34" s="1573">
        <f t="shared" si="12"/>
        <v>100</v>
      </c>
      <c r="T34" s="1572" t="s">
        <v>8</v>
      </c>
      <c r="U34" s="1573">
        <f t="shared" si="13"/>
        <v>100</v>
      </c>
      <c r="V34" s="1572" t="s">
        <v>8</v>
      </c>
      <c r="W34" s="1573">
        <f t="shared" si="14"/>
        <v>100</v>
      </c>
      <c r="X34" s="1566"/>
      <c r="Y34" s="3436"/>
      <c r="Z34" s="1574" t="str">
        <f t="shared" si="15"/>
        <v>建筑结构</v>
      </c>
      <c r="AA34" s="1575">
        <f t="shared" si="3"/>
        <v>1</v>
      </c>
      <c r="AB34" s="1575">
        <f t="shared" si="4"/>
        <v>1</v>
      </c>
      <c r="AC34" s="1575">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36"/>
      <c r="Q35" s="1571" t="str">
        <f t="shared" si="11"/>
        <v>公共部分装修</v>
      </c>
      <c r="R35" s="1572" t="s">
        <v>8</v>
      </c>
      <c r="S35" s="1573">
        <f t="shared" si="12"/>
        <v>100</v>
      </c>
      <c r="T35" s="1572" t="s">
        <v>8</v>
      </c>
      <c r="U35" s="1573">
        <f t="shared" si="13"/>
        <v>100</v>
      </c>
      <c r="V35" s="1572" t="s">
        <v>8</v>
      </c>
      <c r="W35" s="1573">
        <f t="shared" si="14"/>
        <v>100</v>
      </c>
      <c r="X35" s="1566"/>
      <c r="Y35" s="3436"/>
      <c r="Z35" s="1574" t="str">
        <f t="shared" si="15"/>
        <v>公共部分装修</v>
      </c>
      <c r="AA35" s="1575">
        <f t="shared" si="3"/>
        <v>1</v>
      </c>
      <c r="AB35" s="1575">
        <f t="shared" si="4"/>
        <v>1</v>
      </c>
      <c r="AC35" s="1575">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36"/>
      <c r="Q36" s="1571" t="str">
        <f t="shared" si="11"/>
        <v>成新度</v>
      </c>
      <c r="R36" s="1572" t="s">
        <v>8</v>
      </c>
      <c r="S36" s="1573" t="e">
        <f t="shared" si="12"/>
        <v>#N/A</v>
      </c>
      <c r="T36" s="1572" t="s">
        <v>8</v>
      </c>
      <c r="U36" s="1573" t="e">
        <f t="shared" si="13"/>
        <v>#N/A</v>
      </c>
      <c r="V36" s="1572" t="s">
        <v>8</v>
      </c>
      <c r="W36" s="1573" t="e">
        <f t="shared" si="14"/>
        <v>#N/A</v>
      </c>
      <c r="X36" s="1566"/>
      <c r="Y36" s="3436"/>
      <c r="Z36" s="1574" t="str">
        <f t="shared" si="15"/>
        <v>成新度</v>
      </c>
      <c r="AA36" s="1575" t="e">
        <f t="shared" si="3"/>
        <v>#N/A</v>
      </c>
      <c r="AB36" s="1575" t="e">
        <f t="shared" si="4"/>
        <v>#N/A</v>
      </c>
      <c r="AC36" s="1575" t="e">
        <f t="shared" si="5"/>
        <v>#N/A</v>
      </c>
    </row>
    <row r="37" spans="1:29" s="1219" customFormat="1" ht="15">
      <c r="A37" s="599"/>
      <c r="B37" s="1893"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36"/>
      <c r="Q37" s="1150" t="str">
        <f t="shared" si="11"/>
        <v>市政基础设施</v>
      </c>
      <c r="R37" s="1567" t="s">
        <v>8</v>
      </c>
      <c r="S37" s="1568">
        <f t="shared" si="12"/>
        <v>100</v>
      </c>
      <c r="T37" s="1567" t="s">
        <v>8</v>
      </c>
      <c r="U37" s="1568">
        <f t="shared" si="13"/>
        <v>100</v>
      </c>
      <c r="V37" s="1567" t="s">
        <v>8</v>
      </c>
      <c r="W37" s="1568">
        <f t="shared" si="14"/>
        <v>100</v>
      </c>
      <c r="X37" s="1569"/>
      <c r="Y37" s="3436"/>
      <c r="Z37" s="1149" t="str">
        <f t="shared" si="15"/>
        <v>市政基础设施</v>
      </c>
      <c r="AA37" s="1570">
        <f t="shared" si="3"/>
        <v>1</v>
      </c>
      <c r="AB37" s="1570">
        <f t="shared" si="4"/>
        <v>1</v>
      </c>
      <c r="AC37" s="1570">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36" t="s">
        <v>767</v>
      </c>
      <c r="Q38" s="1571" t="str">
        <f t="shared" si="11"/>
        <v>业态</v>
      </c>
      <c r="R38" s="1572" t="s">
        <v>8</v>
      </c>
      <c r="S38" s="1573">
        <f t="shared" si="12"/>
        <v>100</v>
      </c>
      <c r="T38" s="1572" t="s">
        <v>8</v>
      </c>
      <c r="U38" s="1573">
        <f t="shared" si="13"/>
        <v>100</v>
      </c>
      <c r="V38" s="1572" t="s">
        <v>8</v>
      </c>
      <c r="W38" s="1573">
        <f t="shared" si="14"/>
        <v>100</v>
      </c>
      <c r="X38" s="1566"/>
      <c r="Y38" s="3436" t="s">
        <v>767</v>
      </c>
      <c r="Z38" s="1574" t="str">
        <f t="shared" si="15"/>
        <v>业态</v>
      </c>
      <c r="AA38" s="1575">
        <f t="shared" si="3"/>
        <v>1</v>
      </c>
      <c r="AB38" s="1575">
        <f t="shared" si="4"/>
        <v>1</v>
      </c>
      <c r="AC38" s="1575">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6"/>
      <c r="Q39" s="1571" t="str">
        <f t="shared" si="11"/>
        <v>层高</v>
      </c>
      <c r="R39" s="1572" t="s">
        <v>8</v>
      </c>
      <c r="S39" s="1573">
        <f t="shared" si="12"/>
        <v>100</v>
      </c>
      <c r="T39" s="1572" t="s">
        <v>8</v>
      </c>
      <c r="U39" s="1573">
        <f t="shared" si="13"/>
        <v>100</v>
      </c>
      <c r="V39" s="1572" t="s">
        <v>8</v>
      </c>
      <c r="W39" s="1573">
        <f t="shared" si="14"/>
        <v>100</v>
      </c>
      <c r="X39" s="1566"/>
      <c r="Y39" s="3436"/>
      <c r="Z39" s="1574" t="str">
        <f t="shared" si="15"/>
        <v>层高</v>
      </c>
      <c r="AA39" s="1575">
        <f t="shared" si="3"/>
        <v>1</v>
      </c>
      <c r="AB39" s="1575">
        <f t="shared" si="4"/>
        <v>1</v>
      </c>
      <c r="AC39" s="1575">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36"/>
      <c r="Q40" s="1571" t="str">
        <f t="shared" si="11"/>
        <v>单套建筑面积</v>
      </c>
      <c r="R40" s="1572" t="s">
        <v>8</v>
      </c>
      <c r="S40" s="1573">
        <f t="shared" si="12"/>
        <v>100</v>
      </c>
      <c r="T40" s="1572" t="s">
        <v>8</v>
      </c>
      <c r="U40" s="1573">
        <f t="shared" si="13"/>
        <v>100</v>
      </c>
      <c r="V40" s="1572" t="s">
        <v>8</v>
      </c>
      <c r="W40" s="1573">
        <f t="shared" si="14"/>
        <v>100</v>
      </c>
      <c r="X40" s="1566"/>
      <c r="Y40" s="3436"/>
      <c r="Z40" s="1574" t="str">
        <f t="shared" si="15"/>
        <v>单套建筑面积</v>
      </c>
      <c r="AA40" s="1575">
        <f t="shared" si="3"/>
        <v>1</v>
      </c>
      <c r="AB40" s="1575">
        <f t="shared" si="4"/>
        <v>1</v>
      </c>
      <c r="AC40" s="1575">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36"/>
      <c r="Q41" s="1604" t="str">
        <f t="shared" si="11"/>
        <v>进深比</v>
      </c>
      <c r="R41" s="1576" t="s">
        <v>8</v>
      </c>
      <c r="S41" s="1577">
        <f t="shared" si="12"/>
        <v>100</v>
      </c>
      <c r="T41" s="1576" t="s">
        <v>8</v>
      </c>
      <c r="U41" s="1577">
        <f t="shared" si="13"/>
        <v>100</v>
      </c>
      <c r="V41" s="1576" t="s">
        <v>8</v>
      </c>
      <c r="W41" s="1577">
        <f t="shared" si="14"/>
        <v>100</v>
      </c>
      <c r="X41" s="1578"/>
      <c r="Y41" s="3436"/>
      <c r="Z41" s="1579" t="str">
        <f t="shared" si="15"/>
        <v>进深比</v>
      </c>
      <c r="AA41" s="1575">
        <f t="shared" si="3"/>
        <v>1</v>
      </c>
      <c r="AB41" s="1575">
        <f t="shared" si="4"/>
        <v>1</v>
      </c>
      <c r="AC41" s="1575">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36"/>
      <c r="Q42" s="1571" t="str">
        <f t="shared" si="11"/>
        <v>内部装修</v>
      </c>
      <c r="R42" s="1572" t="s">
        <v>8</v>
      </c>
      <c r="S42" s="1573">
        <f t="shared" si="12"/>
        <v>100</v>
      </c>
      <c r="T42" s="1572" t="s">
        <v>8</v>
      </c>
      <c r="U42" s="1573">
        <f t="shared" si="13"/>
        <v>100</v>
      </c>
      <c r="V42" s="1572" t="s">
        <v>8</v>
      </c>
      <c r="W42" s="1573">
        <f t="shared" si="14"/>
        <v>100</v>
      </c>
      <c r="X42" s="1566"/>
      <c r="Y42" s="3436"/>
      <c r="Z42" s="1574" t="str">
        <f t="shared" si="15"/>
        <v>内部装修</v>
      </c>
      <c r="AA42" s="1575">
        <f t="shared" si="3"/>
        <v>1</v>
      </c>
      <c r="AB42" s="1575">
        <f t="shared" si="4"/>
        <v>1</v>
      </c>
      <c r="AC42" s="1575">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36"/>
      <c r="Q43" s="1571" t="str">
        <f t="shared" si="11"/>
        <v>内部装修维护情况</v>
      </c>
      <c r="R43" s="1572" t="s">
        <v>8</v>
      </c>
      <c r="S43" s="1573">
        <f t="shared" si="12"/>
        <v>100</v>
      </c>
      <c r="T43" s="1572" t="s">
        <v>8</v>
      </c>
      <c r="U43" s="1573">
        <f t="shared" si="13"/>
        <v>100</v>
      </c>
      <c r="V43" s="1572" t="s">
        <v>8</v>
      </c>
      <c r="W43" s="1573">
        <f t="shared" si="14"/>
        <v>100</v>
      </c>
      <c r="X43" s="1566"/>
      <c r="Y43" s="343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6"/>
      <c r="Q44" s="1150">
        <f t="shared" si="11"/>
        <v>111</v>
      </c>
      <c r="R44" s="1567" t="s">
        <v>8</v>
      </c>
      <c r="S44" s="1568">
        <f t="shared" si="12"/>
        <v>100</v>
      </c>
      <c r="T44" s="1567" t="s">
        <v>8</v>
      </c>
      <c r="U44" s="1568">
        <f t="shared" si="13"/>
        <v>100</v>
      </c>
      <c r="V44" s="1567" t="s">
        <v>8</v>
      </c>
      <c r="W44" s="1568">
        <f t="shared" si="14"/>
        <v>100</v>
      </c>
      <c r="X44" s="1569"/>
      <c r="Y44" s="343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6"/>
      <c r="Q45" s="1571">
        <f t="shared" si="11"/>
        <v>111</v>
      </c>
      <c r="R45" s="1572" t="s">
        <v>8</v>
      </c>
      <c r="S45" s="1573">
        <f t="shared" si="12"/>
        <v>100</v>
      </c>
      <c r="T45" s="1572" t="s">
        <v>8</v>
      </c>
      <c r="U45" s="1573">
        <f t="shared" si="13"/>
        <v>100</v>
      </c>
      <c r="V45" s="1572" t="s">
        <v>8</v>
      </c>
      <c r="W45" s="1573">
        <f t="shared" si="14"/>
        <v>100</v>
      </c>
      <c r="X45" s="1566"/>
      <c r="Y45" s="343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4"/>
      <c r="Q46" s="1571">
        <f t="shared" si="11"/>
        <v>111</v>
      </c>
      <c r="R46" s="1572" t="s">
        <v>8</v>
      </c>
      <c r="S46" s="1573">
        <f t="shared" si="12"/>
        <v>100</v>
      </c>
      <c r="T46" s="1572" t="s">
        <v>8</v>
      </c>
      <c r="U46" s="1573">
        <f t="shared" si="13"/>
        <v>100</v>
      </c>
      <c r="V46" s="1572" t="s">
        <v>8</v>
      </c>
      <c r="W46" s="1573">
        <f t="shared" si="14"/>
        <v>100</v>
      </c>
      <c r="X46" s="1566"/>
      <c r="Y46" s="3514"/>
      <c r="Z46" s="1574">
        <f t="shared" si="15"/>
        <v>111</v>
      </c>
      <c r="AA46" s="1575">
        <f t="shared" si="3"/>
        <v>1</v>
      </c>
      <c r="AB46" s="1575">
        <f t="shared" si="4"/>
        <v>1</v>
      </c>
      <c r="AC46" s="1575">
        <f t="shared" si="5"/>
        <v>1</v>
      </c>
    </row>
    <row r="47" spans="1:29" ht="15">
      <c r="A47" s="606" t="s">
        <v>737</v>
      </c>
      <c r="B47" s="886"/>
      <c r="C47" s="2649" t="s">
        <v>1</v>
      </c>
      <c r="D47" s="2650"/>
      <c r="E47" s="2651"/>
      <c r="F47" s="2652"/>
      <c r="G47" s="2653"/>
      <c r="H47" s="2654"/>
      <c r="I47" s="2651"/>
      <c r="J47" s="2654"/>
      <c r="K47" s="1610"/>
      <c r="L47" s="2142"/>
      <c r="M47" s="2143"/>
      <c r="N47" s="2132"/>
      <c r="O47" s="2143"/>
      <c r="P47" s="3431" t="str">
        <f>A47</f>
        <v>成交单价（元/平方米）</v>
      </c>
      <c r="Q47" s="3431"/>
      <c r="R47" s="3513">
        <f>E47</f>
        <v>0</v>
      </c>
      <c r="S47" s="3513"/>
      <c r="T47" s="3513">
        <f>G47</f>
        <v>0</v>
      </c>
      <c r="U47" s="3513"/>
      <c r="V47" s="3513">
        <f>I47</f>
        <v>0</v>
      </c>
      <c r="W47" s="3513"/>
      <c r="X47" s="1558"/>
      <c r="Y47" s="1580"/>
      <c r="Z47" s="1558"/>
      <c r="AA47" s="1558"/>
      <c r="AB47" s="1558"/>
      <c r="AC47" s="1558"/>
    </row>
    <row r="48" spans="1:29" ht="15.75" thickBot="1">
      <c r="A48" s="614" t="s">
        <v>2765</v>
      </c>
      <c r="B48" s="887"/>
      <c r="C48" s="2655" t="e">
        <f>R49</f>
        <v>#DIV/0!</v>
      </c>
      <c r="D48" s="2656"/>
      <c r="E48" s="2657" t="e">
        <f>R48</f>
        <v>#DIV/0!</v>
      </c>
      <c r="F48" s="2657"/>
      <c r="G48" s="2655" t="e">
        <f>T48</f>
        <v>#DIV/0!</v>
      </c>
      <c r="H48" s="2656"/>
      <c r="I48" s="2657" t="e">
        <f>V48</f>
        <v>#DIV/0!</v>
      </c>
      <c r="J48" s="2656"/>
      <c r="K48" s="1611"/>
      <c r="L48" s="2142"/>
      <c r="M48" s="2143"/>
      <c r="N48" s="2132"/>
      <c r="O48" s="2143"/>
      <c r="P48" s="3431" t="str">
        <f>A48</f>
        <v>比较价格（元/平方米）</v>
      </c>
      <c r="Q48" s="3431"/>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0" t="s">
        <v>2937</v>
      </c>
      <c r="B49" s="621"/>
      <c r="C49" s="2658" t="e">
        <f>R49</f>
        <v>#DIV/0!</v>
      </c>
      <c r="D49" s="2658"/>
      <c r="E49" s="2658"/>
      <c r="F49" s="2658"/>
      <c r="G49" s="2658"/>
      <c r="H49" s="2658"/>
      <c r="I49" s="2658"/>
      <c r="J49" s="2658"/>
      <c r="K49" s="1612"/>
      <c r="L49" s="2142"/>
      <c r="M49" s="2143"/>
      <c r="N49" s="2132"/>
      <c r="O49" s="2143"/>
      <c r="P49" s="3454" t="str">
        <f>A49</f>
        <v>估价对象XX用房的比较价格（楼面单价，元/平方米）</v>
      </c>
      <c r="Q49" s="3455"/>
      <c r="R49" s="3512" t="e">
        <f>IF(F1="售价",ROUND(AVERAGE(R48:V48),0),ROUND(AVERAGE(R48:V48),1))</f>
        <v>#DIV/0!</v>
      </c>
      <c r="S49" s="3512"/>
      <c r="T49" s="3512"/>
      <c r="U49" s="3512"/>
      <c r="V49" s="3512"/>
      <c r="W49" s="351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530</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578</v>
      </c>
      <c r="B63" s="664" t="s">
        <v>535</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772</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552</v>
      </c>
      <c r="B100" s="664" t="s">
        <v>773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752</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2559</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774</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775</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776</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777</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1"/>
      <c r="G1" s="1600" t="s">
        <v>722</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522</v>
      </c>
      <c r="B4" s="512"/>
      <c r="C4" s="3437" t="s">
        <v>523</v>
      </c>
      <c r="D4" s="3438"/>
      <c r="E4" s="3463" t="s">
        <v>524</v>
      </c>
      <c r="F4" s="3464"/>
      <c r="G4" s="3437" t="s">
        <v>525</v>
      </c>
      <c r="H4" s="3438"/>
      <c r="I4" s="3437" t="s">
        <v>526</v>
      </c>
      <c r="J4" s="3438"/>
      <c r="K4" s="513" t="s">
        <v>527</v>
      </c>
      <c r="L4" s="2131"/>
      <c r="M4" s="2132"/>
      <c r="N4" s="2132"/>
      <c r="O4" s="2132"/>
      <c r="P4" s="3538" t="s">
        <v>528</v>
      </c>
      <c r="Q4" s="3440"/>
      <c r="R4" s="3425" t="s">
        <v>524</v>
      </c>
      <c r="S4" s="3426"/>
      <c r="T4" s="3425" t="s">
        <v>525</v>
      </c>
      <c r="U4" s="3426"/>
      <c r="V4" s="3445" t="s">
        <v>526</v>
      </c>
      <c r="W4" s="3445"/>
      <c r="X4" s="1566"/>
      <c r="Y4" s="3425" t="s">
        <v>528</v>
      </c>
      <c r="Z4" s="3426"/>
      <c r="AA4" s="3420" t="s">
        <v>524</v>
      </c>
      <c r="AB4" s="3420" t="s">
        <v>525</v>
      </c>
      <c r="AC4" s="3420" t="s">
        <v>526</v>
      </c>
    </row>
    <row r="5" spans="1:29" ht="15">
      <c r="A5" s="514"/>
      <c r="B5" s="515"/>
      <c r="C5" s="3450" t="s">
        <v>2931</v>
      </c>
      <c r="D5" s="3449"/>
      <c r="E5" s="3465" t="s">
        <v>2932</v>
      </c>
      <c r="F5" s="3466"/>
      <c r="G5" s="3450" t="s">
        <v>2933</v>
      </c>
      <c r="H5" s="3449"/>
      <c r="I5" s="3450" t="s">
        <v>2934</v>
      </c>
      <c r="J5" s="3449"/>
      <c r="K5" s="513"/>
      <c r="L5" s="2131"/>
      <c r="M5" s="2132"/>
      <c r="N5" s="2132"/>
      <c r="O5" s="2132"/>
      <c r="P5" s="3539"/>
      <c r="Q5" s="3442"/>
      <c r="R5" s="3427"/>
      <c r="S5" s="3428"/>
      <c r="T5" s="3427"/>
      <c r="U5" s="3428"/>
      <c r="V5" s="3445"/>
      <c r="W5" s="3445"/>
      <c r="X5" s="1566"/>
      <c r="Y5" s="3427"/>
      <c r="Z5" s="3428"/>
      <c r="AA5" s="3421"/>
      <c r="AB5" s="3421"/>
      <c r="AC5" s="3421"/>
    </row>
    <row r="6" spans="1:29" ht="15.75" thickBot="1">
      <c r="A6" s="516"/>
      <c r="B6" s="517"/>
      <c r="C6" s="3467" t="s">
        <v>2935</v>
      </c>
      <c r="D6" s="3447"/>
      <c r="E6" s="3468" t="s">
        <v>2935</v>
      </c>
      <c r="F6" s="3469"/>
      <c r="G6" s="3467" t="s">
        <v>2935</v>
      </c>
      <c r="H6" s="3447"/>
      <c r="I6" s="3467" t="s">
        <v>2935</v>
      </c>
      <c r="J6" s="3447"/>
      <c r="K6" s="513" t="s">
        <v>529</v>
      </c>
      <c r="L6" s="2131"/>
      <c r="M6" s="2132"/>
      <c r="N6" s="2132"/>
      <c r="O6" s="2132"/>
      <c r="P6" s="3540"/>
      <c r="Q6" s="3444"/>
      <c r="R6" s="3427"/>
      <c r="S6" s="3428"/>
      <c r="T6" s="3429"/>
      <c r="U6" s="3430"/>
      <c r="V6" s="3445"/>
      <c r="W6" s="3445"/>
      <c r="X6" s="1566"/>
      <c r="Y6" s="3429"/>
      <c r="Z6" s="3430"/>
      <c r="AA6" s="3422"/>
      <c r="AB6" s="3422"/>
      <c r="AC6" s="3422"/>
    </row>
    <row r="7" spans="1:29" s="1219" customFormat="1" ht="15.75" thickBot="1">
      <c r="A7" s="2936"/>
      <c r="B7" s="2943" t="s">
        <v>530</v>
      </c>
      <c r="C7" s="518">
        <f>'数据-取费表'!B2</f>
        <v>43104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32" t="s">
        <v>531</v>
      </c>
      <c r="Q7" s="3432"/>
      <c r="R7" s="1567" t="s">
        <v>8</v>
      </c>
      <c r="S7" s="1568">
        <f t="shared" ref="S7:S15" si="0">F7</f>
        <v>0</v>
      </c>
      <c r="T7" s="1567" t="s">
        <v>8</v>
      </c>
      <c r="U7" s="1568">
        <f t="shared" ref="U7:U15" si="1">H7</f>
        <v>0</v>
      </c>
      <c r="V7" s="1567" t="s">
        <v>8</v>
      </c>
      <c r="W7" s="1568">
        <f t="shared" ref="W7:W15" si="2">J7</f>
        <v>0</v>
      </c>
      <c r="X7" s="1569"/>
      <c r="Y7" s="3423" t="s">
        <v>531</v>
      </c>
      <c r="Z7" s="3424"/>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32" t="s">
        <v>534</v>
      </c>
      <c r="Q8" s="3424"/>
      <c r="R8" s="1567" t="s">
        <v>8</v>
      </c>
      <c r="S8" s="1568">
        <f t="shared" si="0"/>
        <v>0</v>
      </c>
      <c r="T8" s="1567" t="s">
        <v>8</v>
      </c>
      <c r="U8" s="1568">
        <f t="shared" si="1"/>
        <v>0</v>
      </c>
      <c r="V8" s="1567" t="s">
        <v>8</v>
      </c>
      <c r="W8" s="1568">
        <f t="shared" si="2"/>
        <v>0</v>
      </c>
      <c r="X8" s="1569"/>
      <c r="Y8" s="3423" t="s">
        <v>534</v>
      </c>
      <c r="Z8" s="3424"/>
      <c r="AA8" s="1570" t="e">
        <f t="shared" ref="AA8:AA47" si="3">D8/F8</f>
        <v>#DIV/0!</v>
      </c>
      <c r="AB8" s="1570" t="e">
        <f t="shared" ref="AB8:AB47" si="4">D8/H8</f>
        <v>#DIV/0!</v>
      </c>
      <c r="AC8" s="1570" t="e">
        <f t="shared" ref="AC8:AC47" si="5">D8/J8</f>
        <v>#DIV/0!</v>
      </c>
    </row>
    <row r="9" spans="1:29" s="1219" customFormat="1" ht="15">
      <c r="A9" s="2938"/>
      <c r="B9" s="2945" t="s">
        <v>2761</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31"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31"/>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31"/>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31"/>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31"/>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934" t="s">
        <v>2759</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33" t="s">
        <v>541</v>
      </c>
      <c r="Q15" s="1571" t="str">
        <f t="shared" si="6"/>
        <v>办公集聚程度</v>
      </c>
      <c r="R15" s="1572" t="s">
        <v>8</v>
      </c>
      <c r="S15" s="1573">
        <f t="shared" si="0"/>
        <v>100</v>
      </c>
      <c r="T15" s="1572" t="s">
        <v>8</v>
      </c>
      <c r="U15" s="1573">
        <f t="shared" si="1"/>
        <v>100</v>
      </c>
      <c r="V15" s="1572" t="s">
        <v>8</v>
      </c>
      <c r="W15" s="1573">
        <f t="shared" si="2"/>
        <v>100</v>
      </c>
      <c r="X15" s="1566"/>
      <c r="Y15" s="3433"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434"/>
      <c r="Q16" s="1571"/>
      <c r="R16" s="1572"/>
      <c r="S16" s="1573"/>
      <c r="T16" s="1572"/>
      <c r="U16" s="1573"/>
      <c r="V16" s="1572"/>
      <c r="W16" s="1573"/>
      <c r="X16" s="1566"/>
      <c r="Y16" s="3434"/>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434"/>
      <c r="Q18" s="1571"/>
      <c r="R18" s="1572"/>
      <c r="S18" s="1573"/>
      <c r="T18" s="1572"/>
      <c r="U18" s="1573"/>
      <c r="V18" s="1572"/>
      <c r="W18" s="1573"/>
      <c r="X18" s="1566"/>
      <c r="Y18" s="3434"/>
      <c r="Z18" s="1574"/>
      <c r="AA18" s="1575">
        <v>1</v>
      </c>
      <c r="AB18" s="1575">
        <v>1</v>
      </c>
      <c r="AC18" s="1575">
        <v>1</v>
      </c>
    </row>
    <row r="19" spans="1:29" ht="42.75">
      <c r="A19" s="531"/>
      <c r="B19" s="2625" t="s">
        <v>2549</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434"/>
      <c r="Q20" s="1571"/>
      <c r="R20" s="1572"/>
      <c r="S20" s="1573"/>
      <c r="T20" s="1572"/>
      <c r="U20" s="1573"/>
      <c r="V20" s="1572"/>
      <c r="W20" s="1573"/>
      <c r="X20" s="1566"/>
      <c r="Y20" s="3434"/>
      <c r="Z20" s="1574"/>
      <c r="AA20" s="1575">
        <v>1</v>
      </c>
      <c r="AB20" s="1575">
        <v>1</v>
      </c>
      <c r="AC20" s="1575">
        <v>1</v>
      </c>
    </row>
    <row r="21" spans="1:29" ht="28.5">
      <c r="A21" s="531"/>
      <c r="B21" s="2613" t="s">
        <v>2561</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34"/>
      <c r="Q21" s="2601" t="str">
        <f>B21</f>
        <v>基础设施水平</v>
      </c>
      <c r="R21" s="1572" t="s">
        <v>8</v>
      </c>
      <c r="S21" s="1573">
        <f>F21</f>
        <v>100</v>
      </c>
      <c r="T21" s="1572" t="s">
        <v>8</v>
      </c>
      <c r="U21" s="1573">
        <f>H21</f>
        <v>100</v>
      </c>
      <c r="V21" s="1572" t="s">
        <v>8</v>
      </c>
      <c r="W21" s="1573">
        <f>J21</f>
        <v>100</v>
      </c>
      <c r="X21" s="2603"/>
      <c r="Y21" s="3434"/>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0"/>
      <c r="M22" s="2132"/>
      <c r="N22" s="2132"/>
      <c r="O22" s="2132"/>
      <c r="P22" s="3434"/>
      <c r="Q22" s="2601"/>
      <c r="R22" s="1572"/>
      <c r="S22" s="1573"/>
      <c r="T22" s="1572"/>
      <c r="U22" s="1573"/>
      <c r="V22" s="1572"/>
      <c r="W22" s="1573"/>
      <c r="X22" s="2603"/>
      <c r="Y22" s="3434"/>
      <c r="Z22" s="2602"/>
      <c r="AA22" s="1575">
        <v>1</v>
      </c>
      <c r="AB22" s="1575">
        <v>1</v>
      </c>
      <c r="AC22" s="1575">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34"/>
      <c r="Q23" s="1571" t="str">
        <f>B23</f>
        <v>环境质量</v>
      </c>
      <c r="R23" s="1572" t="s">
        <v>8</v>
      </c>
      <c r="S23" s="1573">
        <f>F23</f>
        <v>100</v>
      </c>
      <c r="T23" s="1572" t="s">
        <v>8</v>
      </c>
      <c r="U23" s="1573">
        <f>H23</f>
        <v>100</v>
      </c>
      <c r="V23" s="1572" t="s">
        <v>8</v>
      </c>
      <c r="W23" s="1573">
        <f>J23</f>
        <v>100</v>
      </c>
      <c r="X23" s="1566"/>
      <c r="Y23" s="343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434"/>
      <c r="Q24" s="1571"/>
      <c r="R24" s="1572"/>
      <c r="S24" s="1573"/>
      <c r="T24" s="1572"/>
      <c r="U24" s="1573"/>
      <c r="V24" s="1572"/>
      <c r="W24" s="1573"/>
      <c r="X24" s="1566"/>
      <c r="Y24" s="3434"/>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34"/>
      <c r="Q25" s="1571" t="str">
        <f>B25</f>
        <v>毗邻道路的类型与等级</v>
      </c>
      <c r="R25" s="1572" t="s">
        <v>8</v>
      </c>
      <c r="S25" s="1573">
        <f>F25</f>
        <v>100</v>
      </c>
      <c r="T25" s="1572" t="s">
        <v>8</v>
      </c>
      <c r="U25" s="1573">
        <f>H25</f>
        <v>100</v>
      </c>
      <c r="V25" s="1572" t="s">
        <v>8</v>
      </c>
      <c r="W25" s="1573">
        <f>J25</f>
        <v>100</v>
      </c>
      <c r="X25" s="1566"/>
      <c r="Y25" s="343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434"/>
      <c r="Q26" s="1571"/>
      <c r="R26" s="1572"/>
      <c r="S26" s="1573"/>
      <c r="T26" s="1572"/>
      <c r="U26" s="1573"/>
      <c r="V26" s="1572"/>
      <c r="W26" s="1573"/>
      <c r="X26" s="1566"/>
      <c r="Y26" s="3434"/>
      <c r="Z26" s="1574"/>
      <c r="AA26" s="1575">
        <v>1</v>
      </c>
      <c r="AB26" s="1575">
        <v>1</v>
      </c>
      <c r="AC26" s="1575">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4"/>
      <c r="Q27" s="1571" t="str">
        <f t="shared" ref="Q27:Q47" si="11">B27</f>
        <v>楼层</v>
      </c>
      <c r="R27" s="1572" t="s">
        <v>8</v>
      </c>
      <c r="S27" s="1573">
        <f>F27</f>
        <v>100</v>
      </c>
      <c r="T27" s="1572" t="s">
        <v>8</v>
      </c>
      <c r="U27" s="1573">
        <f>H27</f>
        <v>100</v>
      </c>
      <c r="V27" s="1572" t="s">
        <v>8</v>
      </c>
      <c r="W27" s="1573">
        <f>J27</f>
        <v>100</v>
      </c>
      <c r="X27" s="1566"/>
      <c r="Y27" s="3434"/>
      <c r="Z27" s="1574" t="str">
        <f>Q27</f>
        <v>楼层</v>
      </c>
      <c r="AA27" s="1575">
        <f t="shared" si="3"/>
        <v>1</v>
      </c>
      <c r="AB27" s="1575">
        <f t="shared" si="4"/>
        <v>1</v>
      </c>
      <c r="AC27" s="1575">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34"/>
      <c r="Q28" s="1150" t="str">
        <f t="shared" si="11"/>
        <v>朝向</v>
      </c>
      <c r="R28" s="1567" t="s">
        <v>8</v>
      </c>
      <c r="S28" s="1568">
        <f>F28</f>
        <v>100</v>
      </c>
      <c r="T28" s="1567" t="s">
        <v>8</v>
      </c>
      <c r="U28" s="1568">
        <f>H28</f>
        <v>100</v>
      </c>
      <c r="V28" s="1567" t="s">
        <v>8</v>
      </c>
      <c r="W28" s="1568">
        <f>J28</f>
        <v>100</v>
      </c>
      <c r="X28" s="1569"/>
      <c r="Y28" s="343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34"/>
      <c r="Q29" s="1571">
        <f t="shared" si="11"/>
        <v>111</v>
      </c>
      <c r="R29" s="1572" t="s">
        <v>8</v>
      </c>
      <c r="S29" s="1573">
        <f t="shared" ref="S29:S47" si="12">F29</f>
        <v>100</v>
      </c>
      <c r="T29" s="1572" t="s">
        <v>8</v>
      </c>
      <c r="U29" s="1573">
        <f t="shared" ref="U29:U47" si="13">H29</f>
        <v>100</v>
      </c>
      <c r="V29" s="1572" t="s">
        <v>8</v>
      </c>
      <c r="W29" s="1573">
        <f t="shared" ref="W29:W47" si="14">J29</f>
        <v>100</v>
      </c>
      <c r="X29" s="1566"/>
      <c r="Y29" s="343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34"/>
      <c r="Q30" s="1571">
        <f t="shared" si="11"/>
        <v>111</v>
      </c>
      <c r="R30" s="1572" t="s">
        <v>8</v>
      </c>
      <c r="S30" s="1573">
        <f t="shared" si="12"/>
        <v>100</v>
      </c>
      <c r="T30" s="1572" t="s">
        <v>8</v>
      </c>
      <c r="U30" s="1573">
        <f t="shared" si="13"/>
        <v>100</v>
      </c>
      <c r="V30" s="1572" t="s">
        <v>8</v>
      </c>
      <c r="W30" s="1573">
        <f t="shared" si="14"/>
        <v>100</v>
      </c>
      <c r="X30" s="1566"/>
      <c r="Y30" s="343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34"/>
      <c r="Q31" s="1571">
        <f t="shared" si="11"/>
        <v>111</v>
      </c>
      <c r="R31" s="1572" t="s">
        <v>8</v>
      </c>
      <c r="S31" s="1573">
        <f t="shared" si="12"/>
        <v>100</v>
      </c>
      <c r="T31" s="1572" t="s">
        <v>8</v>
      </c>
      <c r="U31" s="1573">
        <f t="shared" si="13"/>
        <v>100</v>
      </c>
      <c r="V31" s="1572" t="s">
        <v>8</v>
      </c>
      <c r="W31" s="1573">
        <f t="shared" si="14"/>
        <v>100</v>
      </c>
      <c r="X31" s="1566"/>
      <c r="Y31" s="343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34"/>
      <c r="Q32" s="1571">
        <f t="shared" si="11"/>
        <v>111</v>
      </c>
      <c r="R32" s="1572" t="s">
        <v>8</v>
      </c>
      <c r="S32" s="1573">
        <f t="shared" si="12"/>
        <v>100</v>
      </c>
      <c r="T32" s="1572" t="s">
        <v>8</v>
      </c>
      <c r="U32" s="1573">
        <f t="shared" si="13"/>
        <v>100</v>
      </c>
      <c r="V32" s="1572" t="s">
        <v>8</v>
      </c>
      <c r="W32" s="1573">
        <f t="shared" si="14"/>
        <v>100</v>
      </c>
      <c r="X32" s="1566"/>
      <c r="Y32" s="3434"/>
      <c r="Z32" s="1574">
        <f t="shared" si="15"/>
        <v>111</v>
      </c>
      <c r="AA32" s="1575">
        <f t="shared" si="3"/>
        <v>1</v>
      </c>
      <c r="AB32" s="1575">
        <f t="shared" si="4"/>
        <v>1</v>
      </c>
      <c r="AC32" s="1575">
        <f t="shared" si="5"/>
        <v>1</v>
      </c>
    </row>
    <row r="33" spans="1:29" ht="15">
      <c r="A33" s="2931" t="s">
        <v>2760</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35" t="s">
        <v>551</v>
      </c>
      <c r="Q33" s="1571" t="str">
        <f t="shared" si="11"/>
        <v>建筑类型</v>
      </c>
      <c r="R33" s="1572" t="s">
        <v>8</v>
      </c>
      <c r="S33" s="1573">
        <f t="shared" si="12"/>
        <v>100</v>
      </c>
      <c r="T33" s="1572" t="s">
        <v>8</v>
      </c>
      <c r="U33" s="1573">
        <f t="shared" si="13"/>
        <v>100</v>
      </c>
      <c r="V33" s="1572" t="s">
        <v>8</v>
      </c>
      <c r="W33" s="1573">
        <f t="shared" si="14"/>
        <v>100</v>
      </c>
      <c r="X33" s="1566"/>
      <c r="Y33" s="3436" t="s">
        <v>551</v>
      </c>
      <c r="Z33" s="1574" t="str">
        <f t="shared" si="15"/>
        <v>建筑类型</v>
      </c>
      <c r="AA33" s="1575">
        <f t="shared" si="3"/>
        <v>1</v>
      </c>
      <c r="AB33" s="1575">
        <f t="shared" si="4"/>
        <v>1</v>
      </c>
      <c r="AC33" s="1575">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36"/>
      <c r="Q34" s="1604" t="str">
        <f t="shared" si="11"/>
        <v>项目建筑规模</v>
      </c>
      <c r="R34" s="1576" t="s">
        <v>8</v>
      </c>
      <c r="S34" s="1577" t="e">
        <f t="shared" si="12"/>
        <v>#N/A</v>
      </c>
      <c r="T34" s="1576" t="s">
        <v>8</v>
      </c>
      <c r="U34" s="1577" t="e">
        <f t="shared" si="13"/>
        <v>#N/A</v>
      </c>
      <c r="V34" s="1576" t="s">
        <v>8</v>
      </c>
      <c r="W34" s="1577" t="e">
        <f t="shared" si="14"/>
        <v>#N/A</v>
      </c>
      <c r="X34" s="1578"/>
      <c r="Y34" s="3436"/>
      <c r="Z34" s="1579" t="str">
        <f t="shared" si="15"/>
        <v>项目建筑规模</v>
      </c>
      <c r="AA34" s="1575" t="e">
        <f t="shared" si="3"/>
        <v>#N/A</v>
      </c>
      <c r="AB34" s="1575" t="e">
        <f t="shared" si="4"/>
        <v>#N/A</v>
      </c>
      <c r="AC34" s="1575"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36"/>
      <c r="Q35" s="1571" t="str">
        <f t="shared" si="11"/>
        <v>建筑结构</v>
      </c>
      <c r="R35" s="1572" t="s">
        <v>8</v>
      </c>
      <c r="S35" s="1573">
        <f t="shared" si="12"/>
        <v>100</v>
      </c>
      <c r="T35" s="1572" t="s">
        <v>8</v>
      </c>
      <c r="U35" s="1573">
        <f t="shared" si="13"/>
        <v>100</v>
      </c>
      <c r="V35" s="1572" t="s">
        <v>8</v>
      </c>
      <c r="W35" s="1573">
        <f t="shared" si="14"/>
        <v>100</v>
      </c>
      <c r="X35" s="1566"/>
      <c r="Y35" s="3436"/>
      <c r="Z35" s="1574" t="str">
        <f t="shared" si="15"/>
        <v>建筑结构</v>
      </c>
      <c r="AA35" s="1575">
        <f t="shared" si="3"/>
        <v>1</v>
      </c>
      <c r="AB35" s="1575">
        <f t="shared" si="4"/>
        <v>1</v>
      </c>
      <c r="AC35" s="1575">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36"/>
      <c r="Q36" s="1571" t="str">
        <f t="shared" si="11"/>
        <v>公共部分装修</v>
      </c>
      <c r="R36" s="1572" t="s">
        <v>8</v>
      </c>
      <c r="S36" s="1573">
        <f t="shared" si="12"/>
        <v>100</v>
      </c>
      <c r="T36" s="1572" t="s">
        <v>8</v>
      </c>
      <c r="U36" s="1573">
        <f t="shared" si="13"/>
        <v>100</v>
      </c>
      <c r="V36" s="1572" t="s">
        <v>8</v>
      </c>
      <c r="W36" s="1573">
        <f t="shared" si="14"/>
        <v>100</v>
      </c>
      <c r="X36" s="1566"/>
      <c r="Y36" s="3436"/>
      <c r="Z36" s="1574" t="str">
        <f t="shared" si="15"/>
        <v>公共部分装修</v>
      </c>
      <c r="AA36" s="1575">
        <f t="shared" si="3"/>
        <v>1</v>
      </c>
      <c r="AB36" s="1575">
        <f t="shared" si="4"/>
        <v>1</v>
      </c>
      <c r="AC36" s="1575">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36"/>
      <c r="Q37" s="1571" t="str">
        <f t="shared" si="11"/>
        <v>成新度</v>
      </c>
      <c r="R37" s="1572" t="s">
        <v>8</v>
      </c>
      <c r="S37" s="1573" t="e">
        <f t="shared" si="12"/>
        <v>#N/A</v>
      </c>
      <c r="T37" s="1572" t="s">
        <v>8</v>
      </c>
      <c r="U37" s="1573" t="e">
        <f t="shared" si="13"/>
        <v>#N/A</v>
      </c>
      <c r="V37" s="1572" t="s">
        <v>8</v>
      </c>
      <c r="W37" s="1573" t="e">
        <f t="shared" si="14"/>
        <v>#N/A</v>
      </c>
      <c r="X37" s="1566"/>
      <c r="Y37" s="3436"/>
      <c r="Z37" s="1574" t="str">
        <f t="shared" si="15"/>
        <v>成新度</v>
      </c>
      <c r="AA37" s="1575" t="e">
        <f t="shared" si="3"/>
        <v>#N/A</v>
      </c>
      <c r="AB37" s="1575" t="e">
        <f t="shared" si="4"/>
        <v>#N/A</v>
      </c>
      <c r="AC37" s="1575"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36"/>
      <c r="Q38" s="1150" t="str">
        <f t="shared" si="11"/>
        <v>写字楼等级</v>
      </c>
      <c r="R38" s="1567" t="s">
        <v>8</v>
      </c>
      <c r="S38" s="1568">
        <f t="shared" si="12"/>
        <v>100</v>
      </c>
      <c r="T38" s="1567" t="s">
        <v>8</v>
      </c>
      <c r="U38" s="1568">
        <f t="shared" si="13"/>
        <v>100</v>
      </c>
      <c r="V38" s="1567" t="s">
        <v>8</v>
      </c>
      <c r="W38" s="1568">
        <f t="shared" si="14"/>
        <v>100</v>
      </c>
      <c r="X38" s="1569"/>
      <c r="Y38" s="3436"/>
      <c r="Z38" s="1149" t="str">
        <f t="shared" si="15"/>
        <v>写字楼等级</v>
      </c>
      <c r="AA38" s="1570">
        <f t="shared" si="3"/>
        <v>1</v>
      </c>
      <c r="AB38" s="1570">
        <f t="shared" si="4"/>
        <v>1</v>
      </c>
      <c r="AC38" s="1570">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36" t="s">
        <v>551</v>
      </c>
      <c r="Q39" s="1571" t="str">
        <f t="shared" si="11"/>
        <v>物业管理</v>
      </c>
      <c r="R39" s="1572" t="s">
        <v>8</v>
      </c>
      <c r="S39" s="1573">
        <f t="shared" si="12"/>
        <v>100</v>
      </c>
      <c r="T39" s="1572" t="s">
        <v>8</v>
      </c>
      <c r="U39" s="1573">
        <f t="shared" si="13"/>
        <v>100</v>
      </c>
      <c r="V39" s="1572" t="s">
        <v>8</v>
      </c>
      <c r="W39" s="1573">
        <f t="shared" si="14"/>
        <v>100</v>
      </c>
      <c r="X39" s="1566"/>
      <c r="Y39" s="3436" t="s">
        <v>551</v>
      </c>
      <c r="Z39" s="1574" t="str">
        <f t="shared" si="15"/>
        <v>物业管理</v>
      </c>
      <c r="AA39" s="1575">
        <f t="shared" si="3"/>
        <v>1</v>
      </c>
      <c r="AB39" s="1575">
        <f t="shared" si="4"/>
        <v>1</v>
      </c>
      <c r="AC39" s="1575">
        <f t="shared" si="5"/>
        <v>1</v>
      </c>
    </row>
    <row r="40" spans="1:29" ht="15">
      <c r="A40" s="593"/>
      <c r="B40" s="1893"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36"/>
      <c r="Q40" s="1571" t="str">
        <f t="shared" si="11"/>
        <v>市政基础设施</v>
      </c>
      <c r="R40" s="1572" t="s">
        <v>8</v>
      </c>
      <c r="S40" s="1573">
        <f t="shared" si="12"/>
        <v>100</v>
      </c>
      <c r="T40" s="1572" t="s">
        <v>8</v>
      </c>
      <c r="U40" s="1573">
        <f t="shared" si="13"/>
        <v>100</v>
      </c>
      <c r="V40" s="1572" t="s">
        <v>8</v>
      </c>
      <c r="W40" s="1573">
        <f t="shared" si="14"/>
        <v>100</v>
      </c>
      <c r="X40" s="1566"/>
      <c r="Y40" s="3436"/>
      <c r="Z40" s="1574" t="str">
        <f t="shared" si="15"/>
        <v>市政基础设施</v>
      </c>
      <c r="AA40" s="1575">
        <f t="shared" si="3"/>
        <v>1</v>
      </c>
      <c r="AB40" s="1575">
        <f t="shared" si="4"/>
        <v>1</v>
      </c>
      <c r="AC40" s="1575">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36"/>
      <c r="Q41" s="1571" t="str">
        <f t="shared" si="11"/>
        <v>层高</v>
      </c>
      <c r="R41" s="1572" t="s">
        <v>8</v>
      </c>
      <c r="S41" s="1573">
        <f t="shared" si="12"/>
        <v>100</v>
      </c>
      <c r="T41" s="1572" t="s">
        <v>8</v>
      </c>
      <c r="U41" s="1573">
        <f t="shared" si="13"/>
        <v>100</v>
      </c>
      <c r="V41" s="1572" t="s">
        <v>8</v>
      </c>
      <c r="W41" s="1573">
        <f t="shared" si="14"/>
        <v>100</v>
      </c>
      <c r="X41" s="1566"/>
      <c r="Y41" s="3436"/>
      <c r="Z41" s="1574" t="str">
        <f t="shared" si="15"/>
        <v>层高</v>
      </c>
      <c r="AA41" s="1575">
        <f t="shared" si="3"/>
        <v>1</v>
      </c>
      <c r="AB41" s="1575">
        <f t="shared" si="4"/>
        <v>1</v>
      </c>
      <c r="AC41" s="1575">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6"/>
      <c r="Q42" s="1604" t="str">
        <f t="shared" si="11"/>
        <v>单套建筑面积</v>
      </c>
      <c r="R42" s="1576" t="s">
        <v>8</v>
      </c>
      <c r="S42" s="1577">
        <f t="shared" si="12"/>
        <v>100</v>
      </c>
      <c r="T42" s="1576" t="s">
        <v>8</v>
      </c>
      <c r="U42" s="1577">
        <f t="shared" si="13"/>
        <v>100</v>
      </c>
      <c r="V42" s="1576" t="s">
        <v>8</v>
      </c>
      <c r="W42" s="1577">
        <f t="shared" si="14"/>
        <v>100</v>
      </c>
      <c r="X42" s="1578"/>
      <c r="Y42" s="3436"/>
      <c r="Z42" s="1579" t="str">
        <f t="shared" si="15"/>
        <v>单套建筑面积</v>
      </c>
      <c r="AA42" s="1575">
        <f t="shared" si="3"/>
        <v>1</v>
      </c>
      <c r="AB42" s="1575">
        <f t="shared" si="4"/>
        <v>1</v>
      </c>
      <c r="AC42" s="1575">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36"/>
      <c r="Q43" s="1571" t="str">
        <f t="shared" si="11"/>
        <v>内部装修</v>
      </c>
      <c r="R43" s="1572" t="s">
        <v>8</v>
      </c>
      <c r="S43" s="1573">
        <f t="shared" si="12"/>
        <v>100</v>
      </c>
      <c r="T43" s="1572" t="s">
        <v>8</v>
      </c>
      <c r="U43" s="1573">
        <f t="shared" si="13"/>
        <v>100</v>
      </c>
      <c r="V43" s="1572" t="s">
        <v>8</v>
      </c>
      <c r="W43" s="1573">
        <f t="shared" si="14"/>
        <v>100</v>
      </c>
      <c r="X43" s="1566"/>
      <c r="Y43" s="3436"/>
      <c r="Z43" s="1574" t="str">
        <f t="shared" si="15"/>
        <v>内部装修</v>
      </c>
      <c r="AA43" s="1575">
        <f t="shared" si="3"/>
        <v>1</v>
      </c>
      <c r="AB43" s="1575">
        <f t="shared" si="4"/>
        <v>1</v>
      </c>
      <c r="AC43" s="1575">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36"/>
      <c r="Q44" s="1571" t="str">
        <f t="shared" si="11"/>
        <v>内部装修维护情况</v>
      </c>
      <c r="R44" s="1572" t="s">
        <v>8</v>
      </c>
      <c r="S44" s="1573">
        <f t="shared" si="12"/>
        <v>100</v>
      </c>
      <c r="T44" s="1572" t="s">
        <v>8</v>
      </c>
      <c r="U44" s="1573">
        <f t="shared" si="13"/>
        <v>100</v>
      </c>
      <c r="V44" s="1572" t="s">
        <v>8</v>
      </c>
      <c r="W44" s="1573">
        <f t="shared" si="14"/>
        <v>100</v>
      </c>
      <c r="X44" s="1566"/>
      <c r="Y44" s="343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6"/>
      <c r="Q45" s="1150">
        <f t="shared" si="11"/>
        <v>111</v>
      </c>
      <c r="R45" s="1567" t="s">
        <v>8</v>
      </c>
      <c r="S45" s="1568">
        <f t="shared" si="12"/>
        <v>100</v>
      </c>
      <c r="T45" s="1567" t="s">
        <v>8</v>
      </c>
      <c r="U45" s="1568">
        <f t="shared" si="13"/>
        <v>100</v>
      </c>
      <c r="V45" s="1567" t="s">
        <v>8</v>
      </c>
      <c r="W45" s="1568">
        <f t="shared" si="14"/>
        <v>100</v>
      </c>
      <c r="X45" s="1569"/>
      <c r="Y45" s="343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6"/>
      <c r="Q46" s="1571">
        <f t="shared" si="11"/>
        <v>111</v>
      </c>
      <c r="R46" s="1572" t="s">
        <v>8</v>
      </c>
      <c r="S46" s="1573">
        <f t="shared" si="12"/>
        <v>100</v>
      </c>
      <c r="T46" s="1572" t="s">
        <v>8</v>
      </c>
      <c r="U46" s="1573">
        <f t="shared" si="13"/>
        <v>100</v>
      </c>
      <c r="V46" s="1572" t="s">
        <v>8</v>
      </c>
      <c r="W46" s="1573">
        <f t="shared" si="14"/>
        <v>100</v>
      </c>
      <c r="X46" s="1566"/>
      <c r="Y46" s="343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14"/>
      <c r="Q47" s="1571">
        <f t="shared" si="11"/>
        <v>111</v>
      </c>
      <c r="R47" s="1572" t="s">
        <v>8</v>
      </c>
      <c r="S47" s="1573">
        <f t="shared" si="12"/>
        <v>100</v>
      </c>
      <c r="T47" s="1572" t="s">
        <v>8</v>
      </c>
      <c r="U47" s="1573">
        <f t="shared" si="13"/>
        <v>100</v>
      </c>
      <c r="V47" s="1572" t="s">
        <v>8</v>
      </c>
      <c r="W47" s="1573">
        <f t="shared" si="14"/>
        <v>100</v>
      </c>
      <c r="X47" s="1566"/>
      <c r="Y47" s="3514"/>
      <c r="Z47" s="1574">
        <f t="shared" si="15"/>
        <v>111</v>
      </c>
      <c r="AA47" s="1575">
        <f t="shared" si="3"/>
        <v>1</v>
      </c>
      <c r="AB47" s="1575">
        <f t="shared" si="4"/>
        <v>1</v>
      </c>
      <c r="AC47" s="1575">
        <f t="shared" si="5"/>
        <v>1</v>
      </c>
    </row>
    <row r="48" spans="1:29" ht="15">
      <c r="A48" s="606" t="s">
        <v>737</v>
      </c>
      <c r="B48" s="886"/>
      <c r="C48" s="2649" t="s">
        <v>1</v>
      </c>
      <c r="D48" s="2650"/>
      <c r="E48" s="2651"/>
      <c r="F48" s="2652"/>
      <c r="G48" s="2653"/>
      <c r="H48" s="2654"/>
      <c r="I48" s="2651"/>
      <c r="J48" s="2654"/>
      <c r="K48" s="1610"/>
      <c r="L48" s="2142"/>
      <c r="M48" s="2132"/>
      <c r="N48" s="2132"/>
      <c r="O48" s="2132"/>
      <c r="P48" s="3455" t="str">
        <f>A48</f>
        <v>成交单价（元/平方米）</v>
      </c>
      <c r="Q48" s="3431"/>
      <c r="R48" s="3513">
        <f>E48</f>
        <v>0</v>
      </c>
      <c r="S48" s="3513"/>
      <c r="T48" s="3513">
        <f>G48</f>
        <v>0</v>
      </c>
      <c r="U48" s="3513"/>
      <c r="V48" s="3513">
        <f>I48</f>
        <v>0</v>
      </c>
      <c r="W48" s="3513"/>
      <c r="X48" s="1558"/>
      <c r="Y48" s="1580"/>
      <c r="Z48" s="1558"/>
      <c r="AA48" s="1558"/>
      <c r="AB48" s="1558"/>
      <c r="AC48" s="1558"/>
    </row>
    <row r="49" spans="1:29" ht="15.75" thickBot="1">
      <c r="A49" s="614" t="s">
        <v>2765</v>
      </c>
      <c r="B49" s="887"/>
      <c r="C49" s="2655" t="e">
        <f>R50</f>
        <v>#DIV/0!</v>
      </c>
      <c r="D49" s="2656"/>
      <c r="E49" s="2657" t="e">
        <f>R49</f>
        <v>#DIV/0!</v>
      </c>
      <c r="F49" s="2657"/>
      <c r="G49" s="2655" t="e">
        <f>T49</f>
        <v>#DIV/0!</v>
      </c>
      <c r="H49" s="2656"/>
      <c r="I49" s="2657" t="e">
        <f>V49</f>
        <v>#DIV/0!</v>
      </c>
      <c r="J49" s="2656"/>
      <c r="K49" s="1611"/>
      <c r="L49" s="2142"/>
      <c r="M49" s="2132"/>
      <c r="N49" s="2132"/>
      <c r="O49" s="2132"/>
      <c r="P49" s="3455" t="str">
        <f>A49</f>
        <v>比较价格（元/平方米）</v>
      </c>
      <c r="Q49" s="3431"/>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8"/>
      <c r="Y49" s="1558"/>
      <c r="Z49" s="1558"/>
      <c r="AA49" s="1558"/>
      <c r="AB49" s="1558"/>
      <c r="AC49" s="1558"/>
    </row>
    <row r="50" spans="1:29" ht="15.75" thickBot="1">
      <c r="A50" s="620" t="s">
        <v>2937</v>
      </c>
      <c r="B50" s="621"/>
      <c r="C50" s="2658" t="e">
        <f>R50</f>
        <v>#DIV/0!</v>
      </c>
      <c r="D50" s="2658"/>
      <c r="E50" s="2658"/>
      <c r="F50" s="2658"/>
      <c r="G50" s="2658"/>
      <c r="H50" s="2658"/>
      <c r="I50" s="2658"/>
      <c r="J50" s="2658"/>
      <c r="K50" s="1612"/>
      <c r="L50" s="2142"/>
      <c r="M50" s="2132"/>
      <c r="N50" s="2132"/>
      <c r="O50" s="2132"/>
      <c r="P50" s="3541" t="str">
        <f>A50</f>
        <v>估价对象XX用房的比较价格（楼面单价，元/平方米）</v>
      </c>
      <c r="Q50" s="3455"/>
      <c r="R50" s="3512" t="e">
        <f>IF(F1="售价",ROUND(AVERAGE(R49:V49),0),ROUND(AVERAGE(R49:V49),1))</f>
        <v>#DIV/0!</v>
      </c>
      <c r="S50" s="3512"/>
      <c r="T50" s="3512"/>
      <c r="U50" s="3512"/>
      <c r="V50" s="3512"/>
      <c r="W50" s="3512"/>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575</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530</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576</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532</v>
      </c>
      <c r="B62" s="647"/>
      <c r="C62" s="659" t="s">
        <v>577</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578</v>
      </c>
      <c r="B64" s="664" t="s">
        <v>535</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540</v>
      </c>
      <c r="B77" s="664" t="s">
        <v>586</v>
      </c>
      <c r="C77" s="702" t="s">
        <v>580</v>
      </c>
      <c r="D77" s="702" t="s">
        <v>581</v>
      </c>
      <c r="E77" s="702" t="s">
        <v>582</v>
      </c>
      <c r="F77" s="702" t="s">
        <v>583</v>
      </c>
      <c r="G77" s="702" t="s">
        <v>584</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587</v>
      </c>
      <c r="C79" s="707" t="s">
        <v>580</v>
      </c>
      <c r="D79" s="707" t="s">
        <v>581</v>
      </c>
      <c r="E79" s="707" t="s">
        <v>582</v>
      </c>
      <c r="F79" s="707" t="s">
        <v>583</v>
      </c>
      <c r="G79" s="707" t="s">
        <v>584</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2560</v>
      </c>
      <c r="C81" s="707" t="s">
        <v>580</v>
      </c>
      <c r="D81" s="707" t="s">
        <v>581</v>
      </c>
      <c r="E81" s="707" t="s">
        <v>582</v>
      </c>
      <c r="F81" s="707" t="s">
        <v>583</v>
      </c>
      <c r="G81" s="707" t="s">
        <v>584</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2561</v>
      </c>
      <c r="C83" s="2620" t="s">
        <v>2562</v>
      </c>
      <c r="D83" s="2620" t="s">
        <v>2563</v>
      </c>
      <c r="E83" s="2620" t="s">
        <v>2564</v>
      </c>
      <c r="F83" s="2620" t="s">
        <v>2565</v>
      </c>
      <c r="G83" s="2620" t="s">
        <v>2566</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785</v>
      </c>
      <c r="C85" s="707" t="s">
        <v>580</v>
      </c>
      <c r="D85" s="707" t="s">
        <v>581</v>
      </c>
      <c r="E85" s="707" t="s">
        <v>582</v>
      </c>
      <c r="F85" s="707" t="s">
        <v>583</v>
      </c>
      <c r="G85" s="707" t="s">
        <v>584</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786</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552</v>
      </c>
      <c r="B101" s="664" t="s">
        <v>748</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750</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752</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787</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754</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2559</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788</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776</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756</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522</v>
      </c>
      <c r="B4" s="512"/>
      <c r="C4" s="3437" t="s">
        <v>523</v>
      </c>
      <c r="D4" s="3438"/>
      <c r="E4" s="3463" t="s">
        <v>524</v>
      </c>
      <c r="F4" s="3464"/>
      <c r="G4" s="3437" t="s">
        <v>525</v>
      </c>
      <c r="H4" s="3438"/>
      <c r="I4" s="3437" t="s">
        <v>526</v>
      </c>
      <c r="J4" s="3438"/>
      <c r="K4" s="513" t="s">
        <v>527</v>
      </c>
      <c r="L4" s="2131"/>
      <c r="M4" s="2132"/>
      <c r="N4" s="2132"/>
      <c r="O4" s="2132"/>
      <c r="P4" s="3439" t="s">
        <v>528</v>
      </c>
      <c r="Q4" s="3440"/>
      <c r="R4" s="3425" t="s">
        <v>524</v>
      </c>
      <c r="S4" s="3426"/>
      <c r="T4" s="3425" t="s">
        <v>525</v>
      </c>
      <c r="U4" s="3426"/>
      <c r="V4" s="3445" t="s">
        <v>526</v>
      </c>
      <c r="W4" s="3445"/>
      <c r="X4" s="1566"/>
      <c r="Y4" s="3425" t="s">
        <v>528</v>
      </c>
      <c r="Z4" s="3426"/>
      <c r="AA4" s="3420" t="s">
        <v>524</v>
      </c>
      <c r="AB4" s="3421" t="s">
        <v>525</v>
      </c>
      <c r="AC4" s="3420" t="s">
        <v>526</v>
      </c>
    </row>
    <row r="5" spans="1:29" ht="15">
      <c r="A5" s="514"/>
      <c r="B5" s="515"/>
      <c r="C5" s="3450" t="s">
        <v>2931</v>
      </c>
      <c r="D5" s="3449"/>
      <c r="E5" s="3465" t="s">
        <v>2932</v>
      </c>
      <c r="F5" s="3466"/>
      <c r="G5" s="3450" t="s">
        <v>2933</v>
      </c>
      <c r="H5" s="3449"/>
      <c r="I5" s="3450" t="s">
        <v>2934</v>
      </c>
      <c r="J5" s="3449"/>
      <c r="K5" s="513"/>
      <c r="L5" s="2131"/>
      <c r="M5" s="2132"/>
      <c r="N5" s="2132"/>
      <c r="O5" s="2132"/>
      <c r="P5" s="3441"/>
      <c r="Q5" s="3442"/>
      <c r="R5" s="3427"/>
      <c r="S5" s="3428"/>
      <c r="T5" s="3427"/>
      <c r="U5" s="3428"/>
      <c r="V5" s="3445"/>
      <c r="W5" s="3445"/>
      <c r="X5" s="1566"/>
      <c r="Y5" s="3427"/>
      <c r="Z5" s="3428"/>
      <c r="AA5" s="3421"/>
      <c r="AB5" s="3421"/>
      <c r="AC5" s="3421"/>
    </row>
    <row r="6" spans="1:29" ht="15.75" thickBot="1">
      <c r="A6" s="516"/>
      <c r="B6" s="517"/>
      <c r="C6" s="3467" t="s">
        <v>2935</v>
      </c>
      <c r="D6" s="3447"/>
      <c r="E6" s="3468" t="s">
        <v>2935</v>
      </c>
      <c r="F6" s="3469"/>
      <c r="G6" s="3467" t="s">
        <v>2935</v>
      </c>
      <c r="H6" s="3447"/>
      <c r="I6" s="3467" t="s">
        <v>2935</v>
      </c>
      <c r="J6" s="3447"/>
      <c r="K6" s="513" t="s">
        <v>529</v>
      </c>
      <c r="L6" s="2131"/>
      <c r="M6" s="2132"/>
      <c r="N6" s="2132"/>
      <c r="O6" s="2132"/>
      <c r="P6" s="3443"/>
      <c r="Q6" s="3444"/>
      <c r="R6" s="3427"/>
      <c r="S6" s="3428"/>
      <c r="T6" s="3429"/>
      <c r="U6" s="3430"/>
      <c r="V6" s="3445"/>
      <c r="W6" s="3445"/>
      <c r="X6" s="1566"/>
      <c r="Y6" s="3429"/>
      <c r="Z6" s="3430"/>
      <c r="AA6" s="3422"/>
      <c r="AB6" s="3422"/>
      <c r="AC6" s="3422"/>
    </row>
    <row r="7" spans="1:29" s="1219" customFormat="1" ht="15.75" thickBot="1">
      <c r="A7" s="2936"/>
      <c r="B7" s="2943" t="s">
        <v>530</v>
      </c>
      <c r="C7" s="518">
        <f>'数据-取费表'!B2</f>
        <v>43104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23" t="s">
        <v>531</v>
      </c>
      <c r="Q7" s="3432"/>
      <c r="R7" s="1567" t="s">
        <v>8</v>
      </c>
      <c r="S7" s="1568">
        <f t="shared" ref="S7:S15" si="0">F7</f>
        <v>0</v>
      </c>
      <c r="T7" s="1567" t="s">
        <v>8</v>
      </c>
      <c r="U7" s="1568">
        <f t="shared" ref="U7:U15" si="1">H7</f>
        <v>0</v>
      </c>
      <c r="V7" s="1567" t="s">
        <v>8</v>
      </c>
      <c r="W7" s="1568">
        <f t="shared" ref="W7:W15" si="2">J7</f>
        <v>0</v>
      </c>
      <c r="X7" s="1569"/>
      <c r="Y7" s="3423" t="s">
        <v>531</v>
      </c>
      <c r="Z7" s="3424"/>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23" t="s">
        <v>534</v>
      </c>
      <c r="Q8" s="3424"/>
      <c r="R8" s="1567" t="s">
        <v>8</v>
      </c>
      <c r="S8" s="1568">
        <f t="shared" si="0"/>
        <v>0</v>
      </c>
      <c r="T8" s="1567" t="s">
        <v>8</v>
      </c>
      <c r="U8" s="1568">
        <f t="shared" si="1"/>
        <v>0</v>
      </c>
      <c r="V8" s="1567" t="s">
        <v>8</v>
      </c>
      <c r="W8" s="1568">
        <f t="shared" si="2"/>
        <v>0</v>
      </c>
      <c r="X8" s="1569"/>
      <c r="Y8" s="3423" t="s">
        <v>534</v>
      </c>
      <c r="Z8" s="3424"/>
      <c r="AA8" s="1570" t="e">
        <f t="shared" ref="AA8:AA40" si="3">D8/F8</f>
        <v>#DIV/0!</v>
      </c>
      <c r="AB8" s="1570" t="e">
        <f t="shared" ref="AB8:AB40" si="4">D8/H8</f>
        <v>#DIV/0!</v>
      </c>
      <c r="AC8" s="1570" t="e">
        <f t="shared" ref="AC8:AC40" si="5">D8/J8</f>
        <v>#DIV/0!</v>
      </c>
    </row>
    <row r="9" spans="1:29" s="1219" customFormat="1" ht="15">
      <c r="A9" s="2938"/>
      <c r="B9" s="2945" t="s">
        <v>2761</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31"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31"/>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31"/>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31"/>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31"/>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57">
      <c r="A15" s="2934" t="s">
        <v>2759</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33" t="s">
        <v>541</v>
      </c>
      <c r="Q15" s="1571" t="str">
        <f t="shared" si="6"/>
        <v>产业集聚程度</v>
      </c>
      <c r="R15" s="1572" t="s">
        <v>8</v>
      </c>
      <c r="S15" s="1573">
        <f t="shared" si="0"/>
        <v>100</v>
      </c>
      <c r="T15" s="1572" t="s">
        <v>8</v>
      </c>
      <c r="U15" s="1573">
        <f t="shared" si="1"/>
        <v>100</v>
      </c>
      <c r="V15" s="1572" t="s">
        <v>8</v>
      </c>
      <c r="W15" s="1573">
        <f t="shared" si="2"/>
        <v>100</v>
      </c>
      <c r="X15" s="1566"/>
      <c r="Y15" s="3433"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34"/>
      <c r="Q16" s="1571"/>
      <c r="R16" s="1572"/>
      <c r="S16" s="1573"/>
      <c r="T16" s="1572"/>
      <c r="U16" s="1573"/>
      <c r="V16" s="1572"/>
      <c r="W16" s="1573"/>
      <c r="X16" s="1566"/>
      <c r="Y16" s="343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34"/>
      <c r="Q18" s="1571"/>
      <c r="R18" s="1572"/>
      <c r="S18" s="1573"/>
      <c r="T18" s="1572"/>
      <c r="U18" s="1573"/>
      <c r="V18" s="1572"/>
      <c r="W18" s="1573"/>
      <c r="X18" s="1566"/>
      <c r="Y18" s="3434"/>
      <c r="Z18" s="1574"/>
      <c r="AA18" s="1575">
        <v>1</v>
      </c>
      <c r="AB18" s="1575">
        <v>1</v>
      </c>
      <c r="AC18" s="1575">
        <v>1</v>
      </c>
    </row>
    <row r="19" spans="1:29" ht="42.75">
      <c r="A19" s="531"/>
      <c r="B19" s="2625"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8.5">
      <c r="A21" s="531"/>
      <c r="B21" s="2613"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34"/>
      <c r="Q21" s="2601" t="str">
        <f>B21</f>
        <v>基础设施水平</v>
      </c>
      <c r="R21" s="1572" t="s">
        <v>8</v>
      </c>
      <c r="S21" s="1573">
        <f>F21</f>
        <v>100</v>
      </c>
      <c r="T21" s="1572" t="s">
        <v>8</v>
      </c>
      <c r="U21" s="1573">
        <f>H21</f>
        <v>100</v>
      </c>
      <c r="V21" s="1572" t="s">
        <v>8</v>
      </c>
      <c r="W21" s="1573">
        <f>J21</f>
        <v>100</v>
      </c>
      <c r="X21" s="2603"/>
      <c r="Y21" s="3434"/>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0"/>
      <c r="M22" s="2132"/>
      <c r="N22" s="2132"/>
      <c r="O22" s="2139"/>
      <c r="P22" s="3434"/>
      <c r="Q22" s="2601"/>
      <c r="R22" s="1572"/>
      <c r="S22" s="1573"/>
      <c r="T22" s="1572"/>
      <c r="U22" s="1573"/>
      <c r="V22" s="1572"/>
      <c r="W22" s="1573"/>
      <c r="X22" s="2603"/>
      <c r="Y22" s="3434"/>
      <c r="Z22" s="2602"/>
      <c r="AA22" s="1575">
        <v>1</v>
      </c>
      <c r="AB22" s="1575">
        <v>1</v>
      </c>
      <c r="AC22" s="1575">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34"/>
      <c r="Q23" s="1571" t="str">
        <f>B23</f>
        <v>环境质量</v>
      </c>
      <c r="R23" s="1572" t="s">
        <v>8</v>
      </c>
      <c r="S23" s="1573">
        <f>F23</f>
        <v>100</v>
      </c>
      <c r="T23" s="1572" t="s">
        <v>8</v>
      </c>
      <c r="U23" s="1573">
        <f>H23</f>
        <v>100</v>
      </c>
      <c r="V23" s="1572" t="s">
        <v>8</v>
      </c>
      <c r="W23" s="1573">
        <f>J23</f>
        <v>100</v>
      </c>
      <c r="X23" s="1566"/>
      <c r="Y23" s="343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4"/>
      <c r="Q25" s="1571">
        <f>B25</f>
        <v>111</v>
      </c>
      <c r="R25" s="1572" t="s">
        <v>8</v>
      </c>
      <c r="S25" s="1573">
        <f>F25</f>
        <v>100</v>
      </c>
      <c r="T25" s="1572" t="s">
        <v>8</v>
      </c>
      <c r="U25" s="1573">
        <f>H25</f>
        <v>100</v>
      </c>
      <c r="V25" s="1572" t="s">
        <v>8</v>
      </c>
      <c r="W25" s="1573">
        <f>J25</f>
        <v>100</v>
      </c>
      <c r="X25" s="1566"/>
      <c r="Y25" s="343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4"/>
      <c r="Q26" s="1571">
        <f t="shared" ref="Q26:Q40" si="11">B26</f>
        <v>111</v>
      </c>
      <c r="R26" s="1572" t="s">
        <v>8</v>
      </c>
      <c r="S26" s="1573">
        <f>F26</f>
        <v>100</v>
      </c>
      <c r="T26" s="1572" t="s">
        <v>8</v>
      </c>
      <c r="U26" s="1573">
        <f>H26</f>
        <v>100</v>
      </c>
      <c r="V26" s="1572" t="s">
        <v>8</v>
      </c>
      <c r="W26" s="1573">
        <f>J26</f>
        <v>100</v>
      </c>
      <c r="X26" s="1566"/>
      <c r="Y26" s="343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4"/>
      <c r="Q27" s="1150">
        <f t="shared" si="11"/>
        <v>111</v>
      </c>
      <c r="R27" s="1567" t="s">
        <v>8</v>
      </c>
      <c r="S27" s="1568">
        <f>F27</f>
        <v>100</v>
      </c>
      <c r="T27" s="1567" t="s">
        <v>8</v>
      </c>
      <c r="U27" s="1568">
        <f>H27</f>
        <v>100</v>
      </c>
      <c r="V27" s="1567" t="s">
        <v>8</v>
      </c>
      <c r="W27" s="1568">
        <f>J27</f>
        <v>100</v>
      </c>
      <c r="X27" s="1569"/>
      <c r="Y27" s="343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34"/>
      <c r="Q28" s="1571">
        <f t="shared" si="11"/>
        <v>111</v>
      </c>
      <c r="R28" s="1572" t="s">
        <v>8</v>
      </c>
      <c r="S28" s="1573">
        <f t="shared" ref="S28:S40" si="12">F28</f>
        <v>100</v>
      </c>
      <c r="T28" s="1572" t="s">
        <v>8</v>
      </c>
      <c r="U28" s="1573">
        <f t="shared" ref="U28:U40" si="13">H28</f>
        <v>100</v>
      </c>
      <c r="V28" s="1572" t="s">
        <v>8</v>
      </c>
      <c r="W28" s="1573">
        <f t="shared" ref="W28:W40" si="14">J28</f>
        <v>100</v>
      </c>
      <c r="X28" s="1566"/>
      <c r="Y28" s="3434"/>
      <c r="Z28" s="1574">
        <f t="shared" ref="Z28:Z40" si="15">Q28</f>
        <v>111</v>
      </c>
      <c r="AA28" s="1575">
        <f t="shared" si="3"/>
        <v>1</v>
      </c>
      <c r="AB28" s="1575">
        <f t="shared" si="4"/>
        <v>1</v>
      </c>
      <c r="AC28" s="1575">
        <f t="shared" si="5"/>
        <v>1</v>
      </c>
    </row>
    <row r="29" spans="1:29" ht="15">
      <c r="A29" s="2931" t="s">
        <v>2760</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35" t="s">
        <v>551</v>
      </c>
      <c r="Q29" s="1571" t="str">
        <f t="shared" si="11"/>
        <v>建筑类型</v>
      </c>
      <c r="R29" s="1572" t="s">
        <v>8</v>
      </c>
      <c r="S29" s="1573">
        <f t="shared" si="12"/>
        <v>100</v>
      </c>
      <c r="T29" s="1572" t="s">
        <v>8</v>
      </c>
      <c r="U29" s="1573">
        <f t="shared" si="13"/>
        <v>100</v>
      </c>
      <c r="V29" s="1572" t="s">
        <v>8</v>
      </c>
      <c r="W29" s="1573">
        <f t="shared" si="14"/>
        <v>100</v>
      </c>
      <c r="X29" s="1566"/>
      <c r="Y29" s="3436" t="s">
        <v>551</v>
      </c>
      <c r="Z29" s="1574" t="str">
        <f t="shared" si="15"/>
        <v>建筑类型</v>
      </c>
      <c r="AA29" s="1575">
        <f t="shared" si="3"/>
        <v>1</v>
      </c>
      <c r="AB29" s="1575">
        <f t="shared" si="4"/>
        <v>1</v>
      </c>
      <c r="AC29" s="1575">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6"/>
      <c r="Q30" s="1604" t="str">
        <f t="shared" si="11"/>
        <v>项目建筑规模</v>
      </c>
      <c r="R30" s="1576" t="s">
        <v>8</v>
      </c>
      <c r="S30" s="1577" t="e">
        <f t="shared" si="12"/>
        <v>#N/A</v>
      </c>
      <c r="T30" s="1576" t="s">
        <v>8</v>
      </c>
      <c r="U30" s="1577" t="e">
        <f t="shared" si="13"/>
        <v>#N/A</v>
      </c>
      <c r="V30" s="1576" t="s">
        <v>8</v>
      </c>
      <c r="W30" s="1577" t="e">
        <f t="shared" si="14"/>
        <v>#N/A</v>
      </c>
      <c r="X30" s="1578"/>
      <c r="Y30" s="3436"/>
      <c r="Z30" s="1579" t="str">
        <f t="shared" si="15"/>
        <v>项目建筑规模</v>
      </c>
      <c r="AA30" s="1575" t="e">
        <f t="shared" si="3"/>
        <v>#N/A</v>
      </c>
      <c r="AB30" s="1575" t="e">
        <f t="shared" si="4"/>
        <v>#N/A</v>
      </c>
      <c r="AC30" s="1575"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6"/>
      <c r="Q31" s="1571" t="str">
        <f t="shared" si="11"/>
        <v>建筑结构</v>
      </c>
      <c r="R31" s="1572" t="s">
        <v>8</v>
      </c>
      <c r="S31" s="1573">
        <f t="shared" si="12"/>
        <v>100</v>
      </c>
      <c r="T31" s="1572" t="s">
        <v>8</v>
      </c>
      <c r="U31" s="1573">
        <f t="shared" si="13"/>
        <v>100</v>
      </c>
      <c r="V31" s="1572" t="s">
        <v>8</v>
      </c>
      <c r="W31" s="1573">
        <f t="shared" si="14"/>
        <v>100</v>
      </c>
      <c r="X31" s="1566"/>
      <c r="Y31" s="3436"/>
      <c r="Z31" s="1574" t="str">
        <f t="shared" si="15"/>
        <v>建筑结构</v>
      </c>
      <c r="AA31" s="1575">
        <f t="shared" si="3"/>
        <v>1</v>
      </c>
      <c r="AB31" s="1575">
        <f t="shared" si="4"/>
        <v>1</v>
      </c>
      <c r="AC31" s="1575">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6"/>
      <c r="Q32" s="1571" t="str">
        <f t="shared" si="11"/>
        <v>公共部分装修</v>
      </c>
      <c r="R32" s="1572" t="s">
        <v>8</v>
      </c>
      <c r="S32" s="1573">
        <f t="shared" si="12"/>
        <v>100</v>
      </c>
      <c r="T32" s="1572" t="s">
        <v>8</v>
      </c>
      <c r="U32" s="1573">
        <f t="shared" si="13"/>
        <v>100</v>
      </c>
      <c r="V32" s="1572" t="s">
        <v>8</v>
      </c>
      <c r="W32" s="1573">
        <f t="shared" si="14"/>
        <v>100</v>
      </c>
      <c r="X32" s="1566"/>
      <c r="Y32" s="3436"/>
      <c r="Z32" s="1574" t="str">
        <f t="shared" si="15"/>
        <v>公共部分装修</v>
      </c>
      <c r="AA32" s="1575">
        <f t="shared" si="3"/>
        <v>1</v>
      </c>
      <c r="AB32" s="1575">
        <f t="shared" si="4"/>
        <v>1</v>
      </c>
      <c r="AC32" s="1575">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36"/>
      <c r="Q33" s="1571" t="str">
        <f t="shared" si="11"/>
        <v>成新度</v>
      </c>
      <c r="R33" s="1572" t="s">
        <v>8</v>
      </c>
      <c r="S33" s="1573" t="e">
        <f t="shared" si="12"/>
        <v>#N/A</v>
      </c>
      <c r="T33" s="1572" t="s">
        <v>8</v>
      </c>
      <c r="U33" s="1573" t="e">
        <f t="shared" si="13"/>
        <v>#N/A</v>
      </c>
      <c r="V33" s="1572" t="s">
        <v>8</v>
      </c>
      <c r="W33" s="1573" t="e">
        <f t="shared" si="14"/>
        <v>#N/A</v>
      </c>
      <c r="X33" s="1566"/>
      <c r="Y33" s="3436"/>
      <c r="Z33" s="1574" t="str">
        <f t="shared" si="15"/>
        <v>成新度</v>
      </c>
      <c r="AA33" s="1575" t="e">
        <f t="shared" si="3"/>
        <v>#N/A</v>
      </c>
      <c r="AB33" s="1575" t="e">
        <f t="shared" si="4"/>
        <v>#N/A</v>
      </c>
      <c r="AC33" s="1575"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6"/>
      <c r="Q34" s="1150" t="str">
        <f t="shared" si="11"/>
        <v>物业管理</v>
      </c>
      <c r="R34" s="1567" t="s">
        <v>8</v>
      </c>
      <c r="S34" s="1568">
        <f t="shared" si="12"/>
        <v>100</v>
      </c>
      <c r="T34" s="1567" t="s">
        <v>8</v>
      </c>
      <c r="U34" s="1568">
        <f t="shared" si="13"/>
        <v>100</v>
      </c>
      <c r="V34" s="1567" t="s">
        <v>8</v>
      </c>
      <c r="W34" s="1568">
        <f t="shared" si="14"/>
        <v>100</v>
      </c>
      <c r="X34" s="1569"/>
      <c r="Y34" s="3436"/>
      <c r="Z34" s="1149" t="str">
        <f t="shared" si="15"/>
        <v>物业管理</v>
      </c>
      <c r="AA34" s="1570">
        <f t="shared" si="3"/>
        <v>1</v>
      </c>
      <c r="AB34" s="1570">
        <f t="shared" si="4"/>
        <v>1</v>
      </c>
      <c r="AC34" s="1570">
        <f t="shared" si="5"/>
        <v>1</v>
      </c>
    </row>
    <row r="35" spans="1:29" ht="15">
      <c r="A35" s="593"/>
      <c r="B35" s="1893"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6" t="s">
        <v>551</v>
      </c>
      <c r="Q35" s="1571" t="str">
        <f t="shared" si="11"/>
        <v>市政基础设施</v>
      </c>
      <c r="R35" s="1572" t="s">
        <v>8</v>
      </c>
      <c r="S35" s="1573">
        <f t="shared" si="12"/>
        <v>100</v>
      </c>
      <c r="T35" s="1572" t="s">
        <v>8</v>
      </c>
      <c r="U35" s="1573">
        <f t="shared" si="13"/>
        <v>100</v>
      </c>
      <c r="V35" s="1572" t="s">
        <v>8</v>
      </c>
      <c r="W35" s="1573">
        <f t="shared" si="14"/>
        <v>100</v>
      </c>
      <c r="X35" s="1566"/>
      <c r="Y35" s="3436" t="s">
        <v>551</v>
      </c>
      <c r="Z35" s="1574" t="str">
        <f t="shared" si="15"/>
        <v>市政基础设施</v>
      </c>
      <c r="AA35" s="1575">
        <f t="shared" si="3"/>
        <v>1</v>
      </c>
      <c r="AB35" s="1575">
        <f t="shared" si="4"/>
        <v>1</v>
      </c>
      <c r="AC35" s="1575">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6"/>
      <c r="Q36" s="1571" t="str">
        <f t="shared" si="11"/>
        <v>内部装修</v>
      </c>
      <c r="R36" s="1572" t="s">
        <v>8</v>
      </c>
      <c r="S36" s="1573">
        <f t="shared" si="12"/>
        <v>100</v>
      </c>
      <c r="T36" s="1572" t="s">
        <v>8</v>
      </c>
      <c r="U36" s="1573">
        <f t="shared" si="13"/>
        <v>100</v>
      </c>
      <c r="V36" s="1572" t="s">
        <v>8</v>
      </c>
      <c r="W36" s="1573">
        <f t="shared" si="14"/>
        <v>100</v>
      </c>
      <c r="X36" s="1566"/>
      <c r="Y36" s="3436"/>
      <c r="Z36" s="1574" t="str">
        <f t="shared" si="15"/>
        <v>内部装修</v>
      </c>
      <c r="AA36" s="1575">
        <f t="shared" si="3"/>
        <v>1</v>
      </c>
      <c r="AB36" s="1575">
        <f t="shared" si="4"/>
        <v>1</v>
      </c>
      <c r="AC36" s="1575">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6"/>
      <c r="Q37" s="1571" t="str">
        <f t="shared" si="11"/>
        <v>内部装修状况</v>
      </c>
      <c r="R37" s="1572" t="s">
        <v>8</v>
      </c>
      <c r="S37" s="1573">
        <f t="shared" si="12"/>
        <v>100</v>
      </c>
      <c r="T37" s="1572" t="s">
        <v>8</v>
      </c>
      <c r="U37" s="1573">
        <f t="shared" si="13"/>
        <v>100</v>
      </c>
      <c r="V37" s="1572" t="s">
        <v>8</v>
      </c>
      <c r="W37" s="1573">
        <f t="shared" si="14"/>
        <v>100</v>
      </c>
      <c r="X37" s="1566"/>
      <c r="Y37" s="343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36"/>
      <c r="Q38" s="1604">
        <f t="shared" si="11"/>
        <v>111</v>
      </c>
      <c r="R38" s="1576" t="s">
        <v>8</v>
      </c>
      <c r="S38" s="1577">
        <f t="shared" si="12"/>
        <v>100</v>
      </c>
      <c r="T38" s="1576" t="s">
        <v>8</v>
      </c>
      <c r="U38" s="1577">
        <f t="shared" si="13"/>
        <v>100</v>
      </c>
      <c r="V38" s="1576" t="s">
        <v>8</v>
      </c>
      <c r="W38" s="1577">
        <f t="shared" si="14"/>
        <v>100</v>
      </c>
      <c r="X38" s="1578"/>
      <c r="Y38" s="343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36"/>
      <c r="Q39" s="1571">
        <f t="shared" si="11"/>
        <v>111</v>
      </c>
      <c r="R39" s="1572" t="s">
        <v>8</v>
      </c>
      <c r="S39" s="1573">
        <f t="shared" si="12"/>
        <v>100</v>
      </c>
      <c r="T39" s="1572" t="s">
        <v>8</v>
      </c>
      <c r="U39" s="1573">
        <f t="shared" si="13"/>
        <v>100</v>
      </c>
      <c r="V39" s="1572" t="s">
        <v>8</v>
      </c>
      <c r="W39" s="1573">
        <f t="shared" si="14"/>
        <v>100</v>
      </c>
      <c r="X39" s="1566"/>
      <c r="Y39" s="343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14"/>
      <c r="Q40" s="1571">
        <f t="shared" si="11"/>
        <v>111</v>
      </c>
      <c r="R40" s="1572" t="s">
        <v>8</v>
      </c>
      <c r="S40" s="1573">
        <f t="shared" si="12"/>
        <v>100</v>
      </c>
      <c r="T40" s="1572" t="s">
        <v>8</v>
      </c>
      <c r="U40" s="1573">
        <f t="shared" si="13"/>
        <v>100</v>
      </c>
      <c r="V40" s="1572" t="s">
        <v>8</v>
      </c>
      <c r="W40" s="1573">
        <f t="shared" si="14"/>
        <v>100</v>
      </c>
      <c r="X40" s="1566"/>
      <c r="Y40" s="3514"/>
      <c r="Z40" s="1574">
        <f t="shared" si="15"/>
        <v>111</v>
      </c>
      <c r="AA40" s="1575">
        <f t="shared" si="3"/>
        <v>1</v>
      </c>
      <c r="AB40" s="1575">
        <f t="shared" si="4"/>
        <v>1</v>
      </c>
      <c r="AC40" s="1575">
        <f t="shared" si="5"/>
        <v>1</v>
      </c>
    </row>
    <row r="41" spans="1:29" ht="15">
      <c r="A41" s="606" t="s">
        <v>737</v>
      </c>
      <c r="B41" s="886"/>
      <c r="C41" s="2649" t="s">
        <v>1</v>
      </c>
      <c r="D41" s="2650"/>
      <c r="E41" s="2651"/>
      <c r="F41" s="2652"/>
      <c r="G41" s="2653"/>
      <c r="H41" s="2654"/>
      <c r="I41" s="2651"/>
      <c r="J41" s="2654"/>
      <c r="K41" s="1610"/>
      <c r="L41" s="2142"/>
      <c r="M41" s="2143"/>
      <c r="N41" s="2132"/>
      <c r="O41" s="2143"/>
      <c r="P41" s="3431" t="str">
        <f>A41</f>
        <v>成交单价（元/平方米）</v>
      </c>
      <c r="Q41" s="3431"/>
      <c r="R41" s="3513">
        <f>E41</f>
        <v>0</v>
      </c>
      <c r="S41" s="3513"/>
      <c r="T41" s="3513">
        <f>G41</f>
        <v>0</v>
      </c>
      <c r="U41" s="3513"/>
      <c r="V41" s="3513">
        <f>I41</f>
        <v>0</v>
      </c>
      <c r="W41" s="3513"/>
      <c r="X41" s="1558"/>
      <c r="Y41" s="1580"/>
      <c r="Z41" s="1558"/>
      <c r="AA41" s="1558"/>
      <c r="AB41" s="1558"/>
      <c r="AC41" s="1558"/>
    </row>
    <row r="42" spans="1:29" ht="15.75" thickBot="1">
      <c r="A42" s="614" t="s">
        <v>2765</v>
      </c>
      <c r="B42" s="887"/>
      <c r="C42" s="2655" t="e">
        <f>R43</f>
        <v>#DIV/0!</v>
      </c>
      <c r="D42" s="2656"/>
      <c r="E42" s="2657" t="e">
        <f>R42</f>
        <v>#DIV/0!</v>
      </c>
      <c r="F42" s="2657"/>
      <c r="G42" s="2655" t="e">
        <f>T42</f>
        <v>#DIV/0!</v>
      </c>
      <c r="H42" s="2656"/>
      <c r="I42" s="2657" t="e">
        <f>V42</f>
        <v>#DIV/0!</v>
      </c>
      <c r="J42" s="2656"/>
      <c r="K42" s="1611"/>
      <c r="L42" s="2142"/>
      <c r="M42" s="2143"/>
      <c r="N42" s="2132"/>
      <c r="O42" s="2143"/>
      <c r="P42" s="3431" t="str">
        <f>A42</f>
        <v>比较价格（元/平方米）</v>
      </c>
      <c r="Q42" s="3431"/>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8"/>
      <c r="Y42" s="1558"/>
      <c r="Z42" s="1558"/>
      <c r="AA42" s="1558"/>
      <c r="AB42" s="1558"/>
      <c r="AC42" s="1558"/>
    </row>
    <row r="43" spans="1:29" ht="15.75" thickBot="1">
      <c r="A43" s="620" t="s">
        <v>2937</v>
      </c>
      <c r="B43" s="621"/>
      <c r="C43" s="2658" t="e">
        <f>R43</f>
        <v>#DIV/0!</v>
      </c>
      <c r="D43" s="2658"/>
      <c r="E43" s="2658"/>
      <c r="F43" s="2658"/>
      <c r="G43" s="2658"/>
      <c r="H43" s="2658"/>
      <c r="I43" s="2658"/>
      <c r="J43" s="2658"/>
      <c r="K43" s="1612"/>
      <c r="L43" s="2142"/>
      <c r="M43" s="2143"/>
      <c r="N43" s="2143"/>
      <c r="O43" s="2143"/>
      <c r="P43" s="3454" t="str">
        <f>A43</f>
        <v>估价对象XX用房的比较价格（楼面单价，元/平方米）</v>
      </c>
      <c r="Q43" s="3455"/>
      <c r="R43" s="3512" t="e">
        <f>IF(F1="售价",ROUND(AVERAGE(R42:V42),0),ROUND(AVERAGE(R42:V42),1))</f>
        <v>#DIV/0!</v>
      </c>
      <c r="S43" s="3512"/>
      <c r="T43" s="3512"/>
      <c r="U43" s="3512"/>
      <c r="V43" s="3512"/>
      <c r="W43" s="3512"/>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575</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530</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576</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532</v>
      </c>
      <c r="B55" s="647"/>
      <c r="C55" s="659" t="s">
        <v>577</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578</v>
      </c>
      <c r="B57" s="664" t="s">
        <v>535</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540</v>
      </c>
      <c r="B70" s="664" t="s">
        <v>586</v>
      </c>
      <c r="C70" s="702" t="s">
        <v>580</v>
      </c>
      <c r="D70" s="702" t="s">
        <v>581</v>
      </c>
      <c r="E70" s="702" t="s">
        <v>582</v>
      </c>
      <c r="F70" s="702" t="s">
        <v>583</v>
      </c>
      <c r="G70" s="702" t="s">
        <v>584</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587</v>
      </c>
      <c r="C72" s="707" t="s">
        <v>580</v>
      </c>
      <c r="D72" s="707" t="s">
        <v>581</v>
      </c>
      <c r="E72" s="707" t="s">
        <v>582</v>
      </c>
      <c r="F72" s="707" t="s">
        <v>583</v>
      </c>
      <c r="G72" s="707" t="s">
        <v>584</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2560</v>
      </c>
      <c r="C74" s="707" t="s">
        <v>580</v>
      </c>
      <c r="D74" s="707" t="s">
        <v>581</v>
      </c>
      <c r="E74" s="707" t="s">
        <v>582</v>
      </c>
      <c r="F74" s="707" t="s">
        <v>583</v>
      </c>
      <c r="G74" s="707" t="s">
        <v>584</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2561</v>
      </c>
      <c r="C76" s="2620" t="s">
        <v>2562</v>
      </c>
      <c r="D76" s="2620" t="s">
        <v>2563</v>
      </c>
      <c r="E76" s="2620" t="s">
        <v>2564</v>
      </c>
      <c r="F76" s="2620" t="s">
        <v>2565</v>
      </c>
      <c r="G76" s="2620" t="s">
        <v>2566</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785</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552</v>
      </c>
      <c r="B88" s="664" t="s">
        <v>748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750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752</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754</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2559</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756</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1"/>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796</v>
      </c>
      <c r="B3" s="509" t="e">
        <f>IF(B37="元/平方米",C39,ROUND(B2*10000/D3,0))</f>
        <v>#DIV/0!</v>
      </c>
      <c r="C3" s="851" t="s">
        <v>797</v>
      </c>
      <c r="D3" s="850">
        <f>SUMIF('数据-汇总表'!$C19:$C33,D1,'数据-汇总表'!$E19:$E33)</f>
        <v>0</v>
      </c>
      <c r="E3" s="1846" t="s">
        <v>2078</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798</v>
      </c>
      <c r="B4" s="512"/>
      <c r="C4" s="3437" t="s">
        <v>799</v>
      </c>
      <c r="D4" s="3438"/>
      <c r="E4" s="3437" t="s">
        <v>800</v>
      </c>
      <c r="F4" s="3438"/>
      <c r="G4" s="3437" t="s">
        <v>801</v>
      </c>
      <c r="H4" s="3438"/>
      <c r="I4" s="3437" t="s">
        <v>802</v>
      </c>
      <c r="J4" s="3438"/>
      <c r="K4" s="513" t="s">
        <v>803</v>
      </c>
      <c r="L4" s="2131"/>
      <c r="M4" s="2132"/>
      <c r="N4" s="2132"/>
      <c r="O4" s="2132"/>
      <c r="P4" s="3439" t="s">
        <v>804</v>
      </c>
      <c r="Q4" s="3440"/>
      <c r="R4" s="3425" t="s">
        <v>800</v>
      </c>
      <c r="S4" s="3426"/>
      <c r="T4" s="3425" t="s">
        <v>801</v>
      </c>
      <c r="U4" s="3426"/>
      <c r="V4" s="3445" t="s">
        <v>802</v>
      </c>
      <c r="W4" s="3445"/>
      <c r="X4" s="1566"/>
      <c r="Y4" s="3425" t="s">
        <v>804</v>
      </c>
      <c r="Z4" s="3426"/>
      <c r="AA4" s="3420" t="s">
        <v>800</v>
      </c>
      <c r="AB4" s="3421" t="s">
        <v>801</v>
      </c>
      <c r="AC4" s="3420" t="s">
        <v>802</v>
      </c>
    </row>
    <row r="5" spans="1:29" ht="15">
      <c r="A5" s="514"/>
      <c r="B5" s="515"/>
      <c r="C5" s="3450" t="s">
        <v>2931</v>
      </c>
      <c r="D5" s="3449"/>
      <c r="E5" s="3450" t="s">
        <v>2932</v>
      </c>
      <c r="F5" s="3449"/>
      <c r="G5" s="3450" t="s">
        <v>2933</v>
      </c>
      <c r="H5" s="3449"/>
      <c r="I5" s="3450" t="s">
        <v>2934</v>
      </c>
      <c r="J5" s="3449"/>
      <c r="K5" s="513"/>
      <c r="L5" s="2131"/>
      <c r="M5" s="2132"/>
      <c r="N5" s="2132"/>
      <c r="O5" s="2132"/>
      <c r="P5" s="3441"/>
      <c r="Q5" s="3442"/>
      <c r="R5" s="3427"/>
      <c r="S5" s="3428"/>
      <c r="T5" s="3427"/>
      <c r="U5" s="3428"/>
      <c r="V5" s="3445"/>
      <c r="W5" s="3445"/>
      <c r="X5" s="1566"/>
      <c r="Y5" s="3427"/>
      <c r="Z5" s="3428"/>
      <c r="AA5" s="3421"/>
      <c r="AB5" s="3421"/>
      <c r="AC5" s="3421"/>
    </row>
    <row r="6" spans="1:29" ht="15.75" thickBot="1">
      <c r="A6" s="516"/>
      <c r="B6" s="517"/>
      <c r="C6" s="3467" t="s">
        <v>2935</v>
      </c>
      <c r="D6" s="3447"/>
      <c r="E6" s="3451" t="s">
        <v>2935</v>
      </c>
      <c r="F6" s="3452"/>
      <c r="G6" s="3467" t="s">
        <v>2935</v>
      </c>
      <c r="H6" s="3447"/>
      <c r="I6" s="3467" t="s">
        <v>2935</v>
      </c>
      <c r="J6" s="3447"/>
      <c r="K6" s="513" t="s">
        <v>529</v>
      </c>
      <c r="L6" s="2131"/>
      <c r="M6" s="2132"/>
      <c r="N6" s="2132"/>
      <c r="O6" s="2132"/>
      <c r="P6" s="3443"/>
      <c r="Q6" s="3444"/>
      <c r="R6" s="3427"/>
      <c r="S6" s="3428"/>
      <c r="T6" s="3429"/>
      <c r="U6" s="3430"/>
      <c r="V6" s="3445"/>
      <c r="W6" s="3445"/>
      <c r="X6" s="1566"/>
      <c r="Y6" s="3429"/>
      <c r="Z6" s="3430"/>
      <c r="AA6" s="3422"/>
      <c r="AB6" s="3422"/>
      <c r="AC6" s="3422"/>
    </row>
    <row r="7" spans="1:29" s="1219" customFormat="1" ht="15.75" thickBot="1">
      <c r="A7" s="2936"/>
      <c r="B7" s="2943" t="s">
        <v>530</v>
      </c>
      <c r="C7" s="518">
        <f>'数据-取费表'!B2</f>
        <v>43104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23" t="s">
        <v>531</v>
      </c>
      <c r="Q7" s="3432"/>
      <c r="R7" s="1567" t="s">
        <v>8</v>
      </c>
      <c r="S7" s="1568">
        <f t="shared" ref="S7:S14" si="0">F7</f>
        <v>0</v>
      </c>
      <c r="T7" s="1567" t="s">
        <v>8</v>
      </c>
      <c r="U7" s="1568">
        <f t="shared" ref="U7:U14" si="1">H7</f>
        <v>0</v>
      </c>
      <c r="V7" s="1567" t="s">
        <v>8</v>
      </c>
      <c r="W7" s="1568">
        <f t="shared" ref="W7:W14" si="2">J7</f>
        <v>0</v>
      </c>
      <c r="X7" s="1569"/>
      <c r="Y7" s="3423" t="s">
        <v>531</v>
      </c>
      <c r="Z7" s="3424"/>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23" t="s">
        <v>534</v>
      </c>
      <c r="Q8" s="3424"/>
      <c r="R8" s="1567" t="s">
        <v>8</v>
      </c>
      <c r="S8" s="1568">
        <f t="shared" si="0"/>
        <v>0</v>
      </c>
      <c r="T8" s="1567" t="s">
        <v>8</v>
      </c>
      <c r="U8" s="1568">
        <f t="shared" si="1"/>
        <v>0</v>
      </c>
      <c r="V8" s="1567" t="s">
        <v>8</v>
      </c>
      <c r="W8" s="1568">
        <f t="shared" si="2"/>
        <v>0</v>
      </c>
      <c r="X8" s="1569"/>
      <c r="Y8" s="3423" t="s">
        <v>534</v>
      </c>
      <c r="Z8" s="3424"/>
      <c r="AA8" s="1570" t="e">
        <f t="shared" ref="AA8:AA36" si="3">D8/F8</f>
        <v>#DIV/0!</v>
      </c>
      <c r="AB8" s="1570" t="e">
        <f t="shared" ref="AB8:AB36" si="4">D8/H8</f>
        <v>#DIV/0!</v>
      </c>
      <c r="AC8" s="1570" t="e">
        <f t="shared" ref="AC8:AC36" si="5">D8/J8</f>
        <v>#DIV/0!</v>
      </c>
    </row>
    <row r="9" spans="1:29" s="1219" customFormat="1" ht="15">
      <c r="A9" s="2938"/>
      <c r="B9" s="2945" t="s">
        <v>2761</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31" t="s">
        <v>536</v>
      </c>
      <c r="Q9" s="1150" t="str">
        <f t="shared" ref="Q9:Q14" si="6">B9</f>
        <v>用途</v>
      </c>
      <c r="R9" s="1567" t="s">
        <v>8</v>
      </c>
      <c r="S9" s="1568">
        <f t="shared" si="0"/>
        <v>100</v>
      </c>
      <c r="T9" s="1567" t="s">
        <v>8</v>
      </c>
      <c r="U9" s="1568">
        <f t="shared" si="1"/>
        <v>100</v>
      </c>
      <c r="V9" s="1567" t="s">
        <v>8</v>
      </c>
      <c r="W9" s="1568">
        <f t="shared" si="2"/>
        <v>100</v>
      </c>
      <c r="X9" s="1569"/>
      <c r="Y9" s="3388" t="s">
        <v>537</v>
      </c>
      <c r="Z9" s="1149" t="str">
        <f t="shared" ref="Z9:Z14" si="7">Q9</f>
        <v>用途</v>
      </c>
      <c r="AA9" s="1570">
        <f t="shared" si="3"/>
        <v>1</v>
      </c>
      <c r="AB9" s="1570">
        <f t="shared" si="4"/>
        <v>1</v>
      </c>
      <c r="AC9" s="1570">
        <f t="shared" si="5"/>
        <v>1</v>
      </c>
    </row>
    <row r="10" spans="1:29" s="1337" customFormat="1" ht="27">
      <c r="A10" s="2939"/>
      <c r="B10" s="2944" t="s">
        <v>2762</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31"/>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31"/>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31"/>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934" t="s">
        <v>2759</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33" t="s">
        <v>541</v>
      </c>
      <c r="Q14" s="1571" t="str">
        <f t="shared" si="6"/>
        <v>交通便捷度</v>
      </c>
      <c r="R14" s="1572" t="s">
        <v>8</v>
      </c>
      <c r="S14" s="1573">
        <f t="shared" si="0"/>
        <v>100</v>
      </c>
      <c r="T14" s="1572" t="s">
        <v>8</v>
      </c>
      <c r="U14" s="1573">
        <f t="shared" si="1"/>
        <v>100</v>
      </c>
      <c r="V14" s="1572" t="s">
        <v>8</v>
      </c>
      <c r="W14" s="1573">
        <f t="shared" si="2"/>
        <v>100</v>
      </c>
      <c r="X14" s="1566"/>
      <c r="Y14" s="3433"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434"/>
      <c r="Q15" s="1571"/>
      <c r="R15" s="1572"/>
      <c r="S15" s="1573"/>
      <c r="T15" s="1572"/>
      <c r="U15" s="1573"/>
      <c r="V15" s="1572"/>
      <c r="W15" s="1573"/>
      <c r="X15" s="1566"/>
      <c r="Y15" s="3434"/>
      <c r="Z15" s="1574"/>
      <c r="AA15" s="1575">
        <v>1</v>
      </c>
      <c r="AB15" s="1575">
        <v>1</v>
      </c>
      <c r="AC15" s="1575">
        <v>1</v>
      </c>
    </row>
    <row r="16" spans="1:29" ht="42.75">
      <c r="A16" s="514"/>
      <c r="B16" s="2625" t="s">
        <v>2549</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34"/>
      <c r="Q16" s="1571" t="str">
        <f>B16</f>
        <v>公共配套设施</v>
      </c>
      <c r="R16" s="1572" t="s">
        <v>8</v>
      </c>
      <c r="S16" s="1573">
        <f>F16</f>
        <v>100</v>
      </c>
      <c r="T16" s="1572" t="s">
        <v>8</v>
      </c>
      <c r="U16" s="1573">
        <f>H16</f>
        <v>100</v>
      </c>
      <c r="V16" s="1572" t="s">
        <v>8</v>
      </c>
      <c r="W16" s="1573">
        <f>J16</f>
        <v>100</v>
      </c>
      <c r="X16" s="1566"/>
      <c r="Y16" s="343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434"/>
      <c r="Q17" s="1571"/>
      <c r="R17" s="1572"/>
      <c r="S17" s="1573"/>
      <c r="T17" s="1572"/>
      <c r="U17" s="1573"/>
      <c r="V17" s="1572"/>
      <c r="W17" s="1573"/>
      <c r="X17" s="1566"/>
      <c r="Y17" s="3434"/>
      <c r="Z17" s="1574"/>
      <c r="AA17" s="1575">
        <v>1</v>
      </c>
      <c r="AB17" s="1575">
        <v>1</v>
      </c>
      <c r="AC17" s="1575">
        <v>1</v>
      </c>
    </row>
    <row r="18" spans="1:29" ht="28.5">
      <c r="A18" s="514"/>
      <c r="B18" s="2613" t="s">
        <v>2561</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34"/>
      <c r="Q18" s="2601" t="str">
        <f>B18</f>
        <v>基础设施水平</v>
      </c>
      <c r="R18" s="1572" t="s">
        <v>8</v>
      </c>
      <c r="S18" s="1573">
        <f>F18</f>
        <v>100</v>
      </c>
      <c r="T18" s="1572" t="s">
        <v>8</v>
      </c>
      <c r="U18" s="1573">
        <f>H18</f>
        <v>100</v>
      </c>
      <c r="V18" s="1572" t="s">
        <v>8</v>
      </c>
      <c r="W18" s="1573">
        <f>J18</f>
        <v>100</v>
      </c>
      <c r="X18" s="2603"/>
      <c r="Y18" s="3434"/>
      <c r="Z18" s="2602"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4"/>
      <c r="L19" s="2140"/>
      <c r="M19" s="2132"/>
      <c r="N19" s="2132"/>
      <c r="O19" s="2139"/>
      <c r="P19" s="3434"/>
      <c r="Q19" s="2601"/>
      <c r="R19" s="1572"/>
      <c r="S19" s="1573"/>
      <c r="T19" s="1572"/>
      <c r="U19" s="1573"/>
      <c r="V19" s="1572"/>
      <c r="W19" s="1573"/>
      <c r="X19" s="2603"/>
      <c r="Y19" s="3434"/>
      <c r="Z19" s="2602"/>
      <c r="AA19" s="1575">
        <v>1</v>
      </c>
      <c r="AB19" s="1575">
        <v>1</v>
      </c>
      <c r="AC19" s="1575">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34"/>
      <c r="Q20" s="1571" t="str">
        <f>B20</f>
        <v>自然及人文环境</v>
      </c>
      <c r="R20" s="1572" t="s">
        <v>8</v>
      </c>
      <c r="S20" s="1573">
        <f>F20</f>
        <v>100</v>
      </c>
      <c r="T20" s="1572" t="s">
        <v>8</v>
      </c>
      <c r="U20" s="1573">
        <f>H20</f>
        <v>100</v>
      </c>
      <c r="V20" s="1572" t="s">
        <v>8</v>
      </c>
      <c r="W20" s="1573">
        <f>J20</f>
        <v>100</v>
      </c>
      <c r="X20" s="1566"/>
      <c r="Y20" s="343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434"/>
      <c r="Q21" s="1571"/>
      <c r="R21" s="1572"/>
      <c r="S21" s="1573"/>
      <c r="T21" s="1572"/>
      <c r="U21" s="1573"/>
      <c r="V21" s="1572"/>
      <c r="W21" s="1573"/>
      <c r="X21" s="1566"/>
      <c r="Y21" s="3434"/>
      <c r="Z21" s="1574"/>
      <c r="AA21" s="1575">
        <v>1</v>
      </c>
      <c r="AB21" s="1575">
        <v>1</v>
      </c>
      <c r="AC21" s="1575">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4"/>
      <c r="Q22" s="1571" t="str">
        <f>B22</f>
        <v>楼层</v>
      </c>
      <c r="R22" s="1572" t="s">
        <v>8</v>
      </c>
      <c r="S22" s="1573">
        <f>F22</f>
        <v>100</v>
      </c>
      <c r="T22" s="1572" t="s">
        <v>8</v>
      </c>
      <c r="U22" s="1573">
        <f>H22</f>
        <v>100</v>
      </c>
      <c r="V22" s="1572" t="s">
        <v>8</v>
      </c>
      <c r="W22" s="1573">
        <f>J22</f>
        <v>100</v>
      </c>
      <c r="X22" s="1566"/>
      <c r="Y22" s="343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4"/>
      <c r="Q23" s="1571">
        <f>B23</f>
        <v>111</v>
      </c>
      <c r="R23" s="1572" t="s">
        <v>8</v>
      </c>
      <c r="S23" s="1573">
        <f>F23</f>
        <v>100</v>
      </c>
      <c r="T23" s="1572" t="s">
        <v>8</v>
      </c>
      <c r="U23" s="1573">
        <f>H23</f>
        <v>100</v>
      </c>
      <c r="V23" s="1572" t="s">
        <v>8</v>
      </c>
      <c r="W23" s="1573">
        <f>J23</f>
        <v>100</v>
      </c>
      <c r="X23" s="1566"/>
      <c r="Y23" s="343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4"/>
      <c r="Q24" s="1571">
        <f t="shared" ref="Q24:Q36" si="11">B24</f>
        <v>111</v>
      </c>
      <c r="R24" s="1572" t="s">
        <v>8</v>
      </c>
      <c r="S24" s="1573">
        <f>F24</f>
        <v>100</v>
      </c>
      <c r="T24" s="1572" t="s">
        <v>8</v>
      </c>
      <c r="U24" s="1573">
        <f>H24</f>
        <v>100</v>
      </c>
      <c r="V24" s="1572" t="s">
        <v>8</v>
      </c>
      <c r="W24" s="1573">
        <f>J24</f>
        <v>100</v>
      </c>
      <c r="X24" s="1566"/>
      <c r="Y24" s="343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34"/>
      <c r="Q25" s="1150">
        <f t="shared" si="11"/>
        <v>111</v>
      </c>
      <c r="R25" s="1567" t="s">
        <v>8</v>
      </c>
      <c r="S25" s="1568">
        <f>F25</f>
        <v>100</v>
      </c>
      <c r="T25" s="1567" t="s">
        <v>8</v>
      </c>
      <c r="U25" s="1568">
        <f>H25</f>
        <v>100</v>
      </c>
      <c r="V25" s="1567" t="s">
        <v>8</v>
      </c>
      <c r="W25" s="1568">
        <f>J25</f>
        <v>100</v>
      </c>
      <c r="X25" s="1569"/>
      <c r="Y25" s="3434"/>
      <c r="Z25" s="1149">
        <f>Q25</f>
        <v>111</v>
      </c>
      <c r="AA25" s="1575">
        <f>D25/F25</f>
        <v>1</v>
      </c>
      <c r="AB25" s="1575">
        <f>D25/H25</f>
        <v>1</v>
      </c>
      <c r="AC25" s="1575">
        <f>D25/J25</f>
        <v>1</v>
      </c>
    </row>
    <row r="26" spans="1:29" ht="15">
      <c r="A26" s="2931" t="s">
        <v>2760</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35"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6" t="s">
        <v>551</v>
      </c>
      <c r="Z26" s="1574" t="str">
        <f t="shared" ref="Z26:Z36" si="15">Q26</f>
        <v>配套类型</v>
      </c>
      <c r="AA26" s="1575">
        <f t="shared" si="3"/>
        <v>1</v>
      </c>
      <c r="AB26" s="1575">
        <f t="shared" si="4"/>
        <v>1</v>
      </c>
      <c r="AC26" s="1575">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36"/>
      <c r="Q27" s="1604" t="str">
        <f t="shared" si="11"/>
        <v>项目停车位配比</v>
      </c>
      <c r="R27" s="1576" t="s">
        <v>8</v>
      </c>
      <c r="S27" s="1577">
        <f t="shared" si="12"/>
        <v>100</v>
      </c>
      <c r="T27" s="1576" t="s">
        <v>8</v>
      </c>
      <c r="U27" s="1577">
        <f t="shared" si="13"/>
        <v>100</v>
      </c>
      <c r="V27" s="1576" t="s">
        <v>8</v>
      </c>
      <c r="W27" s="1577">
        <f t="shared" si="14"/>
        <v>100</v>
      </c>
      <c r="X27" s="1578"/>
      <c r="Y27" s="3436"/>
      <c r="Z27" s="1579" t="str">
        <f t="shared" si="15"/>
        <v>项目停车位配比</v>
      </c>
      <c r="AA27" s="1575">
        <f t="shared" si="3"/>
        <v>1</v>
      </c>
      <c r="AB27" s="1575">
        <f t="shared" si="4"/>
        <v>1</v>
      </c>
      <c r="AC27" s="1575">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36"/>
      <c r="Q28" s="1571" t="str">
        <f t="shared" si="11"/>
        <v>公共部分装修</v>
      </c>
      <c r="R28" s="1572" t="s">
        <v>8</v>
      </c>
      <c r="S28" s="1573">
        <f t="shared" si="12"/>
        <v>100</v>
      </c>
      <c r="T28" s="1572" t="s">
        <v>8</v>
      </c>
      <c r="U28" s="1573">
        <f t="shared" si="13"/>
        <v>100</v>
      </c>
      <c r="V28" s="1572" t="s">
        <v>8</v>
      </c>
      <c r="W28" s="1573">
        <f t="shared" si="14"/>
        <v>100</v>
      </c>
      <c r="X28" s="1566"/>
      <c r="Y28" s="3436"/>
      <c r="Z28" s="1574" t="str">
        <f t="shared" si="15"/>
        <v>公共部分装修</v>
      </c>
      <c r="AA28" s="1575">
        <f t="shared" si="3"/>
        <v>1</v>
      </c>
      <c r="AB28" s="1575">
        <f t="shared" si="4"/>
        <v>1</v>
      </c>
      <c r="AC28" s="1575">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36"/>
      <c r="Q29" s="1571" t="str">
        <f t="shared" si="11"/>
        <v>成新率</v>
      </c>
      <c r="R29" s="1572" t="s">
        <v>8</v>
      </c>
      <c r="S29" s="1573" t="e">
        <f t="shared" si="12"/>
        <v>#N/A</v>
      </c>
      <c r="T29" s="1572" t="s">
        <v>8</v>
      </c>
      <c r="U29" s="1573" t="e">
        <f t="shared" si="13"/>
        <v>#N/A</v>
      </c>
      <c r="V29" s="1572" t="s">
        <v>8</v>
      </c>
      <c r="W29" s="1573" t="e">
        <f t="shared" si="14"/>
        <v>#N/A</v>
      </c>
      <c r="X29" s="1566"/>
      <c r="Y29" s="3436"/>
      <c r="Z29" s="1574" t="str">
        <f t="shared" si="15"/>
        <v>成新率</v>
      </c>
      <c r="AA29" s="1575" t="e">
        <f t="shared" si="3"/>
        <v>#N/A</v>
      </c>
      <c r="AB29" s="1575" t="e">
        <f t="shared" si="4"/>
        <v>#N/A</v>
      </c>
      <c r="AC29" s="1575"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36"/>
      <c r="Q30" s="1571" t="str">
        <f t="shared" si="11"/>
        <v>物业等级</v>
      </c>
      <c r="R30" s="1572" t="s">
        <v>8</v>
      </c>
      <c r="S30" s="1573">
        <f t="shared" si="12"/>
        <v>100</v>
      </c>
      <c r="T30" s="1572" t="s">
        <v>8</v>
      </c>
      <c r="U30" s="1573">
        <f t="shared" si="13"/>
        <v>100</v>
      </c>
      <c r="V30" s="1572" t="s">
        <v>8</v>
      </c>
      <c r="W30" s="1573">
        <f t="shared" si="14"/>
        <v>100</v>
      </c>
      <c r="X30" s="1566"/>
      <c r="Y30" s="3436"/>
      <c r="Z30" s="1574" t="str">
        <f t="shared" si="15"/>
        <v>物业等级</v>
      </c>
      <c r="AA30" s="1575">
        <f t="shared" si="3"/>
        <v>1</v>
      </c>
      <c r="AB30" s="1575">
        <f t="shared" si="4"/>
        <v>1</v>
      </c>
      <c r="AC30" s="1575">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36"/>
      <c r="Q31" s="1150" t="str">
        <f t="shared" si="11"/>
        <v>停车位面积</v>
      </c>
      <c r="R31" s="1567" t="s">
        <v>8</v>
      </c>
      <c r="S31" s="1568" t="e">
        <f t="shared" si="12"/>
        <v>#N/A</v>
      </c>
      <c r="T31" s="1567" t="s">
        <v>8</v>
      </c>
      <c r="U31" s="1568" t="e">
        <f t="shared" si="13"/>
        <v>#N/A</v>
      </c>
      <c r="V31" s="1567" t="s">
        <v>8</v>
      </c>
      <c r="W31" s="1568" t="e">
        <f t="shared" si="14"/>
        <v>#N/A</v>
      </c>
      <c r="X31" s="1569"/>
      <c r="Y31" s="3436"/>
      <c r="Z31" s="1149" t="str">
        <f t="shared" si="15"/>
        <v>停车位面积</v>
      </c>
      <c r="AA31" s="1570" t="e">
        <f t="shared" si="3"/>
        <v>#N/A</v>
      </c>
      <c r="AB31" s="1570" t="e">
        <f t="shared" si="4"/>
        <v>#N/A</v>
      </c>
      <c r="AC31" s="1570"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36" t="s">
        <v>551</v>
      </c>
      <c r="Q32" s="1571" t="str">
        <f t="shared" si="11"/>
        <v>车位类型</v>
      </c>
      <c r="R32" s="1572" t="s">
        <v>8</v>
      </c>
      <c r="S32" s="1573">
        <f t="shared" si="12"/>
        <v>100</v>
      </c>
      <c r="T32" s="1572" t="s">
        <v>8</v>
      </c>
      <c r="U32" s="1573">
        <f t="shared" si="13"/>
        <v>100</v>
      </c>
      <c r="V32" s="1572" t="s">
        <v>8</v>
      </c>
      <c r="W32" s="1573">
        <f t="shared" si="14"/>
        <v>100</v>
      </c>
      <c r="X32" s="1566"/>
      <c r="Y32" s="3436" t="s">
        <v>551</v>
      </c>
      <c r="Z32" s="1574" t="str">
        <f t="shared" si="15"/>
        <v>车位类型</v>
      </c>
      <c r="AA32" s="1575">
        <f t="shared" si="3"/>
        <v>1</v>
      </c>
      <c r="AB32" s="1575">
        <f t="shared" si="4"/>
        <v>1</v>
      </c>
      <c r="AC32" s="1575">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36"/>
      <c r="Q33" s="1571" t="str">
        <f t="shared" si="11"/>
        <v>是否直接入户</v>
      </c>
      <c r="R33" s="1572" t="s">
        <v>8</v>
      </c>
      <c r="S33" s="1573">
        <f t="shared" si="12"/>
        <v>100</v>
      </c>
      <c r="T33" s="1572" t="s">
        <v>8</v>
      </c>
      <c r="U33" s="1573">
        <f t="shared" si="13"/>
        <v>100</v>
      </c>
      <c r="V33" s="1572" t="s">
        <v>8</v>
      </c>
      <c r="W33" s="1573">
        <f t="shared" si="14"/>
        <v>100</v>
      </c>
      <c r="X33" s="1566"/>
      <c r="Y33" s="343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6"/>
      <c r="Q34" s="1571">
        <f t="shared" si="11"/>
        <v>111</v>
      </c>
      <c r="R34" s="1572" t="s">
        <v>8</v>
      </c>
      <c r="S34" s="1573">
        <f t="shared" si="12"/>
        <v>100</v>
      </c>
      <c r="T34" s="1572" t="s">
        <v>8</v>
      </c>
      <c r="U34" s="1573">
        <f t="shared" si="13"/>
        <v>100</v>
      </c>
      <c r="V34" s="1572" t="s">
        <v>8</v>
      </c>
      <c r="W34" s="1573">
        <f t="shared" si="14"/>
        <v>100</v>
      </c>
      <c r="X34" s="1566"/>
      <c r="Y34" s="343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6"/>
      <c r="Q35" s="1604">
        <f t="shared" si="11"/>
        <v>111</v>
      </c>
      <c r="R35" s="1576" t="s">
        <v>8</v>
      </c>
      <c r="S35" s="1577">
        <f t="shared" si="12"/>
        <v>100</v>
      </c>
      <c r="T35" s="1576" t="s">
        <v>8</v>
      </c>
      <c r="U35" s="1577">
        <f t="shared" si="13"/>
        <v>100</v>
      </c>
      <c r="V35" s="1576" t="s">
        <v>8</v>
      </c>
      <c r="W35" s="1577">
        <f t="shared" si="14"/>
        <v>100</v>
      </c>
      <c r="X35" s="1578"/>
      <c r="Y35" s="343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6"/>
      <c r="Q36" s="1571">
        <f t="shared" si="11"/>
        <v>111</v>
      </c>
      <c r="R36" s="1572" t="s">
        <v>8</v>
      </c>
      <c r="S36" s="1573">
        <f t="shared" si="12"/>
        <v>100</v>
      </c>
      <c r="T36" s="1572" t="s">
        <v>8</v>
      </c>
      <c r="U36" s="1573">
        <f t="shared" si="13"/>
        <v>100</v>
      </c>
      <c r="V36" s="1572" t="s">
        <v>8</v>
      </c>
      <c r="W36" s="1573">
        <f t="shared" si="14"/>
        <v>100</v>
      </c>
      <c r="X36" s="1566"/>
      <c r="Y36" s="3436"/>
      <c r="Z36" s="1574">
        <f t="shared" si="15"/>
        <v>111</v>
      </c>
      <c r="AA36" s="1575">
        <f t="shared" si="3"/>
        <v>1</v>
      </c>
      <c r="AB36" s="1575">
        <f t="shared" si="4"/>
        <v>1</v>
      </c>
      <c r="AC36" s="1575">
        <f t="shared" si="5"/>
        <v>1</v>
      </c>
    </row>
    <row r="37" spans="1:29" ht="15">
      <c r="A37" s="1844" t="s">
        <v>2079</v>
      </c>
      <c r="B37" s="1845" t="s">
        <v>2080</v>
      </c>
      <c r="C37" s="2649" t="s">
        <v>1</v>
      </c>
      <c r="D37" s="2650"/>
      <c r="E37" s="2651"/>
      <c r="F37" s="2652"/>
      <c r="G37" s="2653"/>
      <c r="H37" s="2654"/>
      <c r="I37" s="2651"/>
      <c r="J37" s="2654"/>
      <c r="K37" s="1610"/>
      <c r="L37" s="2142"/>
      <c r="M37" s="2143"/>
      <c r="N37" s="2132"/>
      <c r="O37" s="2143"/>
      <c r="P37" s="3431" t="str">
        <f>A37</f>
        <v>成交单价</v>
      </c>
      <c r="Q37" s="3431"/>
      <c r="R37" s="3513">
        <f>E37</f>
        <v>0</v>
      </c>
      <c r="S37" s="3513"/>
      <c r="T37" s="3513">
        <f>G37</f>
        <v>0</v>
      </c>
      <c r="U37" s="3513"/>
      <c r="V37" s="3513">
        <f>I37</f>
        <v>0</v>
      </c>
      <c r="W37" s="3513"/>
      <c r="X37" s="1558"/>
      <c r="Y37" s="1580"/>
      <c r="Z37" s="1558"/>
      <c r="AA37" s="1558"/>
      <c r="AB37" s="1558"/>
      <c r="AC37" s="1558"/>
    </row>
    <row r="38" spans="1:29" ht="15.75" thickBot="1">
      <c r="A38" s="614" t="s">
        <v>2765</v>
      </c>
      <c r="B38" s="887"/>
      <c r="C38" s="2655" t="e">
        <f>R39</f>
        <v>#DIV/0!</v>
      </c>
      <c r="D38" s="2656"/>
      <c r="E38" s="2657" t="e">
        <f>R38</f>
        <v>#DIV/0!</v>
      </c>
      <c r="F38" s="2657"/>
      <c r="G38" s="2655" t="e">
        <f>T38</f>
        <v>#DIV/0!</v>
      </c>
      <c r="H38" s="2656"/>
      <c r="I38" s="2657" t="e">
        <f>V38</f>
        <v>#DIV/0!</v>
      </c>
      <c r="J38" s="2656"/>
      <c r="K38" s="1611"/>
      <c r="L38" s="2142"/>
      <c r="M38" s="2143"/>
      <c r="N38" s="2143"/>
      <c r="O38" s="2143"/>
      <c r="P38" s="3431" t="str">
        <f>A38</f>
        <v>比较价格（元/平方米）</v>
      </c>
      <c r="Q38" s="3431"/>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1558"/>
      <c r="Y38" s="1558"/>
      <c r="Z38" s="1558"/>
      <c r="AA38" s="1558"/>
      <c r="AB38" s="1558"/>
      <c r="AC38" s="1558"/>
    </row>
    <row r="39" spans="1:29" ht="15.75" thickBot="1">
      <c r="A39" s="620" t="s">
        <v>2937</v>
      </c>
      <c r="B39" s="621"/>
      <c r="C39" s="2658" t="e">
        <f>R39</f>
        <v>#DIV/0!</v>
      </c>
      <c r="D39" s="2658"/>
      <c r="E39" s="2658"/>
      <c r="F39" s="2658"/>
      <c r="G39" s="2658"/>
      <c r="H39" s="2658"/>
      <c r="I39" s="2658"/>
      <c r="J39" s="2658"/>
      <c r="K39" s="1612"/>
      <c r="L39" s="2142"/>
      <c r="M39" s="2143"/>
      <c r="N39" s="2143"/>
      <c r="O39" s="2143"/>
      <c r="P39" s="3454" t="str">
        <f>A39</f>
        <v>估价对象XX用房的比较价格（楼面单价，元/平方米）</v>
      </c>
      <c r="Q39" s="3455"/>
      <c r="R39" s="3512" t="e">
        <f>IF(F1="售价",ROUND(AVERAGE(R38:V38),0),ROUND(AVERAGE(R38:V38),1))</f>
        <v>#DIV/0!</v>
      </c>
      <c r="S39" s="3512"/>
      <c r="T39" s="3512"/>
      <c r="U39" s="3512"/>
      <c r="V39" s="3512"/>
      <c r="W39" s="3512"/>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575</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530</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9" customFormat="1" ht="15">
      <c r="A49" s="646"/>
      <c r="B49" s="647"/>
      <c r="C49" s="2827">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576</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532</v>
      </c>
      <c r="B51" s="647"/>
      <c r="C51" s="659" t="s">
        <v>577</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578</v>
      </c>
      <c r="B53" s="664" t="s">
        <v>535</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2560</v>
      </c>
      <c r="C65" s="707" t="s">
        <v>580</v>
      </c>
      <c r="D65" s="707" t="s">
        <v>581</v>
      </c>
      <c r="E65" s="707" t="s">
        <v>582</v>
      </c>
      <c r="F65" s="707" t="s">
        <v>583</v>
      </c>
      <c r="G65" s="707" t="s">
        <v>584</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2561</v>
      </c>
      <c r="C67" s="2620" t="s">
        <v>2562</v>
      </c>
      <c r="D67" s="2620" t="s">
        <v>2563</v>
      </c>
      <c r="E67" s="2620" t="s">
        <v>2564</v>
      </c>
      <c r="F67" s="2620" t="s">
        <v>2565</v>
      </c>
      <c r="G67" s="2620" t="s">
        <v>2566</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707" t="s">
        <v>580</v>
      </c>
      <c r="D69" s="707" t="s">
        <v>581</v>
      </c>
      <c r="E69" s="707" t="s">
        <v>582</v>
      </c>
      <c r="F69" s="707" t="s">
        <v>583</v>
      </c>
      <c r="G69" s="707" t="s">
        <v>584</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746</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552</v>
      </c>
      <c r="B79" s="664" t="s">
        <v>815</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816</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752</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820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821</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1"/>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796</v>
      </c>
      <c r="B3" s="509" t="e">
        <f>C37</f>
        <v>#DIV/0!</v>
      </c>
      <c r="C3" s="851" t="s">
        <v>797</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798</v>
      </c>
      <c r="B4" s="512"/>
      <c r="C4" s="3437" t="s">
        <v>799</v>
      </c>
      <c r="D4" s="3438"/>
      <c r="E4" s="3463" t="s">
        <v>800</v>
      </c>
      <c r="F4" s="3464"/>
      <c r="G4" s="3437" t="s">
        <v>801</v>
      </c>
      <c r="H4" s="3438"/>
      <c r="I4" s="3437" t="s">
        <v>802</v>
      </c>
      <c r="J4" s="3438"/>
      <c r="K4" s="513" t="s">
        <v>803</v>
      </c>
      <c r="L4" s="2131"/>
      <c r="M4" s="2132"/>
      <c r="N4" s="2132"/>
      <c r="O4" s="2132"/>
      <c r="P4" s="3439" t="s">
        <v>804</v>
      </c>
      <c r="Q4" s="3440"/>
      <c r="R4" s="3425" t="s">
        <v>800</v>
      </c>
      <c r="S4" s="3426"/>
      <c r="T4" s="3425" t="s">
        <v>801</v>
      </c>
      <c r="U4" s="3426"/>
      <c r="V4" s="3445" t="s">
        <v>802</v>
      </c>
      <c r="W4" s="3445"/>
      <c r="X4" s="1566"/>
      <c r="Y4" s="3425" t="s">
        <v>804</v>
      </c>
      <c r="Z4" s="3426"/>
      <c r="AA4" s="3420" t="s">
        <v>800</v>
      </c>
      <c r="AB4" s="3421" t="s">
        <v>801</v>
      </c>
      <c r="AC4" s="3420" t="s">
        <v>802</v>
      </c>
    </row>
    <row r="5" spans="1:29" ht="15">
      <c r="A5" s="514"/>
      <c r="B5" s="515"/>
      <c r="C5" s="3450" t="s">
        <v>2931</v>
      </c>
      <c r="D5" s="3449"/>
      <c r="E5" s="3465" t="s">
        <v>2932</v>
      </c>
      <c r="F5" s="3466"/>
      <c r="G5" s="3450" t="s">
        <v>2933</v>
      </c>
      <c r="H5" s="3449"/>
      <c r="I5" s="3450" t="s">
        <v>2934</v>
      </c>
      <c r="J5" s="3449"/>
      <c r="K5" s="513"/>
      <c r="L5" s="2131"/>
      <c r="M5" s="2132"/>
      <c r="N5" s="2132"/>
      <c r="O5" s="2132"/>
      <c r="P5" s="3441"/>
      <c r="Q5" s="3442"/>
      <c r="R5" s="3427"/>
      <c r="S5" s="3428"/>
      <c r="T5" s="3427"/>
      <c r="U5" s="3428"/>
      <c r="V5" s="3445"/>
      <c r="W5" s="3445"/>
      <c r="X5" s="1566"/>
      <c r="Y5" s="3427"/>
      <c r="Z5" s="3428"/>
      <c r="AA5" s="3421"/>
      <c r="AB5" s="3421"/>
      <c r="AC5" s="3421"/>
    </row>
    <row r="6" spans="1:29" ht="15.75" thickBot="1">
      <c r="A6" s="516"/>
      <c r="B6" s="517"/>
      <c r="C6" s="3467" t="s">
        <v>2935</v>
      </c>
      <c r="D6" s="3447"/>
      <c r="E6" s="3468" t="s">
        <v>2935</v>
      </c>
      <c r="F6" s="3469"/>
      <c r="G6" s="3467" t="s">
        <v>2935</v>
      </c>
      <c r="H6" s="3447"/>
      <c r="I6" s="3467" t="s">
        <v>2935</v>
      </c>
      <c r="J6" s="3447"/>
      <c r="K6" s="513" t="s">
        <v>529</v>
      </c>
      <c r="L6" s="2131"/>
      <c r="M6" s="2132"/>
      <c r="N6" s="2132"/>
      <c r="O6" s="2132"/>
      <c r="P6" s="3443"/>
      <c r="Q6" s="3444"/>
      <c r="R6" s="3427"/>
      <c r="S6" s="3428"/>
      <c r="T6" s="3429"/>
      <c r="U6" s="3430"/>
      <c r="V6" s="3445"/>
      <c r="W6" s="3445"/>
      <c r="X6" s="1566"/>
      <c r="Y6" s="3429"/>
      <c r="Z6" s="3430"/>
      <c r="AA6" s="3422"/>
      <c r="AB6" s="3422"/>
      <c r="AC6" s="3422"/>
    </row>
    <row r="7" spans="1:29" s="1219" customFormat="1" ht="15.75" thickBot="1">
      <c r="A7" s="2936"/>
      <c r="B7" s="2943" t="s">
        <v>530</v>
      </c>
      <c r="C7" s="518">
        <f>'数据-取费表'!B2</f>
        <v>43104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23" t="s">
        <v>531</v>
      </c>
      <c r="Q7" s="3432"/>
      <c r="R7" s="1567" t="s">
        <v>8</v>
      </c>
      <c r="S7" s="1568">
        <f t="shared" ref="S7:S14" si="0">F7</f>
        <v>0</v>
      </c>
      <c r="T7" s="1567" t="s">
        <v>8</v>
      </c>
      <c r="U7" s="1568">
        <f t="shared" ref="U7:U14" si="1">H7</f>
        <v>0</v>
      </c>
      <c r="V7" s="1567" t="s">
        <v>8</v>
      </c>
      <c r="W7" s="1568">
        <f t="shared" ref="W7:W14" si="2">J7</f>
        <v>0</v>
      </c>
      <c r="X7" s="1569"/>
      <c r="Y7" s="3423" t="s">
        <v>531</v>
      </c>
      <c r="Z7" s="3424"/>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23" t="s">
        <v>534</v>
      </c>
      <c r="Q8" s="3424"/>
      <c r="R8" s="1567" t="s">
        <v>8</v>
      </c>
      <c r="S8" s="1568">
        <f t="shared" si="0"/>
        <v>0</v>
      </c>
      <c r="T8" s="1567" t="s">
        <v>8</v>
      </c>
      <c r="U8" s="1568">
        <f t="shared" si="1"/>
        <v>0</v>
      </c>
      <c r="V8" s="1567" t="s">
        <v>8</v>
      </c>
      <c r="W8" s="1568">
        <f t="shared" si="2"/>
        <v>0</v>
      </c>
      <c r="X8" s="1569"/>
      <c r="Y8" s="3423" t="s">
        <v>534</v>
      </c>
      <c r="Z8" s="3424"/>
      <c r="AA8" s="1570" t="e">
        <f t="shared" ref="AA8:AA34" si="3">D8/F8</f>
        <v>#DIV/0!</v>
      </c>
      <c r="AB8" s="1570" t="e">
        <f t="shared" ref="AB8:AB34" si="4">D8/H8</f>
        <v>#DIV/0!</v>
      </c>
      <c r="AC8" s="1570" t="e">
        <f t="shared" ref="AC8:AC34" si="5">D8/J8</f>
        <v>#DIV/0!</v>
      </c>
    </row>
    <row r="9" spans="1:29" s="1219" customFormat="1" ht="15">
      <c r="A9" s="2938"/>
      <c r="B9" s="2945" t="s">
        <v>2761</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31" t="s">
        <v>536</v>
      </c>
      <c r="Q9" s="1150" t="str">
        <f t="shared" ref="Q9:Q14" si="6">B9</f>
        <v>用途</v>
      </c>
      <c r="R9" s="1567" t="s">
        <v>8</v>
      </c>
      <c r="S9" s="1568">
        <f t="shared" si="0"/>
        <v>100</v>
      </c>
      <c r="T9" s="1567" t="s">
        <v>8</v>
      </c>
      <c r="U9" s="1568">
        <f t="shared" si="1"/>
        <v>100</v>
      </c>
      <c r="V9" s="1567" t="s">
        <v>8</v>
      </c>
      <c r="W9" s="1568">
        <f t="shared" si="2"/>
        <v>100</v>
      </c>
      <c r="X9" s="1569"/>
      <c r="Y9" s="3388" t="s">
        <v>537</v>
      </c>
      <c r="Z9" s="1149" t="str">
        <f t="shared" ref="Z9:Z14" si="7">Q9</f>
        <v>用途</v>
      </c>
      <c r="AA9" s="1570">
        <f t="shared" si="3"/>
        <v>1</v>
      </c>
      <c r="AB9" s="1570">
        <f t="shared" si="4"/>
        <v>1</v>
      </c>
      <c r="AC9" s="1570">
        <f t="shared" si="5"/>
        <v>1</v>
      </c>
    </row>
    <row r="10" spans="1:29" s="1337" customFormat="1" ht="27">
      <c r="A10" s="2939"/>
      <c r="B10" s="2944" t="s">
        <v>2762</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31"/>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31"/>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31"/>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31"/>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934" t="s">
        <v>2759</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33" t="s">
        <v>541</v>
      </c>
      <c r="Q14" s="1571" t="str">
        <f t="shared" si="6"/>
        <v>交通便捷度</v>
      </c>
      <c r="R14" s="1572" t="s">
        <v>8</v>
      </c>
      <c r="S14" s="1573">
        <f t="shared" si="0"/>
        <v>100</v>
      </c>
      <c r="T14" s="1572" t="s">
        <v>8</v>
      </c>
      <c r="U14" s="1573">
        <f t="shared" si="1"/>
        <v>100</v>
      </c>
      <c r="V14" s="1572" t="s">
        <v>8</v>
      </c>
      <c r="W14" s="1573">
        <f t="shared" si="2"/>
        <v>100</v>
      </c>
      <c r="X14" s="1566"/>
      <c r="Y14" s="3433"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434"/>
      <c r="Q15" s="1571"/>
      <c r="R15" s="1572"/>
      <c r="S15" s="1573"/>
      <c r="T15" s="1572"/>
      <c r="U15" s="1573"/>
      <c r="V15" s="1572"/>
      <c r="W15" s="1573"/>
      <c r="X15" s="1566"/>
      <c r="Y15" s="3434"/>
      <c r="Z15" s="1574"/>
      <c r="AA15" s="1575">
        <v>1</v>
      </c>
      <c r="AB15" s="1575">
        <v>1</v>
      </c>
      <c r="AC15" s="1575">
        <v>1</v>
      </c>
    </row>
    <row r="16" spans="1:29" ht="42.75">
      <c r="A16" s="531"/>
      <c r="B16" s="2625" t="s">
        <v>2549</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34"/>
      <c r="Q16" s="1571" t="str">
        <f>B16</f>
        <v>公共配套设施</v>
      </c>
      <c r="R16" s="1572" t="s">
        <v>8</v>
      </c>
      <c r="S16" s="1573">
        <f>F16</f>
        <v>100</v>
      </c>
      <c r="T16" s="1572" t="s">
        <v>8</v>
      </c>
      <c r="U16" s="1573">
        <f>H16</f>
        <v>100</v>
      </c>
      <c r="V16" s="1572" t="s">
        <v>8</v>
      </c>
      <c r="W16" s="1573">
        <f>J16</f>
        <v>100</v>
      </c>
      <c r="X16" s="1566"/>
      <c r="Y16" s="343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434"/>
      <c r="Q17" s="1571"/>
      <c r="R17" s="1572"/>
      <c r="S17" s="1573"/>
      <c r="T17" s="1572"/>
      <c r="U17" s="1573"/>
      <c r="V17" s="1572"/>
      <c r="W17" s="1573"/>
      <c r="X17" s="1566"/>
      <c r="Y17" s="3434"/>
      <c r="Z17" s="1574"/>
      <c r="AA17" s="1575">
        <v>1</v>
      </c>
      <c r="AB17" s="1575">
        <v>1</v>
      </c>
      <c r="AC17" s="1575">
        <v>1</v>
      </c>
    </row>
    <row r="18" spans="1:29" ht="28.5">
      <c r="A18" s="531"/>
      <c r="B18" s="2613" t="s">
        <v>2561</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34"/>
      <c r="Q18" s="2601" t="str">
        <f>B18</f>
        <v>基础设施水平</v>
      </c>
      <c r="R18" s="1572" t="s">
        <v>8</v>
      </c>
      <c r="S18" s="1573">
        <f>F18</f>
        <v>100</v>
      </c>
      <c r="T18" s="1572" t="s">
        <v>8</v>
      </c>
      <c r="U18" s="1573">
        <f>H18</f>
        <v>100</v>
      </c>
      <c r="V18" s="1572" t="s">
        <v>8</v>
      </c>
      <c r="W18" s="1573">
        <f>J18</f>
        <v>100</v>
      </c>
      <c r="X18" s="2603"/>
      <c r="Y18" s="3434"/>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0"/>
      <c r="M19" s="2132"/>
      <c r="N19" s="2132"/>
      <c r="O19" s="2139"/>
      <c r="P19" s="3434"/>
      <c r="Q19" s="2601"/>
      <c r="R19" s="1572"/>
      <c r="S19" s="1573"/>
      <c r="T19" s="1572"/>
      <c r="U19" s="1573"/>
      <c r="V19" s="1572"/>
      <c r="W19" s="1573"/>
      <c r="X19" s="2603"/>
      <c r="Y19" s="3434"/>
      <c r="Z19" s="2602"/>
      <c r="AA19" s="1575">
        <v>1</v>
      </c>
      <c r="AB19" s="1575">
        <v>1</v>
      </c>
      <c r="AC19" s="1575">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34"/>
      <c r="Q20" s="1571" t="str">
        <f>B20</f>
        <v>自然及人文环境</v>
      </c>
      <c r="R20" s="1572" t="s">
        <v>8</v>
      </c>
      <c r="S20" s="1573">
        <f>F20</f>
        <v>100</v>
      </c>
      <c r="T20" s="1572" t="s">
        <v>8</v>
      </c>
      <c r="U20" s="1573">
        <f>H20</f>
        <v>100</v>
      </c>
      <c r="V20" s="1572" t="s">
        <v>8</v>
      </c>
      <c r="W20" s="1573">
        <f>J20</f>
        <v>100</v>
      </c>
      <c r="X20" s="1566"/>
      <c r="Y20" s="343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434"/>
      <c r="Q21" s="1571"/>
      <c r="R21" s="1572"/>
      <c r="S21" s="1573"/>
      <c r="T21" s="1572"/>
      <c r="U21" s="1573"/>
      <c r="V21" s="1572"/>
      <c r="W21" s="1573"/>
      <c r="X21" s="1566"/>
      <c r="Y21" s="3434"/>
      <c r="Z21" s="1574"/>
      <c r="AA21" s="1575">
        <v>1</v>
      </c>
      <c r="AB21" s="1575">
        <v>1</v>
      </c>
      <c r="AC21" s="1575">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4"/>
      <c r="Q22" s="1571" t="str">
        <f>B22</f>
        <v>楼层</v>
      </c>
      <c r="R22" s="1572" t="s">
        <v>8</v>
      </c>
      <c r="S22" s="1573">
        <f>F22</f>
        <v>100</v>
      </c>
      <c r="T22" s="1572" t="s">
        <v>8</v>
      </c>
      <c r="U22" s="1573">
        <f>H22</f>
        <v>100</v>
      </c>
      <c r="V22" s="1572" t="s">
        <v>8</v>
      </c>
      <c r="W22" s="1573">
        <f>J22</f>
        <v>100</v>
      </c>
      <c r="X22" s="1566"/>
      <c r="Y22" s="343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4"/>
      <c r="Q23" s="1571">
        <f>B23</f>
        <v>111</v>
      </c>
      <c r="R23" s="1572" t="s">
        <v>8</v>
      </c>
      <c r="S23" s="1573">
        <f>F23</f>
        <v>100</v>
      </c>
      <c r="T23" s="1572" t="s">
        <v>8</v>
      </c>
      <c r="U23" s="1573">
        <f>H23</f>
        <v>100</v>
      </c>
      <c r="V23" s="1572" t="s">
        <v>8</v>
      </c>
      <c r="W23" s="1573">
        <f>J23</f>
        <v>100</v>
      </c>
      <c r="X23" s="1566"/>
      <c r="Y23" s="343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4"/>
      <c r="Q24" s="1571">
        <f t="shared" ref="Q24:Q34" si="11">B24</f>
        <v>111</v>
      </c>
      <c r="R24" s="1572" t="s">
        <v>8</v>
      </c>
      <c r="S24" s="1573">
        <f>F24</f>
        <v>100</v>
      </c>
      <c r="T24" s="1572" t="s">
        <v>8</v>
      </c>
      <c r="U24" s="1573">
        <f>H24</f>
        <v>100</v>
      </c>
      <c r="V24" s="1572" t="s">
        <v>8</v>
      </c>
      <c r="W24" s="1573">
        <f>J24</f>
        <v>100</v>
      </c>
      <c r="X24" s="1566"/>
      <c r="Y24" s="343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34"/>
      <c r="Q25" s="1150">
        <f t="shared" si="11"/>
        <v>111</v>
      </c>
      <c r="R25" s="1567" t="s">
        <v>8</v>
      </c>
      <c r="S25" s="1568">
        <f>F25</f>
        <v>100</v>
      </c>
      <c r="T25" s="1567" t="s">
        <v>8</v>
      </c>
      <c r="U25" s="1568">
        <f>H25</f>
        <v>100</v>
      </c>
      <c r="V25" s="1567" t="s">
        <v>8</v>
      </c>
      <c r="W25" s="1568">
        <f>J25</f>
        <v>100</v>
      </c>
      <c r="X25" s="1569"/>
      <c r="Y25" s="3434"/>
      <c r="Z25" s="1149">
        <f>Q25</f>
        <v>111</v>
      </c>
      <c r="AA25" s="1575">
        <f>D25/F25</f>
        <v>1</v>
      </c>
      <c r="AB25" s="1575">
        <f>D25/H25</f>
        <v>1</v>
      </c>
      <c r="AC25" s="1575">
        <f>D25/J25</f>
        <v>1</v>
      </c>
    </row>
    <row r="26" spans="1:29" ht="15">
      <c r="A26" s="2931" t="s">
        <v>2760</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35"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6" t="s">
        <v>822</v>
      </c>
      <c r="Z26" s="1574" t="str">
        <f t="shared" ref="Z26:Z34" si="15">Q26</f>
        <v>公共部分装修</v>
      </c>
      <c r="AA26" s="1575">
        <f t="shared" si="3"/>
        <v>1</v>
      </c>
      <c r="AB26" s="1575">
        <f t="shared" si="4"/>
        <v>1</v>
      </c>
      <c r="AC26" s="1575">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36"/>
      <c r="Q27" s="1604" t="str">
        <f t="shared" si="11"/>
        <v>成新率</v>
      </c>
      <c r="R27" s="1576" t="s">
        <v>8</v>
      </c>
      <c r="S27" s="1577" t="e">
        <f t="shared" si="12"/>
        <v>#N/A</v>
      </c>
      <c r="T27" s="1576" t="s">
        <v>8</v>
      </c>
      <c r="U27" s="1577" t="e">
        <f t="shared" si="13"/>
        <v>#N/A</v>
      </c>
      <c r="V27" s="1576" t="s">
        <v>8</v>
      </c>
      <c r="W27" s="1577" t="e">
        <f t="shared" si="14"/>
        <v>#N/A</v>
      </c>
      <c r="X27" s="1578"/>
      <c r="Y27" s="3436"/>
      <c r="Z27" s="1579" t="str">
        <f t="shared" si="15"/>
        <v>成新率</v>
      </c>
      <c r="AA27" s="1575" t="e">
        <f t="shared" si="3"/>
        <v>#N/A</v>
      </c>
      <c r="AB27" s="1575" t="e">
        <f t="shared" si="4"/>
        <v>#N/A</v>
      </c>
      <c r="AC27" s="1575"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6"/>
      <c r="Q28" s="1571" t="str">
        <f t="shared" si="11"/>
        <v>物业等级</v>
      </c>
      <c r="R28" s="1572" t="s">
        <v>8</v>
      </c>
      <c r="S28" s="1573">
        <f t="shared" si="12"/>
        <v>100</v>
      </c>
      <c r="T28" s="1572" t="s">
        <v>8</v>
      </c>
      <c r="U28" s="1573">
        <f t="shared" si="13"/>
        <v>100</v>
      </c>
      <c r="V28" s="1572" t="s">
        <v>8</v>
      </c>
      <c r="W28" s="1573">
        <f t="shared" si="14"/>
        <v>100</v>
      </c>
      <c r="X28" s="1566"/>
      <c r="Y28" s="3436"/>
      <c r="Z28" s="1574" t="str">
        <f t="shared" si="15"/>
        <v>物业等级</v>
      </c>
      <c r="AA28" s="1575">
        <f t="shared" si="3"/>
        <v>1</v>
      </c>
      <c r="AB28" s="1575">
        <f t="shared" si="4"/>
        <v>1</v>
      </c>
      <c r="AC28" s="1575">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36"/>
      <c r="Q29" s="1571" t="str">
        <f t="shared" si="11"/>
        <v>有无电梯</v>
      </c>
      <c r="R29" s="1572" t="s">
        <v>8</v>
      </c>
      <c r="S29" s="1573">
        <f t="shared" si="12"/>
        <v>100</v>
      </c>
      <c r="T29" s="1572" t="s">
        <v>8</v>
      </c>
      <c r="U29" s="1573">
        <f t="shared" si="13"/>
        <v>100</v>
      </c>
      <c r="V29" s="1572" t="s">
        <v>8</v>
      </c>
      <c r="W29" s="1573">
        <f t="shared" si="14"/>
        <v>100</v>
      </c>
      <c r="X29" s="1566"/>
      <c r="Y29" s="3436"/>
      <c r="Z29" s="1574" t="str">
        <f t="shared" si="15"/>
        <v>有无电梯</v>
      </c>
      <c r="AA29" s="1575">
        <f t="shared" si="3"/>
        <v>1</v>
      </c>
      <c r="AB29" s="1575">
        <f t="shared" si="4"/>
        <v>1</v>
      </c>
      <c r="AC29" s="1575">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36"/>
      <c r="Q30" s="1571" t="str">
        <f t="shared" si="11"/>
        <v>建筑面积</v>
      </c>
      <c r="R30" s="1572" t="s">
        <v>8</v>
      </c>
      <c r="S30" s="1573" t="e">
        <f t="shared" si="12"/>
        <v>#N/A</v>
      </c>
      <c r="T30" s="1572" t="s">
        <v>8</v>
      </c>
      <c r="U30" s="1573" t="e">
        <f t="shared" si="13"/>
        <v>#N/A</v>
      </c>
      <c r="V30" s="1572" t="s">
        <v>8</v>
      </c>
      <c r="W30" s="1573" t="e">
        <f t="shared" si="14"/>
        <v>#N/A</v>
      </c>
      <c r="X30" s="1566"/>
      <c r="Y30" s="3436"/>
      <c r="Z30" s="1574" t="str">
        <f t="shared" si="15"/>
        <v>建筑面积</v>
      </c>
      <c r="AA30" s="1575" t="e">
        <f t="shared" si="3"/>
        <v>#N/A</v>
      </c>
      <c r="AB30" s="1575" t="e">
        <f t="shared" si="4"/>
        <v>#N/A</v>
      </c>
      <c r="AC30" s="1575"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36"/>
      <c r="Q31" s="1150" t="str">
        <f t="shared" si="11"/>
        <v>是否封闭</v>
      </c>
      <c r="R31" s="1567" t="s">
        <v>8</v>
      </c>
      <c r="S31" s="1568">
        <f t="shared" si="12"/>
        <v>100</v>
      </c>
      <c r="T31" s="1567" t="s">
        <v>8</v>
      </c>
      <c r="U31" s="1568">
        <f t="shared" si="13"/>
        <v>100</v>
      </c>
      <c r="V31" s="1567" t="s">
        <v>8</v>
      </c>
      <c r="W31" s="1568">
        <f t="shared" si="14"/>
        <v>100</v>
      </c>
      <c r="X31" s="1569"/>
      <c r="Y31" s="343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36" t="s">
        <v>551</v>
      </c>
      <c r="Q32" s="1571">
        <f t="shared" si="11"/>
        <v>111</v>
      </c>
      <c r="R32" s="1572" t="s">
        <v>8</v>
      </c>
      <c r="S32" s="1573">
        <f t="shared" si="12"/>
        <v>100</v>
      </c>
      <c r="T32" s="1572" t="s">
        <v>8</v>
      </c>
      <c r="U32" s="1573">
        <f t="shared" si="13"/>
        <v>100</v>
      </c>
      <c r="V32" s="1572" t="s">
        <v>8</v>
      </c>
      <c r="W32" s="1573">
        <f t="shared" si="14"/>
        <v>100</v>
      </c>
      <c r="X32" s="1566"/>
      <c r="Y32" s="3436"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36"/>
      <c r="Q33" s="1571">
        <f t="shared" si="11"/>
        <v>111</v>
      </c>
      <c r="R33" s="1572" t="s">
        <v>8</v>
      </c>
      <c r="S33" s="1573">
        <f t="shared" si="12"/>
        <v>100</v>
      </c>
      <c r="T33" s="1572" t="s">
        <v>8</v>
      </c>
      <c r="U33" s="1573">
        <f t="shared" si="13"/>
        <v>100</v>
      </c>
      <c r="V33" s="1572" t="s">
        <v>8</v>
      </c>
      <c r="W33" s="1573">
        <f t="shared" si="14"/>
        <v>100</v>
      </c>
      <c r="X33" s="1566"/>
      <c r="Y33" s="343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36"/>
      <c r="Q34" s="1571">
        <f t="shared" si="11"/>
        <v>111</v>
      </c>
      <c r="R34" s="1572" t="s">
        <v>8</v>
      </c>
      <c r="S34" s="1573">
        <f t="shared" si="12"/>
        <v>100</v>
      </c>
      <c r="T34" s="1572" t="s">
        <v>8</v>
      </c>
      <c r="U34" s="1573">
        <f t="shared" si="13"/>
        <v>100</v>
      </c>
      <c r="V34" s="1572" t="s">
        <v>8</v>
      </c>
      <c r="W34" s="1573">
        <f t="shared" si="14"/>
        <v>100</v>
      </c>
      <c r="X34" s="1566"/>
      <c r="Y34" s="3436"/>
      <c r="Z34" s="1574">
        <f t="shared" si="15"/>
        <v>111</v>
      </c>
      <c r="AA34" s="1575">
        <f t="shared" si="3"/>
        <v>1</v>
      </c>
      <c r="AB34" s="1575">
        <f t="shared" si="4"/>
        <v>1</v>
      </c>
      <c r="AC34" s="1575">
        <f t="shared" si="5"/>
        <v>1</v>
      </c>
    </row>
    <row r="35" spans="1:29" ht="15">
      <c r="A35" s="606" t="s">
        <v>737</v>
      </c>
      <c r="B35" s="886"/>
      <c r="C35" s="2649" t="s">
        <v>1</v>
      </c>
      <c r="D35" s="2650"/>
      <c r="E35" s="2651"/>
      <c r="F35" s="2652"/>
      <c r="G35" s="2653"/>
      <c r="H35" s="2654"/>
      <c r="I35" s="2651"/>
      <c r="J35" s="2654"/>
      <c r="K35" s="1610"/>
      <c r="L35" s="2142"/>
      <c r="M35" s="2143"/>
      <c r="N35" s="2132"/>
      <c r="O35" s="2143"/>
      <c r="P35" s="3431" t="str">
        <f>A35</f>
        <v>成交单价（元/平方米）</v>
      </c>
      <c r="Q35" s="3431"/>
      <c r="R35" s="3513">
        <f>E35</f>
        <v>0</v>
      </c>
      <c r="S35" s="3513"/>
      <c r="T35" s="3513">
        <f>G35</f>
        <v>0</v>
      </c>
      <c r="U35" s="3513"/>
      <c r="V35" s="3513">
        <f>I35</f>
        <v>0</v>
      </c>
      <c r="W35" s="3513"/>
      <c r="X35" s="1558"/>
      <c r="Y35" s="1580"/>
      <c r="Z35" s="1558"/>
      <c r="AA35" s="1558"/>
      <c r="AB35" s="1558"/>
      <c r="AC35" s="1558"/>
    </row>
    <row r="36" spans="1:29" ht="15.75" thickBot="1">
      <c r="A36" s="614" t="s">
        <v>2765</v>
      </c>
      <c r="B36" s="887"/>
      <c r="C36" s="2655" t="e">
        <f>R37</f>
        <v>#DIV/0!</v>
      </c>
      <c r="D36" s="2656"/>
      <c r="E36" s="2657" t="e">
        <f>R36</f>
        <v>#DIV/0!</v>
      </c>
      <c r="F36" s="2657"/>
      <c r="G36" s="2655" t="e">
        <f>T36</f>
        <v>#DIV/0!</v>
      </c>
      <c r="H36" s="2656"/>
      <c r="I36" s="2657" t="e">
        <f>V36</f>
        <v>#DIV/0!</v>
      </c>
      <c r="J36" s="2656"/>
      <c r="K36" s="1611"/>
      <c r="L36" s="2142"/>
      <c r="M36" s="2143"/>
      <c r="N36" s="2132"/>
      <c r="O36" s="2143"/>
      <c r="P36" s="3431" t="str">
        <f>A36</f>
        <v>比较价格（元/平方米）</v>
      </c>
      <c r="Q36" s="3431"/>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8"/>
      <c r="Y36" s="1558"/>
      <c r="Z36" s="1558"/>
      <c r="AA36" s="1558"/>
      <c r="AB36" s="1558"/>
      <c r="AC36" s="1558"/>
    </row>
    <row r="37" spans="1:29" ht="15.75" thickBot="1">
      <c r="A37" s="620" t="s">
        <v>2937</v>
      </c>
      <c r="B37" s="621"/>
      <c r="C37" s="2658" t="e">
        <f>R37</f>
        <v>#DIV/0!</v>
      </c>
      <c r="D37" s="2658"/>
      <c r="E37" s="2658"/>
      <c r="F37" s="2658"/>
      <c r="G37" s="2658"/>
      <c r="H37" s="2658"/>
      <c r="I37" s="2658"/>
      <c r="J37" s="2658"/>
      <c r="K37" s="1612"/>
      <c r="L37" s="2142"/>
      <c r="M37" s="2143"/>
      <c r="N37" s="2143"/>
      <c r="O37" s="2143"/>
      <c r="P37" s="3454" t="str">
        <f>A37</f>
        <v>估价对象XX用房的比较价格（楼面单价，元/平方米）</v>
      </c>
      <c r="Q37" s="3455"/>
      <c r="R37" s="3512" t="e">
        <f>IF(F1="售价",ROUND(AVERAGE(R36:V36),0),ROUND(AVERAGE(R36:V36),1))</f>
        <v>#DIV/0!</v>
      </c>
      <c r="S37" s="3512"/>
      <c r="T37" s="3512"/>
      <c r="U37" s="3512"/>
      <c r="V37" s="3512"/>
      <c r="W37" s="3512"/>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575</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530</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576</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532</v>
      </c>
      <c r="B49" s="647"/>
      <c r="C49" s="659" t="s">
        <v>577</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578</v>
      </c>
      <c r="B51" s="664" t="s">
        <v>535</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2560</v>
      </c>
      <c r="C63" s="707" t="s">
        <v>580</v>
      </c>
      <c r="D63" s="707" t="s">
        <v>581</v>
      </c>
      <c r="E63" s="707" t="s">
        <v>582</v>
      </c>
      <c r="F63" s="707" t="s">
        <v>583</v>
      </c>
      <c r="G63" s="707" t="s">
        <v>584</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2561</v>
      </c>
      <c r="C65" s="2620" t="s">
        <v>2562</v>
      </c>
      <c r="D65" s="2620" t="s">
        <v>2563</v>
      </c>
      <c r="E65" s="2620" t="s">
        <v>2564</v>
      </c>
      <c r="F65" s="2620" t="s">
        <v>2565</v>
      </c>
      <c r="G65" s="2620" t="s">
        <v>2566</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745</v>
      </c>
      <c r="C67" s="707" t="s">
        <v>580</v>
      </c>
      <c r="D67" s="707" t="s">
        <v>581</v>
      </c>
      <c r="E67" s="707" t="s">
        <v>582</v>
      </c>
      <c r="F67" s="707" t="s">
        <v>583</v>
      </c>
      <c r="G67" s="707" t="s">
        <v>584</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746</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552</v>
      </c>
      <c r="B77" s="664" t="s">
        <v>752</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818</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826</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828</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2305</v>
      </c>
      <c r="C1" s="3545" t="s">
        <v>2306</v>
      </c>
      <c r="D1" s="3546"/>
      <c r="E1" s="3546"/>
      <c r="F1" s="3546"/>
      <c r="G1" s="3546"/>
      <c r="H1" s="3546"/>
      <c r="I1" s="3546"/>
      <c r="J1" s="3546"/>
      <c r="K1" s="3546"/>
      <c r="L1" s="3546"/>
      <c r="M1" s="3546"/>
      <c r="N1" s="3546"/>
      <c r="O1" s="3546"/>
      <c r="P1" s="3546"/>
      <c r="Q1" s="3546"/>
      <c r="R1" s="3546"/>
      <c r="S1" s="3547"/>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4" t="s">
        <v>2930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6" t="s">
        <v>2929</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6" t="s">
        <v>2928</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4" t="s">
        <v>2943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4" t="s">
        <v>2927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4" t="s">
        <v>2926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829</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830</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831</v>
      </c>
      <c r="B22" s="53">
        <f>SUM(B24:B10000)</f>
        <v>0</v>
      </c>
      <c r="C22" s="3542" t="s">
        <v>20</v>
      </c>
      <c r="D22" s="3543"/>
      <c r="E22" s="3543"/>
      <c r="F22" s="3543"/>
      <c r="G22" s="3543"/>
      <c r="H22" s="3543"/>
      <c r="I22" s="3543"/>
      <c r="J22" s="3543"/>
      <c r="K22" s="3543"/>
      <c r="L22" s="3543"/>
      <c r="M22" s="3543"/>
      <c r="N22" s="3543"/>
      <c r="O22" s="3543"/>
      <c r="P22" s="3543"/>
      <c r="Q22" s="3544"/>
      <c r="R22" s="489"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四川德胜集团文化旅游投资发展有限公司：</v>
      </c>
    </row>
    <row r="4" spans="1:4" ht="37.5">
      <c r="A4" s="1790" t="str">
        <f>"受贵公司委托，我公司对"&amp;项目基本情况!K2&amp;项目基本情况!B9&amp;"进行了预评估。"</f>
        <v>受贵公司委托，我公司对四川省峨眉山市川主乡顺河村3宗住宅、商业出让国有建设用地使用权抵押价格进行了预评估。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峨眉山市川主乡顺河村3宗住宅、商业出让国有建设用地使用权。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7" spans="1:4" ht="93.75">
      <c r="A7" s="2897" t="s">
        <v>2753</v>
      </c>
    </row>
    <row r="8" spans="1:4" ht="18.75">
      <c r="A8" s="1793" t="s">
        <v>1908</v>
      </c>
    </row>
    <row r="9" spans="1:4" ht="56.25">
      <c r="A9" s="1795"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2018年1月4日（评估专业人员勘察现场之日）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根据《国有土地使用证》[峨眉国用（2014）第73369、73373、86590号]，本次评估估价对象证载（地类）用途为商住。</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2014）第73369、73373、86590号]，估价对象（分摊）出让国有建设用地使用权面积为60759平方米。根据《国有建设用地使用权出让合同》[电子监管号：5111812014B00011、5111812014B00023、5111812016B01094]及附件，估价对象规划建筑面积为118125.52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99" t="s">
        <v>2754</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2793</v>
      </c>
      <c r="C1" s="3028">
        <f>项目基本情况!D3</f>
        <v>43104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2824</v>
      </c>
      <c r="C2" s="3029">
        <f>'数据-取费表'!B22</f>
        <v>2</v>
      </c>
      <c r="D2" s="3024" t="s">
        <v>2794</v>
      </c>
      <c r="E2" s="3027">
        <f ca="1">INDIRECT("I"&amp;$I$1)/100</f>
        <v>4.7500000000000001E-2</v>
      </c>
      <c r="G2" s="2964"/>
      <c r="H2" s="2964"/>
      <c r="I2" s="2964" t="s">
        <v>2795</v>
      </c>
      <c r="K2" s="2964"/>
      <c r="L2" s="2964"/>
      <c r="M2" s="2964"/>
      <c r="N2" s="2964" t="s">
        <v>2796</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2826</v>
      </c>
      <c r="C3" s="3026">
        <f>'数据-取费表'!B19</f>
        <v>0</v>
      </c>
      <c r="D3" s="3024" t="s">
        <v>2794</v>
      </c>
      <c r="E3" s="3027">
        <f ca="1">INDIRECT("J"&amp;$J$1)/100</f>
        <v>0</v>
      </c>
      <c r="G3" s="2966" t="s">
        <v>2797</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2825</v>
      </c>
      <c r="C4" s="3027">
        <f ca="1">N4/100</f>
        <v>1.4999999999999999E-2</v>
      </c>
      <c r="G4" s="2972" t="s">
        <v>2798</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2799</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2800</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2801</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2802</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2803</v>
      </c>
      <c r="C10" s="2991"/>
      <c r="D10" s="2991"/>
      <c r="E10" s="2991"/>
      <c r="F10" s="2991"/>
      <c r="G10" s="2991"/>
      <c r="H10" s="2991"/>
      <c r="I10" s="2965"/>
      <c r="J10" s="2965"/>
      <c r="K10" s="2991"/>
      <c r="L10" s="2992" t="s">
        <v>2804</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2805</v>
      </c>
      <c r="C11" s="2996" t="s">
        <v>2806</v>
      </c>
      <c r="D11" s="2997" t="s">
        <v>2807</v>
      </c>
      <c r="E11" s="2998"/>
      <c r="F11" s="2997" t="s">
        <v>2808</v>
      </c>
      <c r="G11" s="2999"/>
      <c r="H11" s="2998"/>
      <c r="I11" s="2997" t="s">
        <v>2809</v>
      </c>
      <c r="J11" s="2998"/>
      <c r="K11" s="2994"/>
      <c r="L11" s="2995" t="s">
        <v>2805</v>
      </c>
      <c r="M11" s="2996" t="s">
        <v>2806</v>
      </c>
      <c r="N11" s="2995" t="s">
        <v>2810</v>
      </c>
      <c r="O11" s="2997" t="s">
        <v>2811</v>
      </c>
      <c r="P11" s="2999"/>
      <c r="Q11" s="2999"/>
      <c r="R11" s="2999"/>
      <c r="S11" s="2999"/>
      <c r="T11" s="2998"/>
      <c r="U11" s="2997" t="s">
        <v>2812</v>
      </c>
      <c r="V11" s="2999"/>
      <c r="W11" s="2998"/>
      <c r="X11" s="2995" t="s">
        <v>2813</v>
      </c>
      <c r="Y11" s="2995" t="s">
        <v>2814</v>
      </c>
      <c r="Z11" s="2995" t="s">
        <v>2815</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2816</v>
      </c>
      <c r="E12" s="3004" t="s">
        <v>2817</v>
      </c>
      <c r="F12" s="3004" t="s">
        <v>2818</v>
      </c>
      <c r="G12" s="3004" t="s">
        <v>2819</v>
      </c>
      <c r="H12" s="3004" t="s">
        <v>2801</v>
      </c>
      <c r="I12" s="3005" t="s">
        <v>2820</v>
      </c>
      <c r="J12" s="3005" t="s">
        <v>2820</v>
      </c>
      <c r="K12" s="3001"/>
      <c r="L12" s="3002"/>
      <c r="M12" s="3003"/>
      <c r="N12" s="3002"/>
      <c r="O12" s="3005" t="s">
        <v>2821</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2822</v>
      </c>
      <c r="C13" s="3009">
        <v>42301</v>
      </c>
      <c r="D13" s="3010">
        <v>4.3499999999999996</v>
      </c>
      <c r="E13" s="3010">
        <v>4.3499999999999996</v>
      </c>
      <c r="F13" s="3010">
        <v>4.75</v>
      </c>
      <c r="G13" s="3010">
        <v>4.75</v>
      </c>
      <c r="H13" s="3010">
        <v>4.9000000000000004</v>
      </c>
      <c r="I13" s="3010">
        <v>2.75</v>
      </c>
      <c r="J13" s="3010">
        <v>3.25</v>
      </c>
      <c r="K13" s="3007"/>
      <c r="L13" s="3008" t="s">
        <v>2822</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2823</v>
      </c>
      <c r="Y42" s="3014" t="s">
        <v>2823</v>
      </c>
      <c r="Z42" s="3014" t="s">
        <v>2823</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2823</v>
      </c>
      <c r="Y43" s="3014" t="s">
        <v>2823</v>
      </c>
      <c r="Z43" s="3014" t="s">
        <v>2823</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2823</v>
      </c>
      <c r="Y44" s="3014" t="s">
        <v>2823</v>
      </c>
      <c r="Z44" s="3014" t="s">
        <v>2823</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2823</v>
      </c>
      <c r="Y45" s="3014" t="s">
        <v>2823</v>
      </c>
      <c r="Z45" s="3014" t="s">
        <v>2823</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2823</v>
      </c>
      <c r="Y46" s="3014" t="s">
        <v>2823</v>
      </c>
      <c r="Z46" s="3014" t="s">
        <v>2823</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2823</v>
      </c>
      <c r="Y47" s="3014" t="s">
        <v>2823</v>
      </c>
      <c r="Z47" s="3014" t="s">
        <v>2823</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2823</v>
      </c>
      <c r="Y48" s="3014" t="s">
        <v>2823</v>
      </c>
      <c r="Z48" s="3014" t="s">
        <v>2823</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2823</v>
      </c>
      <c r="Y49" s="3014" t="s">
        <v>2823</v>
      </c>
      <c r="Z49" s="3014" t="s">
        <v>2823</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2823</v>
      </c>
      <c r="Y50" s="3014" t="s">
        <v>2823</v>
      </c>
      <c r="Z50" s="3014" t="s">
        <v>2823</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2823</v>
      </c>
      <c r="V51" s="3014" t="s">
        <v>2823</v>
      </c>
      <c r="W51" s="3014" t="s">
        <v>2823</v>
      </c>
      <c r="X51" s="3014" t="s">
        <v>2823</v>
      </c>
      <c r="Y51" s="3014" t="s">
        <v>2823</v>
      </c>
      <c r="Z51" s="3014" t="s">
        <v>2823</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2823</v>
      </c>
      <c r="J55" s="3014" t="s">
        <v>2823</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topLeftCell="E1" workbookViewId="0">
      <selection activeCell="I5" sqref="I5"/>
    </sheetView>
  </sheetViews>
  <sheetFormatPr defaultRowHeight="13.5"/>
  <cols>
    <col min="1" max="2" width="4.125" style="2963" customWidth="1"/>
    <col min="3" max="3" width="10.5" style="2963" customWidth="1"/>
    <col min="4" max="4" width="20.75" style="2963" customWidth="1"/>
    <col min="5" max="5" width="28.25" style="2963" customWidth="1"/>
    <col min="6" max="6" width="19.125" style="2963" customWidth="1"/>
    <col min="7" max="7" width="7.5" style="2963" customWidth="1"/>
    <col min="8" max="8" width="9.625" style="2963" customWidth="1"/>
    <col min="9" max="10" width="11.625" style="2963" customWidth="1"/>
    <col min="11" max="12" width="11.875" style="2963" customWidth="1"/>
    <col min="13" max="13" width="26.75" style="2963" customWidth="1"/>
    <col min="14" max="14" width="4.75" style="2963" customWidth="1"/>
    <col min="15" max="15" width="5.125" style="2963" customWidth="1"/>
    <col min="16" max="16" width="5.25" style="2963" customWidth="1"/>
    <col min="17" max="16384" width="9" style="2963"/>
  </cols>
  <sheetData>
    <row r="1" spans="1:17">
      <c r="A1" s="3177" t="s">
        <v>3084</v>
      </c>
      <c r="B1" s="2963" t="s">
        <v>2975</v>
      </c>
      <c r="C1" s="2963" t="s">
        <v>2976</v>
      </c>
      <c r="D1" s="2963" t="s">
        <v>2977</v>
      </c>
      <c r="E1" s="2963" t="s">
        <v>2978</v>
      </c>
      <c r="F1" s="2963" t="s">
        <v>2979</v>
      </c>
      <c r="G1" s="2963" t="s">
        <v>2980</v>
      </c>
      <c r="H1" s="2963" t="s">
        <v>2981</v>
      </c>
      <c r="I1" s="2963" t="s">
        <v>2982</v>
      </c>
      <c r="J1" s="3195" t="s">
        <v>3088</v>
      </c>
      <c r="K1" s="3195" t="s">
        <v>3086</v>
      </c>
      <c r="L1" s="3195" t="s">
        <v>3087</v>
      </c>
      <c r="M1" s="2963" t="s">
        <v>2983</v>
      </c>
      <c r="N1" s="2963" t="s">
        <v>2984</v>
      </c>
      <c r="O1" s="2963" t="s">
        <v>2985</v>
      </c>
      <c r="P1" s="2963" t="s">
        <v>2986</v>
      </c>
      <c r="Q1" s="2963" t="s">
        <v>2987</v>
      </c>
    </row>
    <row r="2" spans="1:17" s="3183" customFormat="1">
      <c r="A2" s="3548">
        <v>1</v>
      </c>
      <c r="B2" s="3183">
        <v>1</v>
      </c>
      <c r="C2" s="3201" t="s">
        <v>3111</v>
      </c>
      <c r="D2" s="3183" t="s">
        <v>2988</v>
      </c>
      <c r="E2" s="3201" t="s">
        <v>3106</v>
      </c>
      <c r="F2" s="3201" t="s">
        <v>3100</v>
      </c>
      <c r="G2" s="3242" t="s">
        <v>3509</v>
      </c>
      <c r="H2" s="3183" t="s">
        <v>2989</v>
      </c>
      <c r="I2" s="3185">
        <v>15509</v>
      </c>
      <c r="J2" s="3185">
        <f>ROUND(I2*N2,2)</f>
        <v>31018</v>
      </c>
      <c r="K2" s="3185">
        <f>J2*0.95</f>
        <v>29467.1</v>
      </c>
      <c r="L2" s="3185">
        <f>J2-K2</f>
        <v>1550.9000000000015</v>
      </c>
      <c r="M2" s="3186" t="s">
        <v>2990</v>
      </c>
      <c r="N2" s="3183">
        <v>2</v>
      </c>
      <c r="O2" s="3187">
        <v>0.4</v>
      </c>
      <c r="P2" s="3183">
        <f>N2/O2</f>
        <v>5</v>
      </c>
    </row>
    <row r="3" spans="1:17" s="3183" customFormat="1">
      <c r="A3" s="3548"/>
      <c r="B3" s="3183">
        <v>2</v>
      </c>
      <c r="C3" s="3201" t="s">
        <v>3112</v>
      </c>
      <c r="D3" s="3201" t="s">
        <v>3092</v>
      </c>
      <c r="E3" s="3201" t="s">
        <v>3107</v>
      </c>
      <c r="F3" s="3183" t="s">
        <v>2991</v>
      </c>
      <c r="G3" s="3184" t="s">
        <v>2992</v>
      </c>
      <c r="H3" s="3183" t="s">
        <v>2989</v>
      </c>
      <c r="I3" s="3185">
        <v>42406</v>
      </c>
      <c r="J3" s="3185">
        <f t="shared" ref="J3:J4" si="0">ROUND(I3*N3,2)</f>
        <v>81419.520000000004</v>
      </c>
      <c r="K3" s="3185">
        <f>ROUND(J3*0.95,2)</f>
        <v>77348.539999999994</v>
      </c>
      <c r="L3" s="3185">
        <f t="shared" ref="L3:L4" si="1">J3-K3</f>
        <v>4070.9800000000105</v>
      </c>
      <c r="M3" s="3186" t="s">
        <v>2990</v>
      </c>
      <c r="N3" s="3183">
        <v>1.92</v>
      </c>
      <c r="O3" s="3187">
        <v>0.4</v>
      </c>
      <c r="P3" s="3183">
        <f>N3/O3</f>
        <v>4.8</v>
      </c>
    </row>
    <row r="4" spans="1:17" s="3183" customFormat="1">
      <c r="A4" s="3548"/>
      <c r="B4" s="3183">
        <v>3</v>
      </c>
      <c r="C4" s="3201" t="s">
        <v>3113</v>
      </c>
      <c r="D4" s="3183" t="s">
        <v>3027</v>
      </c>
      <c r="E4" s="3201" t="s">
        <v>3108</v>
      </c>
      <c r="F4" s="3183" t="s">
        <v>3056</v>
      </c>
      <c r="G4" s="3184" t="s">
        <v>3057</v>
      </c>
      <c r="H4" s="3183" t="s">
        <v>3041</v>
      </c>
      <c r="I4" s="3185">
        <v>2844</v>
      </c>
      <c r="J4" s="3185">
        <f t="shared" si="0"/>
        <v>5688</v>
      </c>
      <c r="K4" s="3185">
        <f t="shared" ref="K4" si="2">J4*0.95</f>
        <v>5403.5999999999995</v>
      </c>
      <c r="L4" s="3185">
        <f t="shared" si="1"/>
        <v>284.40000000000055</v>
      </c>
      <c r="M4" s="3186" t="s">
        <v>3042</v>
      </c>
      <c r="N4" s="3183">
        <v>2</v>
      </c>
      <c r="O4" s="3187">
        <v>0.4</v>
      </c>
      <c r="P4" s="3183">
        <f>N4/O4</f>
        <v>5</v>
      </c>
      <c r="Q4" s="3187" t="s">
        <v>3043</v>
      </c>
    </row>
    <row r="5" spans="1:17">
      <c r="A5" s="3177" t="s">
        <v>3085</v>
      </c>
      <c r="I5" s="2963">
        <f>SUM(I2:I4)</f>
        <v>60759</v>
      </c>
      <c r="J5" s="2963">
        <f t="shared" ref="J5:L5" si="3">SUM(J2:J4)</f>
        <v>118125.52</v>
      </c>
      <c r="K5" s="2963">
        <f t="shared" si="3"/>
        <v>112219.23999999999</v>
      </c>
      <c r="L5" s="2963">
        <f t="shared" si="3"/>
        <v>5906.2800000000125</v>
      </c>
    </row>
    <row r="6" spans="1:17" s="3170" customFormat="1">
      <c r="A6" s="3549">
        <v>2</v>
      </c>
      <c r="B6" s="3170">
        <v>4</v>
      </c>
      <c r="C6" s="3170" t="s">
        <v>3013</v>
      </c>
      <c r="D6" s="3170" t="s">
        <v>2988</v>
      </c>
      <c r="E6" s="3170" t="s">
        <v>3014</v>
      </c>
      <c r="F6" s="3170" t="s">
        <v>3015</v>
      </c>
      <c r="G6" s="3171" t="s">
        <v>3016</v>
      </c>
      <c r="H6" s="3170" t="s">
        <v>3017</v>
      </c>
      <c r="I6" s="3172">
        <v>5676.4</v>
      </c>
      <c r="J6" s="3172">
        <f>ROUND(I6*N6,2)</f>
        <v>17029.2</v>
      </c>
      <c r="K6" s="3172">
        <f>ROUND(J6*0.95,2)</f>
        <v>16177.74</v>
      </c>
      <c r="L6" s="3172">
        <f>J6-K6</f>
        <v>851.46000000000095</v>
      </c>
      <c r="M6" s="3173" t="s">
        <v>3018</v>
      </c>
      <c r="N6" s="3170">
        <v>3</v>
      </c>
      <c r="O6" s="3174">
        <v>0.3</v>
      </c>
      <c r="P6" s="3170">
        <f t="shared" ref="P6:P11" si="4">N6/O6</f>
        <v>10</v>
      </c>
    </row>
    <row r="7" spans="1:17" s="3170" customFormat="1">
      <c r="A7" s="3549"/>
      <c r="B7" s="3170">
        <v>5</v>
      </c>
      <c r="C7" s="3170" t="s">
        <v>3019</v>
      </c>
      <c r="D7" s="3170" t="s">
        <v>3020</v>
      </c>
      <c r="E7" s="3170" t="s">
        <v>3021</v>
      </c>
      <c r="F7" s="3170" t="s">
        <v>3022</v>
      </c>
      <c r="G7" s="3171" t="s">
        <v>3023</v>
      </c>
      <c r="H7" s="3170" t="s">
        <v>3024</v>
      </c>
      <c r="I7" s="3172">
        <v>12207.5</v>
      </c>
      <c r="J7" s="3172">
        <f t="shared" ref="J7:J11" si="5">ROUND(I7*N7,2)</f>
        <v>36622.5</v>
      </c>
      <c r="K7" s="3172">
        <f t="shared" ref="K7:K11" si="6">ROUND(J7*0.95,2)</f>
        <v>34791.379999999997</v>
      </c>
      <c r="L7" s="3172">
        <f t="shared" ref="L7:L11" si="7">J7-K7</f>
        <v>1831.1200000000026</v>
      </c>
      <c r="M7" s="3173" t="s">
        <v>3025</v>
      </c>
      <c r="N7" s="3170">
        <v>3</v>
      </c>
      <c r="O7" s="3174">
        <v>0.4</v>
      </c>
      <c r="P7" s="3170">
        <f t="shared" si="4"/>
        <v>7.5</v>
      </c>
    </row>
    <row r="8" spans="1:17" s="3170" customFormat="1">
      <c r="A8" s="3549"/>
      <c r="B8" s="3170">
        <v>6</v>
      </c>
      <c r="C8" s="3170" t="s">
        <v>3026</v>
      </c>
      <c r="D8" s="3170" t="s">
        <v>3027</v>
      </c>
      <c r="E8" s="3170" t="s">
        <v>3028</v>
      </c>
      <c r="F8" s="3170" t="s">
        <v>3029</v>
      </c>
      <c r="G8" s="3171" t="s">
        <v>3030</v>
      </c>
      <c r="H8" s="3170" t="s">
        <v>3031</v>
      </c>
      <c r="I8" s="3172">
        <v>93868</v>
      </c>
      <c r="J8" s="3172">
        <f t="shared" si="5"/>
        <v>281604</v>
      </c>
      <c r="K8" s="3172">
        <f t="shared" si="6"/>
        <v>267523.8</v>
      </c>
      <c r="L8" s="3172">
        <f t="shared" si="7"/>
        <v>14080.200000000012</v>
      </c>
      <c r="M8" s="3173" t="s">
        <v>3032</v>
      </c>
      <c r="N8" s="3170">
        <v>3</v>
      </c>
      <c r="O8" s="3174">
        <v>0.3</v>
      </c>
      <c r="P8" s="3170">
        <f t="shared" si="4"/>
        <v>10</v>
      </c>
    </row>
    <row r="9" spans="1:17" s="3170" customFormat="1">
      <c r="A9" s="3549"/>
      <c r="B9" s="3170">
        <v>7</v>
      </c>
      <c r="C9" s="3170" t="s">
        <v>3033</v>
      </c>
      <c r="D9" s="3170" t="s">
        <v>3027</v>
      </c>
      <c r="E9" s="3170" t="s">
        <v>3034</v>
      </c>
      <c r="F9" s="3170" t="s">
        <v>3035</v>
      </c>
      <c r="G9" s="3171" t="s">
        <v>3036</v>
      </c>
      <c r="H9" s="3170" t="s">
        <v>3031</v>
      </c>
      <c r="I9" s="3172">
        <v>37315.599999999999</v>
      </c>
      <c r="J9" s="3172">
        <f t="shared" si="5"/>
        <v>111946.8</v>
      </c>
      <c r="K9" s="3172">
        <f t="shared" si="6"/>
        <v>106349.46</v>
      </c>
      <c r="L9" s="3172">
        <f t="shared" si="7"/>
        <v>5597.3399999999965</v>
      </c>
      <c r="M9" s="3173" t="s">
        <v>3032</v>
      </c>
      <c r="N9" s="3170">
        <v>3</v>
      </c>
      <c r="O9" s="3174">
        <v>0.4</v>
      </c>
      <c r="P9" s="3170">
        <f t="shared" si="4"/>
        <v>7.5</v>
      </c>
    </row>
    <row r="10" spans="1:17" s="3170" customFormat="1">
      <c r="A10" s="3549"/>
      <c r="B10" s="3170">
        <v>8</v>
      </c>
      <c r="C10" s="3170" t="s">
        <v>3038</v>
      </c>
      <c r="D10" s="3170" t="s">
        <v>3027</v>
      </c>
      <c r="E10" s="3170" t="s">
        <v>3039</v>
      </c>
      <c r="F10" s="3170" t="s">
        <v>3037</v>
      </c>
      <c r="G10" s="3171" t="s">
        <v>3040</v>
      </c>
      <c r="H10" s="3170" t="s">
        <v>3041</v>
      </c>
      <c r="I10" s="3172">
        <v>4267.1000000000004</v>
      </c>
      <c r="J10" s="3172">
        <f t="shared" si="5"/>
        <v>12801.3</v>
      </c>
      <c r="K10" s="3172">
        <f t="shared" si="6"/>
        <v>12161.24</v>
      </c>
      <c r="L10" s="3172">
        <f t="shared" si="7"/>
        <v>640.05999999999949</v>
      </c>
      <c r="M10" s="3173" t="s">
        <v>3042</v>
      </c>
      <c r="N10" s="3170">
        <v>3</v>
      </c>
      <c r="O10" s="3174">
        <v>0.4</v>
      </c>
      <c r="P10" s="3170">
        <f t="shared" si="4"/>
        <v>7.5</v>
      </c>
      <c r="Q10" s="3174" t="s">
        <v>3043</v>
      </c>
    </row>
    <row r="11" spans="1:17" s="3170" customFormat="1">
      <c r="A11" s="3549"/>
      <c r="B11" s="3170">
        <v>9</v>
      </c>
      <c r="C11" s="3170" t="s">
        <v>3052</v>
      </c>
      <c r="D11" s="3170" t="s">
        <v>3027</v>
      </c>
      <c r="E11" s="3170" t="s">
        <v>3053</v>
      </c>
      <c r="F11" s="3170" t="s">
        <v>3054</v>
      </c>
      <c r="G11" s="3171" t="s">
        <v>3055</v>
      </c>
      <c r="H11" s="3170" t="s">
        <v>3041</v>
      </c>
      <c r="I11" s="3172">
        <v>19342.099999999999</v>
      </c>
      <c r="J11" s="3172">
        <f t="shared" si="5"/>
        <v>58026.3</v>
      </c>
      <c r="K11" s="3172">
        <f t="shared" si="6"/>
        <v>55124.99</v>
      </c>
      <c r="L11" s="3172">
        <f t="shared" si="7"/>
        <v>2901.3100000000049</v>
      </c>
      <c r="M11" s="3173" t="s">
        <v>3042</v>
      </c>
      <c r="N11" s="3170">
        <v>3</v>
      </c>
      <c r="O11" s="3174">
        <v>0.3</v>
      </c>
      <c r="P11" s="3170">
        <f t="shared" si="4"/>
        <v>10</v>
      </c>
      <c r="Q11" s="3174" t="s">
        <v>3043</v>
      </c>
    </row>
    <row r="12" spans="1:17">
      <c r="A12" s="3177" t="s">
        <v>3085</v>
      </c>
      <c r="I12" s="2963">
        <f>SUM(I6:I11)</f>
        <v>172676.7</v>
      </c>
      <c r="J12" s="2963">
        <f t="shared" ref="J12:L12" si="8">SUM(J6:J11)</f>
        <v>518030.1</v>
      </c>
      <c r="K12" s="2963">
        <f t="shared" si="8"/>
        <v>492128.61</v>
      </c>
      <c r="L12" s="2963">
        <f t="shared" si="8"/>
        <v>25901.490000000013</v>
      </c>
    </row>
    <row r="13" spans="1:17" s="3188" customFormat="1">
      <c r="A13" s="3550">
        <v>3</v>
      </c>
      <c r="B13" s="3188">
        <v>10</v>
      </c>
      <c r="C13" s="3188" t="s">
        <v>3044</v>
      </c>
      <c r="D13" s="3188" t="s">
        <v>3027</v>
      </c>
      <c r="E13" s="3188" t="s">
        <v>3045</v>
      </c>
      <c r="F13" s="3188" t="s">
        <v>3046</v>
      </c>
      <c r="G13" s="3189" t="s">
        <v>3047</v>
      </c>
      <c r="H13" s="3188" t="s">
        <v>3041</v>
      </c>
      <c r="I13" s="3190">
        <v>280.2</v>
      </c>
      <c r="J13" s="3190">
        <f>ROUND(I13*N13,2)</f>
        <v>840.6</v>
      </c>
      <c r="K13" s="3190">
        <f>ROUND(J13*0.51,2)</f>
        <v>428.71</v>
      </c>
      <c r="L13" s="3190">
        <f>J13-K13</f>
        <v>411.89000000000004</v>
      </c>
      <c r="M13" s="3191" t="s">
        <v>3042</v>
      </c>
      <c r="N13" s="3188">
        <v>3</v>
      </c>
      <c r="O13" s="3192">
        <v>0.3</v>
      </c>
      <c r="P13" s="3188">
        <f>N13/O13</f>
        <v>10</v>
      </c>
      <c r="Q13" s="3192" t="s">
        <v>3048</v>
      </c>
    </row>
    <row r="14" spans="1:17" s="3188" customFormat="1">
      <c r="A14" s="3550"/>
      <c r="B14" s="3188">
        <v>11</v>
      </c>
      <c r="C14" s="3188" t="s">
        <v>3049</v>
      </c>
      <c r="D14" s="3188" t="s">
        <v>3027</v>
      </c>
      <c r="E14" s="3188" t="s">
        <v>3050</v>
      </c>
      <c r="F14" s="3188" t="s">
        <v>3046</v>
      </c>
      <c r="G14" s="3189" t="s">
        <v>3051</v>
      </c>
      <c r="H14" s="3188" t="s">
        <v>3041</v>
      </c>
      <c r="I14" s="3190">
        <v>3718.6</v>
      </c>
      <c r="J14" s="3190">
        <f t="shared" ref="J14:J16" si="9">ROUND(I14*N14,2)</f>
        <v>11155.8</v>
      </c>
      <c r="K14" s="3190">
        <f t="shared" ref="K14:K16" si="10">ROUND(J14*0.51,2)</f>
        <v>5689.46</v>
      </c>
      <c r="L14" s="3190">
        <f t="shared" ref="L14:L16" si="11">J14-K14</f>
        <v>5466.3399999999992</v>
      </c>
      <c r="M14" s="3191" t="s">
        <v>3042</v>
      </c>
      <c r="N14" s="3188">
        <v>3</v>
      </c>
      <c r="O14" s="3192">
        <v>0.3</v>
      </c>
      <c r="P14" s="3188">
        <f>N14/O14</f>
        <v>10</v>
      </c>
      <c r="Q14" s="3192" t="s">
        <v>3048</v>
      </c>
    </row>
    <row r="15" spans="1:17" s="3188" customFormat="1">
      <c r="A15" s="3550"/>
      <c r="B15" s="3188">
        <v>12</v>
      </c>
      <c r="C15" s="3188" t="s">
        <v>3058</v>
      </c>
      <c r="D15" s="3188" t="s">
        <v>3027</v>
      </c>
      <c r="E15" s="3188" t="s">
        <v>3059</v>
      </c>
      <c r="F15" s="3188" t="s">
        <v>3037</v>
      </c>
      <c r="G15" s="3189" t="s">
        <v>3060</v>
      </c>
      <c r="H15" s="3188" t="s">
        <v>3041</v>
      </c>
      <c r="I15" s="3190">
        <v>1980.3</v>
      </c>
      <c r="J15" s="3190">
        <f t="shared" si="9"/>
        <v>5940.9</v>
      </c>
      <c r="K15" s="3190">
        <f t="shared" si="10"/>
        <v>3029.86</v>
      </c>
      <c r="L15" s="3190">
        <f t="shared" si="11"/>
        <v>2911.0399999999995</v>
      </c>
      <c r="M15" s="3191" t="s">
        <v>3042</v>
      </c>
      <c r="N15" s="3188">
        <v>3</v>
      </c>
      <c r="O15" s="3192">
        <v>0.4</v>
      </c>
      <c r="P15" s="3188">
        <f>N15/O15</f>
        <v>7.5</v>
      </c>
      <c r="Q15" s="3192" t="s">
        <v>3048</v>
      </c>
    </row>
    <row r="16" spans="1:17" s="3188" customFormat="1">
      <c r="A16" s="3550"/>
      <c r="B16" s="3188">
        <v>13</v>
      </c>
      <c r="C16" s="3188" t="s">
        <v>3061</v>
      </c>
      <c r="D16" s="3188" t="s">
        <v>3027</v>
      </c>
      <c r="E16" s="3188" t="s">
        <v>3062</v>
      </c>
      <c r="F16" s="3188" t="s">
        <v>3063</v>
      </c>
      <c r="G16" s="3189" t="s">
        <v>3064</v>
      </c>
      <c r="H16" s="3188" t="s">
        <v>3041</v>
      </c>
      <c r="I16" s="3190">
        <v>1047.8</v>
      </c>
      <c r="J16" s="3190">
        <f t="shared" si="9"/>
        <v>3143.4</v>
      </c>
      <c r="K16" s="3190">
        <f t="shared" si="10"/>
        <v>1603.13</v>
      </c>
      <c r="L16" s="3190">
        <f t="shared" si="11"/>
        <v>1540.27</v>
      </c>
      <c r="M16" s="3191" t="s">
        <v>3042</v>
      </c>
      <c r="N16" s="3188">
        <v>3</v>
      </c>
      <c r="O16" s="3192">
        <v>0.3</v>
      </c>
      <c r="P16" s="3188">
        <f>N16/O16</f>
        <v>10</v>
      </c>
      <c r="Q16" s="3192" t="s">
        <v>3048</v>
      </c>
    </row>
    <row r="17" spans="1:17">
      <c r="A17" s="3177" t="s">
        <v>3085</v>
      </c>
      <c r="I17" s="2963">
        <f>SUM(I13:I16)</f>
        <v>7026.9</v>
      </c>
      <c r="J17" s="2963">
        <f t="shared" ref="J17:L17" si="12">SUM(J13:J16)</f>
        <v>21080.7</v>
      </c>
      <c r="K17" s="2963">
        <f t="shared" si="12"/>
        <v>10751.16</v>
      </c>
      <c r="L17" s="2963">
        <f t="shared" si="12"/>
        <v>10329.539999999999</v>
      </c>
    </row>
    <row r="18" spans="1:17" s="3178" customFormat="1">
      <c r="A18" s="3552">
        <v>4</v>
      </c>
      <c r="B18" s="3178">
        <v>14</v>
      </c>
      <c r="C18" s="3178" t="s">
        <v>2993</v>
      </c>
      <c r="D18" s="3178" t="s">
        <v>2988</v>
      </c>
      <c r="E18" s="3178" t="s">
        <v>2994</v>
      </c>
      <c r="F18" s="3178" t="s">
        <v>2995</v>
      </c>
      <c r="G18" s="3179" t="s">
        <v>2996</v>
      </c>
      <c r="H18" s="3178" t="s">
        <v>2989</v>
      </c>
      <c r="I18" s="3180">
        <v>19015.8</v>
      </c>
      <c r="J18" s="3180">
        <f>ROUND(I18*N18,2)</f>
        <v>26622.12</v>
      </c>
      <c r="K18" s="3180">
        <f>ROUND(J18*0.95,2)</f>
        <v>25291.01</v>
      </c>
      <c r="L18" s="3180">
        <f>J18-K18</f>
        <v>1331.1100000000006</v>
      </c>
      <c r="M18" s="3181" t="s">
        <v>2990</v>
      </c>
      <c r="N18" s="3178">
        <v>1.4</v>
      </c>
      <c r="O18" s="3182">
        <v>0.35</v>
      </c>
      <c r="P18" s="3178">
        <f>N18/O18</f>
        <v>4</v>
      </c>
    </row>
    <row r="19" spans="1:17" s="3178" customFormat="1">
      <c r="A19" s="3552"/>
      <c r="B19" s="3178">
        <v>15</v>
      </c>
      <c r="C19" s="3178" t="s">
        <v>3006</v>
      </c>
      <c r="D19" s="3178" t="s">
        <v>2988</v>
      </c>
      <c r="E19" s="3178" t="s">
        <v>3007</v>
      </c>
      <c r="F19" s="3178" t="s">
        <v>3005</v>
      </c>
      <c r="G19" s="3179" t="s">
        <v>3008</v>
      </c>
      <c r="H19" s="3178" t="s">
        <v>2989</v>
      </c>
      <c r="I19" s="3180">
        <v>39937.599999999999</v>
      </c>
      <c r="J19" s="3180">
        <f t="shared" ref="J19:J21" si="13">ROUND(I19*N19,2)</f>
        <v>59906.400000000001</v>
      </c>
      <c r="K19" s="3180">
        <f t="shared" ref="K19:K21" si="14">ROUND(J19*0.95,2)</f>
        <v>56911.08</v>
      </c>
      <c r="L19" s="3180">
        <f t="shared" ref="L19:L21" si="15">J19-K19</f>
        <v>2995.3199999999997</v>
      </c>
      <c r="M19" s="3181" t="s">
        <v>2990</v>
      </c>
      <c r="N19" s="3178">
        <v>1.5</v>
      </c>
      <c r="O19" s="3182">
        <v>0.35</v>
      </c>
      <c r="P19" s="3178">
        <f>N19/O19</f>
        <v>4.2857142857142856</v>
      </c>
    </row>
    <row r="20" spans="1:17" s="3178" customFormat="1">
      <c r="A20" s="3552"/>
      <c r="B20" s="3178">
        <v>16</v>
      </c>
      <c r="C20" s="3178" t="s">
        <v>3009</v>
      </c>
      <c r="D20" s="3178" t="s">
        <v>2988</v>
      </c>
      <c r="E20" s="3178" t="s">
        <v>3010</v>
      </c>
      <c r="F20" s="3178" t="s">
        <v>3011</v>
      </c>
      <c r="G20" s="3179" t="s">
        <v>3012</v>
      </c>
      <c r="H20" s="3178" t="s">
        <v>2989</v>
      </c>
      <c r="I20" s="3180">
        <v>11674.2</v>
      </c>
      <c r="J20" s="3180">
        <f t="shared" si="13"/>
        <v>17511.3</v>
      </c>
      <c r="K20" s="3180">
        <f t="shared" si="14"/>
        <v>16635.740000000002</v>
      </c>
      <c r="L20" s="3180">
        <f t="shared" si="15"/>
        <v>875.55999999999767</v>
      </c>
      <c r="M20" s="3181" t="s">
        <v>2990</v>
      </c>
      <c r="N20" s="3178">
        <v>1.5</v>
      </c>
      <c r="O20" s="3182">
        <v>0.35</v>
      </c>
      <c r="P20" s="3178">
        <f>N20/O20</f>
        <v>4.2857142857142856</v>
      </c>
    </row>
    <row r="21" spans="1:17" s="3178" customFormat="1">
      <c r="A21" s="3552"/>
      <c r="B21" s="3178">
        <v>19</v>
      </c>
      <c r="C21" s="3178" t="s">
        <v>3001</v>
      </c>
      <c r="D21" s="3178" t="s">
        <v>2988</v>
      </c>
      <c r="E21" s="3178" t="s">
        <v>3002</v>
      </c>
      <c r="F21" s="3178" t="s">
        <v>3003</v>
      </c>
      <c r="G21" s="3179" t="s">
        <v>3004</v>
      </c>
      <c r="H21" s="3178" t="s">
        <v>2989</v>
      </c>
      <c r="I21" s="3180">
        <v>10235.700000000001</v>
      </c>
      <c r="J21" s="3180">
        <f t="shared" si="13"/>
        <v>11873.41</v>
      </c>
      <c r="K21" s="3180">
        <f t="shared" si="14"/>
        <v>11279.74</v>
      </c>
      <c r="L21" s="3180">
        <f t="shared" si="15"/>
        <v>593.67000000000007</v>
      </c>
      <c r="M21" s="3181" t="s">
        <v>2990</v>
      </c>
      <c r="N21" s="3178">
        <v>1.1599999999999999</v>
      </c>
      <c r="O21" s="3182">
        <v>0.35</v>
      </c>
      <c r="P21" s="3178">
        <f>N21/O21</f>
        <v>3.3142857142857141</v>
      </c>
    </row>
    <row r="22" spans="1:17" s="3166" customFormat="1">
      <c r="A22" s="3194" t="s">
        <v>3085</v>
      </c>
      <c r="G22" s="3167"/>
      <c r="I22" s="3168">
        <f>SUM(I18:I21)</f>
        <v>80863.299999999988</v>
      </c>
      <c r="J22" s="3168">
        <f t="shared" ref="J22:L22" si="16">SUM(J18:J21)</f>
        <v>115913.23000000001</v>
      </c>
      <c r="K22" s="3168">
        <f t="shared" si="16"/>
        <v>110117.57</v>
      </c>
      <c r="L22" s="3168">
        <f t="shared" si="16"/>
        <v>5795.659999999998</v>
      </c>
      <c r="M22" s="3169"/>
      <c r="O22" s="3193"/>
    </row>
    <row r="23" spans="1:17" s="3178" customFormat="1">
      <c r="A23" s="3552">
        <v>5</v>
      </c>
      <c r="B23" s="3178">
        <v>17</v>
      </c>
      <c r="C23" s="3178" t="s">
        <v>3065</v>
      </c>
      <c r="D23" s="3178" t="s">
        <v>3027</v>
      </c>
      <c r="E23" s="3178" t="s">
        <v>3066</v>
      </c>
      <c r="F23" s="3178" t="s">
        <v>3067</v>
      </c>
      <c r="G23" s="3179" t="s">
        <v>3068</v>
      </c>
      <c r="H23" s="3178" t="s">
        <v>3069</v>
      </c>
      <c r="I23" s="3180">
        <v>4514.2</v>
      </c>
      <c r="J23" s="3180">
        <f>ROUND(I23*N23,2)</f>
        <v>6771.3</v>
      </c>
      <c r="K23" s="3180">
        <f>ROUND(J23*0.51,2)</f>
        <v>3453.36</v>
      </c>
      <c r="L23" s="3180">
        <f>J23-K23</f>
        <v>3317.94</v>
      </c>
      <c r="M23" s="3181" t="s">
        <v>3042</v>
      </c>
      <c r="N23" s="3178">
        <v>1.5</v>
      </c>
      <c r="O23" s="3182">
        <v>0.35</v>
      </c>
      <c r="P23" s="3178">
        <f t="shared" ref="P23:P24" si="17">N23/O23</f>
        <v>4.2857142857142856</v>
      </c>
      <c r="Q23" s="3182" t="s">
        <v>3048</v>
      </c>
    </row>
    <row r="24" spans="1:17" s="3178" customFormat="1">
      <c r="A24" s="3552"/>
      <c r="B24" s="3178">
        <v>18</v>
      </c>
      <c r="C24" s="3178" t="s">
        <v>3070</v>
      </c>
      <c r="D24" s="3178" t="s">
        <v>3027</v>
      </c>
      <c r="E24" s="3178" t="s">
        <v>3071</v>
      </c>
      <c r="F24" s="3178" t="s">
        <v>3072</v>
      </c>
      <c r="G24" s="3179" t="s">
        <v>3073</v>
      </c>
      <c r="H24" s="3178" t="s">
        <v>3069</v>
      </c>
      <c r="I24" s="3180">
        <v>5440.8</v>
      </c>
      <c r="J24" s="3180">
        <f>ROUND(I24*N24,2)</f>
        <v>8161.2</v>
      </c>
      <c r="K24" s="3180">
        <f>ROUND(J24*0.51,2)</f>
        <v>4162.21</v>
      </c>
      <c r="L24" s="3180">
        <f>J24-K24</f>
        <v>3998.99</v>
      </c>
      <c r="M24" s="3181" t="s">
        <v>3042</v>
      </c>
      <c r="N24" s="3178">
        <v>1.5</v>
      </c>
      <c r="O24" s="3182">
        <v>0.35</v>
      </c>
      <c r="P24" s="3178">
        <f t="shared" si="17"/>
        <v>4.2857142857142856</v>
      </c>
      <c r="Q24" s="3182" t="s">
        <v>3048</v>
      </c>
    </row>
    <row r="25" spans="1:17">
      <c r="A25" s="3177" t="s">
        <v>3085</v>
      </c>
      <c r="I25" s="2963">
        <f>SUM(I23:I24)</f>
        <v>9955</v>
      </c>
      <c r="J25" s="2963">
        <f t="shared" ref="J25:L25" si="18">SUM(J23:J24)</f>
        <v>14932.5</v>
      </c>
      <c r="K25" s="2963">
        <f t="shared" si="18"/>
        <v>7615.57</v>
      </c>
      <c r="L25" s="2963">
        <f t="shared" si="18"/>
        <v>7316.93</v>
      </c>
    </row>
    <row r="26" spans="1:17" s="3196" customFormat="1">
      <c r="A26" s="3196">
        <v>5</v>
      </c>
      <c r="B26" s="3196">
        <v>20</v>
      </c>
      <c r="C26" s="3196" t="s">
        <v>2997</v>
      </c>
      <c r="D26" s="3196" t="s">
        <v>2988</v>
      </c>
      <c r="E26" s="3196" t="s">
        <v>2998</v>
      </c>
      <c r="F26" s="3196" t="s">
        <v>2999</v>
      </c>
      <c r="G26" s="3197" t="s">
        <v>3000</v>
      </c>
      <c r="H26" s="3196" t="s">
        <v>2989</v>
      </c>
      <c r="I26" s="3198">
        <v>4082.9</v>
      </c>
      <c r="J26" s="3198">
        <f>ROUND(I26*N26,2)</f>
        <v>204.15</v>
      </c>
      <c r="K26" s="3198">
        <f>ROUND(J26*1,2)</f>
        <v>204.15</v>
      </c>
      <c r="L26" s="3198">
        <f>J26-K26</f>
        <v>0</v>
      </c>
      <c r="M26" s="3199" t="s">
        <v>2990</v>
      </c>
      <c r="N26" s="3196">
        <v>0.05</v>
      </c>
      <c r="O26" s="3200">
        <v>0.05</v>
      </c>
      <c r="P26" s="3196">
        <f>N26/O26</f>
        <v>1</v>
      </c>
    </row>
    <row r="27" spans="1:17">
      <c r="A27" s="3177" t="s">
        <v>3085</v>
      </c>
      <c r="I27" s="2963">
        <f>SUM(I26)</f>
        <v>4082.9</v>
      </c>
      <c r="J27" s="2963">
        <f t="shared" ref="J27:L27" si="19">SUM(J26)</f>
        <v>204.15</v>
      </c>
      <c r="K27" s="2963">
        <f t="shared" si="19"/>
        <v>204.15</v>
      </c>
      <c r="L27" s="2963">
        <f t="shared" si="19"/>
        <v>0</v>
      </c>
    </row>
    <row r="28" spans="1:17" s="3175" customFormat="1">
      <c r="A28" s="3551">
        <v>6</v>
      </c>
      <c r="B28" s="3175">
        <v>21</v>
      </c>
      <c r="D28" s="3175" t="s">
        <v>3074</v>
      </c>
      <c r="E28" s="3175" t="s">
        <v>3075</v>
      </c>
      <c r="F28" s="3175" t="s">
        <v>3076</v>
      </c>
      <c r="G28" s="3175" t="s">
        <v>3077</v>
      </c>
      <c r="H28" s="3175" t="s">
        <v>3078</v>
      </c>
      <c r="I28" s="3176">
        <v>49183</v>
      </c>
      <c r="J28" s="3176">
        <f>ROUND(I28*N28,2)</f>
        <v>7377.45</v>
      </c>
      <c r="K28" s="3176">
        <f>ROUND(J28*0.95,2)</f>
        <v>7008.58</v>
      </c>
      <c r="L28" s="3176">
        <f>J28-K28</f>
        <v>368.86999999999989</v>
      </c>
      <c r="M28" s="3175" t="s">
        <v>3079</v>
      </c>
      <c r="N28" s="3175">
        <v>0.15</v>
      </c>
    </row>
    <row r="29" spans="1:17" s="3175" customFormat="1">
      <c r="A29" s="3551"/>
      <c r="B29" s="3175">
        <v>22</v>
      </c>
      <c r="D29" s="3175" t="s">
        <v>3074</v>
      </c>
      <c r="E29" s="3175" t="s">
        <v>3080</v>
      </c>
      <c r="F29" s="3175" t="s">
        <v>3076</v>
      </c>
      <c r="G29" s="3175" t="s">
        <v>3081</v>
      </c>
      <c r="H29" s="3175" t="s">
        <v>3082</v>
      </c>
      <c r="I29" s="3176">
        <v>87492</v>
      </c>
      <c r="J29" s="3176">
        <f>ROUND(I29*N29,2)</f>
        <v>104990.39999999999</v>
      </c>
      <c r="K29" s="3176">
        <f>ROUND(J29*0.95,2)</f>
        <v>99740.88</v>
      </c>
      <c r="L29" s="3176">
        <f>J29-K29</f>
        <v>5249.5199999999895</v>
      </c>
      <c r="M29" s="3175" t="s">
        <v>3079</v>
      </c>
      <c r="N29" s="3175">
        <v>1.2</v>
      </c>
    </row>
    <row r="30" spans="1:17">
      <c r="A30" s="3177" t="s">
        <v>3085</v>
      </c>
      <c r="I30" s="2963">
        <f>SUM(I28:I29)</f>
        <v>136675</v>
      </c>
      <c r="J30" s="2963">
        <f t="shared" ref="J30:L30" si="20">SUM(J28:J29)</f>
        <v>112367.84999999999</v>
      </c>
      <c r="K30" s="2963">
        <f t="shared" si="20"/>
        <v>106749.46</v>
      </c>
      <c r="L30" s="2963">
        <f t="shared" si="20"/>
        <v>5618.3899999999894</v>
      </c>
    </row>
    <row r="33" spans="7:12">
      <c r="G33" s="3177" t="s">
        <v>3089</v>
      </c>
      <c r="I33" s="2963">
        <f>I5+I12+I17+I22+I25+I27+I30</f>
        <v>472038.80000000005</v>
      </c>
      <c r="J33" s="2963">
        <f t="shared" ref="J33:L33" si="21">J5+J12+J17+J22+J25+J27+J30</f>
        <v>900654.04999999993</v>
      </c>
      <c r="K33" s="2963">
        <f t="shared" si="21"/>
        <v>839785.76</v>
      </c>
      <c r="L33" s="2963">
        <f t="shared" si="21"/>
        <v>60868.290000000015</v>
      </c>
    </row>
    <row r="47" spans="7:12">
      <c r="H47" s="2963" t="s">
        <v>3083</v>
      </c>
      <c r="I47" s="2963" t="e">
        <f>I29+#REF!+I28+I24+I23+I16+I15+I4+I11+I14+I13+#REF!+I10+I9+I8+I7+I6+I19+I20+#REF!+I21+I26+I18+I3+I2</f>
        <v>#REF!</v>
      </c>
    </row>
  </sheetData>
  <mergeCells count="6">
    <mergeCell ref="A2:A4"/>
    <mergeCell ref="A6:A11"/>
    <mergeCell ref="A13:A16"/>
    <mergeCell ref="A28:A29"/>
    <mergeCell ref="A18:A21"/>
    <mergeCell ref="A23:A24"/>
  </mergeCells>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workbookViewId="0">
      <pane xSplit="1" ySplit="2" topLeftCell="B3" activePane="bottomRight" state="frozen"/>
      <selection pane="topRight" activeCell="B1" sqref="B1"/>
      <selection pane="bottomLeft" activeCell="A3" sqref="A3"/>
      <selection pane="bottomRight" activeCell="K5" sqref="K5:K10"/>
    </sheetView>
  </sheetViews>
  <sheetFormatPr defaultRowHeight="13.5"/>
  <cols>
    <col min="8" max="8" width="10.625" bestFit="1" customWidth="1"/>
    <col min="9" max="9" width="10.625" customWidth="1"/>
    <col min="10" max="10" width="9.75" bestFit="1" customWidth="1"/>
  </cols>
  <sheetData>
    <row r="1" spans="1:26" ht="21.75" thickBot="1">
      <c r="A1" s="3562" t="s">
        <v>3232</v>
      </c>
      <c r="B1" s="3562" t="s">
        <v>3233</v>
      </c>
      <c r="C1" s="3562" t="s">
        <v>3234</v>
      </c>
      <c r="D1" s="3562" t="s">
        <v>3235</v>
      </c>
      <c r="E1" s="3562" t="s">
        <v>3236</v>
      </c>
      <c r="F1" s="3562" t="s">
        <v>3237</v>
      </c>
      <c r="G1" s="3562" t="s">
        <v>3238</v>
      </c>
      <c r="H1" s="3220"/>
      <c r="I1" s="3220"/>
      <c r="K1" s="3229" t="s">
        <v>3232</v>
      </c>
      <c r="L1" s="3224" t="s">
        <v>3403</v>
      </c>
      <c r="M1" s="3224" t="s">
        <v>3404</v>
      </c>
      <c r="N1" s="3224" t="s">
        <v>3405</v>
      </c>
      <c r="O1" s="3224" t="s">
        <v>3406</v>
      </c>
      <c r="P1" s="3224" t="s">
        <v>3407</v>
      </c>
      <c r="Q1" s="3224" t="s">
        <v>3233</v>
      </c>
      <c r="R1" s="3224" t="s">
        <v>3310</v>
      </c>
      <c r="S1" s="3224" t="s">
        <v>3308</v>
      </c>
      <c r="T1" s="3224" t="s">
        <v>3234</v>
      </c>
      <c r="U1" s="3224" t="s">
        <v>3408</v>
      </c>
      <c r="V1" s="3230" t="s">
        <v>3309</v>
      </c>
      <c r="W1" s="3230" t="s">
        <v>3409</v>
      </c>
      <c r="X1" s="3224" t="s">
        <v>3235</v>
      </c>
      <c r="Y1" s="3224" t="s">
        <v>2034</v>
      </c>
      <c r="Z1" s="3224" t="s">
        <v>3236</v>
      </c>
    </row>
    <row r="2" spans="1:26" ht="34.5" thickBot="1">
      <c r="A2" s="3563"/>
      <c r="B2" s="3563"/>
      <c r="C2" s="3563"/>
      <c r="D2" s="3563"/>
      <c r="E2" s="3563"/>
      <c r="F2" s="3563"/>
      <c r="G2" s="3563"/>
      <c r="H2" s="3249" t="s">
        <v>3513</v>
      </c>
      <c r="I2" s="3249" t="s">
        <v>3514</v>
      </c>
      <c r="J2" s="3249" t="s">
        <v>3512</v>
      </c>
      <c r="K2" s="3553">
        <v>1</v>
      </c>
      <c r="L2" s="3225" t="s">
        <v>3449</v>
      </c>
      <c r="M2" s="3228">
        <v>41641</v>
      </c>
      <c r="N2" s="3227">
        <v>1415</v>
      </c>
      <c r="O2" s="3228">
        <v>41844</v>
      </c>
      <c r="P2" s="3228">
        <v>42940</v>
      </c>
      <c r="Q2" s="3225" t="s">
        <v>3311</v>
      </c>
      <c r="R2" s="3228">
        <v>41830</v>
      </c>
      <c r="S2" s="3225" t="s">
        <v>3312</v>
      </c>
      <c r="T2" s="3227" t="s">
        <v>3239</v>
      </c>
      <c r="U2" s="3225" t="s">
        <v>3313</v>
      </c>
      <c r="V2" s="3226" t="s">
        <v>3314</v>
      </c>
      <c r="W2" s="3226" t="s">
        <v>3410</v>
      </c>
      <c r="X2" s="3227">
        <v>15509</v>
      </c>
      <c r="Y2" s="3227">
        <v>2</v>
      </c>
      <c r="Z2" s="3227">
        <v>31018</v>
      </c>
    </row>
    <row r="3" spans="1:26" ht="36" thickBot="1">
      <c r="A3" s="3559">
        <v>1</v>
      </c>
      <c r="B3" s="3221" t="s">
        <v>3305</v>
      </c>
      <c r="C3" s="3222" t="s">
        <v>3239</v>
      </c>
      <c r="D3" s="3222">
        <v>15509</v>
      </c>
      <c r="E3" s="3222">
        <v>31018</v>
      </c>
      <c r="F3" s="3222">
        <v>29467.1</v>
      </c>
      <c r="G3" s="3222">
        <v>1550.9</v>
      </c>
      <c r="H3" s="3222">
        <f ca="1">ROUND(D3/$D$6*结果表!$G$19,0)</f>
        <v>6216</v>
      </c>
      <c r="I3" s="3222">
        <f ca="1">ROUND(H3/D3*10000,0)</f>
        <v>4008</v>
      </c>
      <c r="J3" s="3222">
        <f ca="1">ROUND(H3/E3*10000,0)</f>
        <v>2004</v>
      </c>
      <c r="K3" s="3554"/>
      <c r="L3" s="3225" t="s">
        <v>3450</v>
      </c>
      <c r="M3" s="3228">
        <v>41641</v>
      </c>
      <c r="N3" s="3227">
        <v>3615</v>
      </c>
      <c r="O3" s="3228">
        <v>41844</v>
      </c>
      <c r="P3" s="3228">
        <v>42940</v>
      </c>
      <c r="Q3" s="3225" t="s">
        <v>3315</v>
      </c>
      <c r="R3" s="3228">
        <v>41830</v>
      </c>
      <c r="S3" s="3225" t="s">
        <v>3316</v>
      </c>
      <c r="T3" s="3227" t="s">
        <v>3240</v>
      </c>
      <c r="U3" s="3225" t="s">
        <v>3313</v>
      </c>
      <c r="V3" s="3226" t="s">
        <v>3314</v>
      </c>
      <c r="W3" s="3226" t="s">
        <v>3410</v>
      </c>
      <c r="X3" s="3227">
        <v>42406</v>
      </c>
      <c r="Y3" s="3227">
        <v>1.92</v>
      </c>
      <c r="Z3" s="3227">
        <v>81419.520000000004</v>
      </c>
    </row>
    <row r="4" spans="1:26" ht="42.75" thickBot="1">
      <c r="A4" s="3560"/>
      <c r="B4" s="3221" t="s">
        <v>3306</v>
      </c>
      <c r="C4" s="3222" t="s">
        <v>3240</v>
      </c>
      <c r="D4" s="3222">
        <v>42406</v>
      </c>
      <c r="E4" s="3222">
        <v>81419.520000000004</v>
      </c>
      <c r="F4" s="3222">
        <v>77348.539999999994</v>
      </c>
      <c r="G4" s="3222">
        <v>4070.98</v>
      </c>
      <c r="H4" s="3222">
        <f ca="1">ROUND(D4/$D$6*结果表!$G$19,0)</f>
        <v>16998</v>
      </c>
      <c r="I4" s="3222">
        <f t="shared" ref="I4:I37" ca="1" si="0">ROUND(H4/D4*10000,0)</f>
        <v>4008</v>
      </c>
      <c r="J4" s="3222">
        <f t="shared" ref="J4:J37" ca="1" si="1">ROUND(H4/E4*10000,0)</f>
        <v>2088</v>
      </c>
      <c r="K4" s="3555"/>
      <c r="L4" s="3225" t="s">
        <v>3451</v>
      </c>
      <c r="M4" s="3228">
        <v>42373</v>
      </c>
      <c r="N4" s="3227">
        <v>210</v>
      </c>
      <c r="O4" s="3228">
        <v>42727</v>
      </c>
      <c r="P4" s="3228">
        <v>43822</v>
      </c>
      <c r="Q4" s="3225" t="s">
        <v>3317</v>
      </c>
      <c r="R4" s="3228">
        <v>42555</v>
      </c>
      <c r="S4" s="3225" t="s">
        <v>3318</v>
      </c>
      <c r="T4" s="3227" t="s">
        <v>3057</v>
      </c>
      <c r="U4" s="3225" t="s">
        <v>3319</v>
      </c>
      <c r="V4" s="3226" t="s">
        <v>3320</v>
      </c>
      <c r="W4" s="3226" t="s">
        <v>3411</v>
      </c>
      <c r="X4" s="3227">
        <v>2844</v>
      </c>
      <c r="Y4" s="3227">
        <v>2</v>
      </c>
      <c r="Z4" s="3227">
        <v>5688</v>
      </c>
    </row>
    <row r="5" spans="1:26" ht="53.25" thickBot="1">
      <c r="A5" s="3561"/>
      <c r="B5" s="3221" t="s">
        <v>3307</v>
      </c>
      <c r="C5" s="3222" t="s">
        <v>3057</v>
      </c>
      <c r="D5" s="3222">
        <v>2844</v>
      </c>
      <c r="E5" s="3222">
        <v>5688</v>
      </c>
      <c r="F5" s="3222">
        <v>5403.6</v>
      </c>
      <c r="G5" s="3222">
        <v>284.39999999999998</v>
      </c>
      <c r="H5" s="3222">
        <f ca="1">ROUND(D5/$D$6*结果表!$G$19,0)</f>
        <v>1140</v>
      </c>
      <c r="I5" s="3222">
        <f t="shared" ca="1" si="0"/>
        <v>4008</v>
      </c>
      <c r="J5" s="3222">
        <f t="shared" ca="1" si="1"/>
        <v>2004</v>
      </c>
      <c r="K5" s="3553">
        <v>2</v>
      </c>
      <c r="L5" s="3225" t="s">
        <v>3412</v>
      </c>
      <c r="M5" s="3228">
        <v>41641</v>
      </c>
      <c r="N5" s="3227">
        <v>603</v>
      </c>
      <c r="O5" s="3228">
        <v>41844</v>
      </c>
      <c r="P5" s="3228">
        <v>42940</v>
      </c>
      <c r="Q5" s="3225" t="s">
        <v>3321</v>
      </c>
      <c r="R5" s="3227" t="s">
        <v>3325</v>
      </c>
      <c r="S5" s="3225" t="s">
        <v>3322</v>
      </c>
      <c r="T5" s="3227" t="s">
        <v>3242</v>
      </c>
      <c r="U5" s="3225" t="s">
        <v>3323</v>
      </c>
      <c r="V5" s="3226" t="s">
        <v>3324</v>
      </c>
      <c r="W5" s="3226" t="s">
        <v>3410</v>
      </c>
      <c r="X5" s="3227">
        <v>5676.4</v>
      </c>
      <c r="Y5" s="3227">
        <v>3</v>
      </c>
      <c r="Z5" s="3227">
        <v>17029.2</v>
      </c>
    </row>
    <row r="6" spans="1:26" ht="34.5" thickBot="1">
      <c r="A6" s="3556" t="s">
        <v>27</v>
      </c>
      <c r="B6" s="3557"/>
      <c r="C6" s="3558"/>
      <c r="D6" s="3222">
        <v>60759</v>
      </c>
      <c r="E6" s="3222">
        <v>118125.52</v>
      </c>
      <c r="F6" s="3222">
        <v>112219.24</v>
      </c>
      <c r="G6" s="3222">
        <v>5906.28</v>
      </c>
      <c r="H6" s="3222">
        <f ca="1">H3+H4+H5</f>
        <v>24354</v>
      </c>
      <c r="I6" s="3222">
        <f t="shared" ca="1" si="0"/>
        <v>4008</v>
      </c>
      <c r="J6" s="3222">
        <f t="shared" ca="1" si="1"/>
        <v>2062</v>
      </c>
      <c r="K6" s="3554"/>
      <c r="L6" s="3225" t="s">
        <v>3413</v>
      </c>
      <c r="M6" s="3228">
        <v>41641</v>
      </c>
      <c r="N6" s="3227">
        <v>1260</v>
      </c>
      <c r="O6" s="3228">
        <v>41844</v>
      </c>
      <c r="P6" s="3228">
        <v>42940</v>
      </c>
      <c r="Q6" s="3225" t="s">
        <v>3326</v>
      </c>
      <c r="R6" s="3228">
        <v>41830</v>
      </c>
      <c r="S6" s="3225" t="s">
        <v>3327</v>
      </c>
      <c r="T6" s="3227" t="s">
        <v>3244</v>
      </c>
      <c r="U6" s="3225" t="s">
        <v>3313</v>
      </c>
      <c r="V6" s="3226" t="s">
        <v>3314</v>
      </c>
      <c r="W6" s="3226" t="s">
        <v>3410</v>
      </c>
      <c r="X6" s="3227">
        <v>12207.5</v>
      </c>
      <c r="Y6" s="3227">
        <v>3</v>
      </c>
      <c r="Z6" s="3227">
        <v>36622.5</v>
      </c>
    </row>
    <row r="7" spans="1:26" ht="36" thickBot="1">
      <c r="A7" s="3559">
        <v>2</v>
      </c>
      <c r="B7" s="3221" t="s">
        <v>3241</v>
      </c>
      <c r="C7" s="3222" t="s">
        <v>3242</v>
      </c>
      <c r="D7" s="3222">
        <v>5676.4</v>
      </c>
      <c r="E7" s="3222">
        <v>17029.2</v>
      </c>
      <c r="F7" s="3222">
        <v>16177.74</v>
      </c>
      <c r="G7" s="3222">
        <v>851.46</v>
      </c>
      <c r="H7" s="3222">
        <f>ROUND(D7/$D$13*[1]结果表!$G$19,0)</f>
        <v>2304</v>
      </c>
      <c r="I7" s="3222">
        <f t="shared" si="0"/>
        <v>4059</v>
      </c>
      <c r="J7" s="3222">
        <f t="shared" si="1"/>
        <v>1353</v>
      </c>
      <c r="K7" s="3554"/>
      <c r="L7" s="3225" t="s">
        <v>3414</v>
      </c>
      <c r="M7" s="3228">
        <v>41641</v>
      </c>
      <c r="N7" s="3227">
        <v>9414</v>
      </c>
      <c r="O7" s="3228">
        <v>41844</v>
      </c>
      <c r="P7" s="3228">
        <v>42940</v>
      </c>
      <c r="Q7" s="3225" t="s">
        <v>3328</v>
      </c>
      <c r="R7" s="3228">
        <v>41830</v>
      </c>
      <c r="S7" s="3225" t="s">
        <v>3329</v>
      </c>
      <c r="T7" s="3227" t="s">
        <v>3246</v>
      </c>
      <c r="U7" s="3225" t="s">
        <v>3313</v>
      </c>
      <c r="V7" s="3226" t="s">
        <v>3314</v>
      </c>
      <c r="W7" s="3226" t="s">
        <v>3410</v>
      </c>
      <c r="X7" s="3227">
        <v>93868</v>
      </c>
      <c r="Y7" s="3227">
        <v>3</v>
      </c>
      <c r="Z7" s="3227">
        <v>281604</v>
      </c>
    </row>
    <row r="8" spans="1:26" ht="36" thickBot="1">
      <c r="A8" s="3560"/>
      <c r="B8" s="3221" t="s">
        <v>3243</v>
      </c>
      <c r="C8" s="3222" t="s">
        <v>3244</v>
      </c>
      <c r="D8" s="3222">
        <v>12207.5</v>
      </c>
      <c r="E8" s="3222">
        <v>36622.5</v>
      </c>
      <c r="F8" s="3222">
        <v>34791.379999999997</v>
      </c>
      <c r="G8" s="3222">
        <v>1831.12</v>
      </c>
      <c r="H8" s="3222">
        <f>ROUND(D8/$D$13*[1]结果表!$G$19,0)</f>
        <v>4954</v>
      </c>
      <c r="I8" s="3222">
        <f t="shared" si="0"/>
        <v>4058</v>
      </c>
      <c r="J8" s="3222">
        <f t="shared" si="1"/>
        <v>1353</v>
      </c>
      <c r="K8" s="3554"/>
      <c r="L8" s="3225" t="s">
        <v>3415</v>
      </c>
      <c r="M8" s="3228">
        <v>41641</v>
      </c>
      <c r="N8" s="3227">
        <v>3854</v>
      </c>
      <c r="O8" s="3228">
        <v>41844</v>
      </c>
      <c r="P8" s="3228">
        <v>42940</v>
      </c>
      <c r="Q8" s="3225" t="s">
        <v>3330</v>
      </c>
      <c r="R8" s="3228">
        <v>41830</v>
      </c>
      <c r="S8" s="3225" t="s">
        <v>3331</v>
      </c>
      <c r="T8" s="3227" t="s">
        <v>3248</v>
      </c>
      <c r="U8" s="3225" t="s">
        <v>3313</v>
      </c>
      <c r="V8" s="3226" t="s">
        <v>3314</v>
      </c>
      <c r="W8" s="3226" t="s">
        <v>3410</v>
      </c>
      <c r="X8" s="3227">
        <v>37315.599999999999</v>
      </c>
      <c r="Y8" s="3227">
        <v>3</v>
      </c>
      <c r="Z8" s="3227">
        <v>111946.8</v>
      </c>
    </row>
    <row r="9" spans="1:26" ht="42.75" thickBot="1">
      <c r="A9" s="3560"/>
      <c r="B9" s="3221" t="s">
        <v>3245</v>
      </c>
      <c r="C9" s="3222" t="s">
        <v>3246</v>
      </c>
      <c r="D9" s="3222">
        <v>93868</v>
      </c>
      <c r="E9" s="3222">
        <v>281604</v>
      </c>
      <c r="F9" s="3222">
        <v>267523.8</v>
      </c>
      <c r="G9" s="3222">
        <v>14080.2</v>
      </c>
      <c r="H9" s="3222">
        <f>ROUND(D9/$D$13*[1]结果表!$G$19,0)</f>
        <v>38096</v>
      </c>
      <c r="I9" s="3222">
        <f t="shared" si="0"/>
        <v>4058</v>
      </c>
      <c r="J9" s="3222">
        <f t="shared" si="1"/>
        <v>1353</v>
      </c>
      <c r="K9" s="3554"/>
      <c r="L9" s="3225" t="s">
        <v>3416</v>
      </c>
      <c r="M9" s="3228">
        <v>42373</v>
      </c>
      <c r="N9" s="3227">
        <v>349</v>
      </c>
      <c r="O9" s="3228">
        <v>42727</v>
      </c>
      <c r="P9" s="3228">
        <v>43822</v>
      </c>
      <c r="Q9" s="3225" t="s">
        <v>3332</v>
      </c>
      <c r="R9" s="3228">
        <v>42555</v>
      </c>
      <c r="S9" s="3225" t="s">
        <v>3333</v>
      </c>
      <c r="T9" s="3227" t="s">
        <v>3040</v>
      </c>
      <c r="U9" s="3225" t="s">
        <v>3319</v>
      </c>
      <c r="V9" s="3226" t="s">
        <v>3320</v>
      </c>
      <c r="W9" s="3226" t="s">
        <v>3411</v>
      </c>
      <c r="X9" s="3227">
        <v>4267.1000000000004</v>
      </c>
      <c r="Y9" s="3227">
        <v>3</v>
      </c>
      <c r="Z9" s="3227">
        <v>12801.3</v>
      </c>
    </row>
    <row r="10" spans="1:26" ht="42.75" thickBot="1">
      <c r="A10" s="3560"/>
      <c r="B10" s="3221" t="s">
        <v>3247</v>
      </c>
      <c r="C10" s="3222" t="s">
        <v>3248</v>
      </c>
      <c r="D10" s="3222">
        <v>37315.599999999999</v>
      </c>
      <c r="E10" s="3222">
        <v>111946.8</v>
      </c>
      <c r="F10" s="3222">
        <v>106349.46</v>
      </c>
      <c r="G10" s="3222">
        <v>5597.34</v>
      </c>
      <c r="H10" s="3222">
        <f>ROUND(D10/$D$13*[1]结果表!$G$19,0)</f>
        <v>15145</v>
      </c>
      <c r="I10" s="3222">
        <f t="shared" si="0"/>
        <v>4059</v>
      </c>
      <c r="J10" s="3222">
        <f t="shared" si="1"/>
        <v>1353</v>
      </c>
      <c r="K10" s="3555"/>
      <c r="L10" s="3225" t="s">
        <v>3417</v>
      </c>
      <c r="M10" s="3228">
        <v>42373</v>
      </c>
      <c r="N10" s="3227">
        <v>1567</v>
      </c>
      <c r="O10" s="3228">
        <v>42727</v>
      </c>
      <c r="P10" s="3228">
        <v>43822</v>
      </c>
      <c r="Q10" s="3225" t="s">
        <v>3334</v>
      </c>
      <c r="R10" s="3228">
        <v>42555</v>
      </c>
      <c r="S10" s="3225" t="s">
        <v>3335</v>
      </c>
      <c r="T10" s="3227" t="s">
        <v>3055</v>
      </c>
      <c r="U10" s="3225" t="s">
        <v>3319</v>
      </c>
      <c r="V10" s="3226" t="s">
        <v>3336</v>
      </c>
      <c r="W10" s="3226" t="s">
        <v>3411</v>
      </c>
      <c r="X10" s="3227">
        <v>19342.099999999999</v>
      </c>
      <c r="Y10" s="3227">
        <v>3</v>
      </c>
      <c r="Z10" s="3227">
        <v>58026.3</v>
      </c>
    </row>
    <row r="11" spans="1:26" ht="42.75" thickBot="1">
      <c r="A11" s="3560"/>
      <c r="B11" s="3221" t="s">
        <v>3249</v>
      </c>
      <c r="C11" s="3222" t="s">
        <v>3040</v>
      </c>
      <c r="D11" s="3222">
        <v>4267.1000000000004</v>
      </c>
      <c r="E11" s="3222">
        <v>12801.3</v>
      </c>
      <c r="F11" s="3222">
        <v>12161.24</v>
      </c>
      <c r="G11" s="3222">
        <v>640.05999999999995</v>
      </c>
      <c r="H11" s="3222">
        <f>ROUND(D11/$D$13*[1]结果表!$G$19,0)</f>
        <v>1732</v>
      </c>
      <c r="I11" s="3222">
        <f t="shared" si="0"/>
        <v>4059</v>
      </c>
      <c r="J11" s="3222">
        <f t="shared" si="1"/>
        <v>1353</v>
      </c>
      <c r="K11" s="3553">
        <v>3</v>
      </c>
      <c r="L11" s="3225" t="s">
        <v>3418</v>
      </c>
      <c r="M11" s="3228">
        <v>42373</v>
      </c>
      <c r="N11" s="3227">
        <v>21</v>
      </c>
      <c r="O11" s="3228">
        <v>42727</v>
      </c>
      <c r="P11" s="3228">
        <v>43822</v>
      </c>
      <c r="Q11" s="3225" t="s">
        <v>3337</v>
      </c>
      <c r="R11" s="3228">
        <v>42555</v>
      </c>
      <c r="S11" s="3225" t="s">
        <v>3338</v>
      </c>
      <c r="T11" s="3227" t="s">
        <v>3047</v>
      </c>
      <c r="U11" s="3225" t="s">
        <v>3319</v>
      </c>
      <c r="V11" s="3226" t="s">
        <v>3336</v>
      </c>
      <c r="W11" s="3226" t="s">
        <v>3411</v>
      </c>
      <c r="X11" s="3227">
        <v>280.2</v>
      </c>
      <c r="Y11" s="3227">
        <v>3</v>
      </c>
      <c r="Z11" s="3227">
        <v>840.6</v>
      </c>
    </row>
    <row r="12" spans="1:26" ht="42.75" thickBot="1">
      <c r="A12" s="3561"/>
      <c r="B12" s="3221" t="s">
        <v>3250</v>
      </c>
      <c r="C12" s="3222" t="s">
        <v>3055</v>
      </c>
      <c r="D12" s="3222">
        <v>19342.099999999999</v>
      </c>
      <c r="E12" s="3222">
        <v>58026.3</v>
      </c>
      <c r="F12" s="3222">
        <v>55124.99</v>
      </c>
      <c r="G12" s="3222">
        <v>2901.31</v>
      </c>
      <c r="H12" s="3222">
        <f>ROUND(D12/$D$13*[1]结果表!$G$19,0)</f>
        <v>7850</v>
      </c>
      <c r="I12" s="3222">
        <f t="shared" si="0"/>
        <v>4059</v>
      </c>
      <c r="J12" s="3222">
        <f t="shared" si="1"/>
        <v>1353</v>
      </c>
      <c r="K12" s="3554"/>
      <c r="L12" s="3225" t="s">
        <v>3419</v>
      </c>
      <c r="M12" s="3228">
        <v>42373</v>
      </c>
      <c r="N12" s="3227">
        <v>303</v>
      </c>
      <c r="O12" s="3228">
        <v>42727</v>
      </c>
      <c r="P12" s="3228">
        <v>43822</v>
      </c>
      <c r="Q12" s="3225" t="s">
        <v>3339</v>
      </c>
      <c r="R12" s="3228">
        <v>42555</v>
      </c>
      <c r="S12" s="3225" t="s">
        <v>3338</v>
      </c>
      <c r="T12" s="3227" t="s">
        <v>3051</v>
      </c>
      <c r="U12" s="3225" t="s">
        <v>3319</v>
      </c>
      <c r="V12" s="3226" t="s">
        <v>3336</v>
      </c>
      <c r="W12" s="3226" t="s">
        <v>3411</v>
      </c>
      <c r="X12" s="3227">
        <v>3718.6</v>
      </c>
      <c r="Y12" s="3227">
        <v>3</v>
      </c>
      <c r="Z12" s="3227">
        <v>11155.8</v>
      </c>
    </row>
    <row r="13" spans="1:26" ht="42.75" thickBot="1">
      <c r="A13" s="3556" t="s">
        <v>27</v>
      </c>
      <c r="B13" s="3557"/>
      <c r="C13" s="3558"/>
      <c r="D13" s="3222">
        <v>172676.7</v>
      </c>
      <c r="E13" s="3222">
        <v>518030.1</v>
      </c>
      <c r="F13" s="3222">
        <v>492128.61</v>
      </c>
      <c r="G13" s="3222">
        <v>25901.49</v>
      </c>
      <c r="H13" s="3222">
        <f>SUM(H7:H12)</f>
        <v>70081</v>
      </c>
      <c r="I13" s="3222">
        <f t="shared" si="0"/>
        <v>4059</v>
      </c>
      <c r="J13" s="3222">
        <f t="shared" si="1"/>
        <v>1353</v>
      </c>
      <c r="K13" s="3554"/>
      <c r="L13" s="3225" t="s">
        <v>3420</v>
      </c>
      <c r="M13" s="3228">
        <v>42373</v>
      </c>
      <c r="N13" s="3227">
        <v>157</v>
      </c>
      <c r="O13" s="3228">
        <v>42727</v>
      </c>
      <c r="P13" s="3228">
        <v>43822</v>
      </c>
      <c r="Q13" s="3225" t="s">
        <v>3340</v>
      </c>
      <c r="R13" s="3228">
        <v>42555</v>
      </c>
      <c r="S13" s="3225" t="s">
        <v>3333</v>
      </c>
      <c r="T13" s="3227" t="s">
        <v>3060</v>
      </c>
      <c r="U13" s="3225" t="s">
        <v>3319</v>
      </c>
      <c r="V13" s="3226" t="s">
        <v>3336</v>
      </c>
      <c r="W13" s="3226" t="s">
        <v>3411</v>
      </c>
      <c r="X13" s="3227">
        <v>1980.3</v>
      </c>
      <c r="Y13" s="3227">
        <v>3</v>
      </c>
      <c r="Z13" s="3227">
        <v>5940.9</v>
      </c>
    </row>
    <row r="14" spans="1:26" ht="42.75" thickBot="1">
      <c r="A14" s="3559">
        <v>3</v>
      </c>
      <c r="B14" s="3221" t="s">
        <v>3251</v>
      </c>
      <c r="C14" s="3222" t="s">
        <v>3047</v>
      </c>
      <c r="D14" s="3222">
        <v>280.2</v>
      </c>
      <c r="E14" s="3222">
        <v>840.6</v>
      </c>
      <c r="F14" s="3222">
        <v>428.71</v>
      </c>
      <c r="G14" s="3222">
        <v>411.89</v>
      </c>
      <c r="H14" s="3222">
        <f>ROUND(D14/$D$18*[2]结果表!$G$19,0)</f>
        <v>147</v>
      </c>
      <c r="I14" s="3222">
        <f t="shared" si="0"/>
        <v>5246</v>
      </c>
      <c r="J14" s="3222">
        <f t="shared" si="1"/>
        <v>1749</v>
      </c>
      <c r="K14" s="3555"/>
      <c r="L14" s="3225" t="s">
        <v>3421</v>
      </c>
      <c r="M14" s="3228">
        <v>42373</v>
      </c>
      <c r="N14" s="3227">
        <v>83</v>
      </c>
      <c r="O14" s="3228">
        <v>42727</v>
      </c>
      <c r="P14" s="3228">
        <v>43822</v>
      </c>
      <c r="Q14" s="3225" t="s">
        <v>3341</v>
      </c>
      <c r="R14" s="3228">
        <v>42555</v>
      </c>
      <c r="S14" s="3225" t="s">
        <v>3342</v>
      </c>
      <c r="T14" s="3227" t="s">
        <v>3064</v>
      </c>
      <c r="U14" s="3225" t="s">
        <v>3319</v>
      </c>
      <c r="V14" s="3226" t="s">
        <v>3336</v>
      </c>
      <c r="W14" s="3226" t="s">
        <v>3411</v>
      </c>
      <c r="X14" s="3227">
        <v>1047.8</v>
      </c>
      <c r="Y14" s="3227">
        <v>3</v>
      </c>
      <c r="Z14" s="3227">
        <v>3143.4</v>
      </c>
    </row>
    <row r="15" spans="1:26" ht="36" thickBot="1">
      <c r="A15" s="3560"/>
      <c r="B15" s="3221" t="s">
        <v>3252</v>
      </c>
      <c r="C15" s="3222" t="s">
        <v>3051</v>
      </c>
      <c r="D15" s="3222">
        <v>3718.6</v>
      </c>
      <c r="E15" s="3222">
        <v>11155.8</v>
      </c>
      <c r="F15" s="3222">
        <v>5689.46</v>
      </c>
      <c r="G15" s="3222">
        <v>5466.34</v>
      </c>
      <c r="H15" s="3222">
        <f>ROUND(D15/$D$18*[2]结果表!$G$19,0)</f>
        <v>1946</v>
      </c>
      <c r="I15" s="3222">
        <f t="shared" si="0"/>
        <v>5233</v>
      </c>
      <c r="J15" s="3222">
        <f t="shared" si="1"/>
        <v>1744</v>
      </c>
      <c r="K15" s="3553">
        <v>4</v>
      </c>
      <c r="L15" s="3225" t="s">
        <v>3422</v>
      </c>
      <c r="M15" s="3228">
        <v>41641</v>
      </c>
      <c r="N15" s="3227">
        <v>1565</v>
      </c>
      <c r="O15" s="3228">
        <v>41844</v>
      </c>
      <c r="P15" s="3228">
        <v>42940</v>
      </c>
      <c r="Q15" s="3225" t="s">
        <v>3343</v>
      </c>
      <c r="R15" s="3228">
        <v>41830</v>
      </c>
      <c r="S15" s="3225" t="s">
        <v>3344</v>
      </c>
      <c r="T15" s="3227" t="s">
        <v>3256</v>
      </c>
      <c r="U15" s="3225" t="s">
        <v>3313</v>
      </c>
      <c r="V15" s="3226" t="s">
        <v>3345</v>
      </c>
      <c r="W15" s="3226" t="s">
        <v>3410</v>
      </c>
      <c r="X15" s="3227">
        <v>19015.8</v>
      </c>
      <c r="Y15" s="3227">
        <v>1.4</v>
      </c>
      <c r="Z15" s="3227">
        <v>26622.12</v>
      </c>
    </row>
    <row r="16" spans="1:26" ht="36" thickBot="1">
      <c r="A16" s="3560"/>
      <c r="B16" s="3221" t="s">
        <v>3253</v>
      </c>
      <c r="C16" s="3222" t="s">
        <v>3060</v>
      </c>
      <c r="D16" s="3222">
        <v>1980.3</v>
      </c>
      <c r="E16" s="3222">
        <v>5940.9</v>
      </c>
      <c r="F16" s="3222">
        <v>3029.86</v>
      </c>
      <c r="G16" s="3222">
        <v>2911.04</v>
      </c>
      <c r="H16" s="3222">
        <f>ROUND(D16/$D$18*[2]结果表!$G$19,0)</f>
        <v>1036</v>
      </c>
      <c r="I16" s="3222">
        <f t="shared" si="0"/>
        <v>5232</v>
      </c>
      <c r="J16" s="3222">
        <f t="shared" si="1"/>
        <v>1744</v>
      </c>
      <c r="K16" s="3554"/>
      <c r="L16" s="3225" t="s">
        <v>3423</v>
      </c>
      <c r="M16" s="3228">
        <v>41641</v>
      </c>
      <c r="N16" s="3227">
        <v>3347</v>
      </c>
      <c r="O16" s="3228">
        <v>41844</v>
      </c>
      <c r="P16" s="3228">
        <v>42940</v>
      </c>
      <c r="Q16" s="3225" t="s">
        <v>3346</v>
      </c>
      <c r="R16" s="3228">
        <v>41830</v>
      </c>
      <c r="S16" s="3225" t="s">
        <v>3347</v>
      </c>
      <c r="T16" s="3227" t="s">
        <v>3258</v>
      </c>
      <c r="U16" s="3225" t="s">
        <v>3313</v>
      </c>
      <c r="V16" s="3226" t="s">
        <v>3345</v>
      </c>
      <c r="W16" s="3226" t="s">
        <v>3410</v>
      </c>
      <c r="X16" s="3227">
        <v>39937.599999999999</v>
      </c>
      <c r="Y16" s="3227">
        <v>1.5</v>
      </c>
      <c r="Z16" s="3227">
        <v>59906.400000000001</v>
      </c>
    </row>
    <row r="17" spans="1:26" ht="45" thickBot="1">
      <c r="A17" s="3561"/>
      <c r="B17" s="3221" t="s">
        <v>3254</v>
      </c>
      <c r="C17" s="3222" t="s">
        <v>3064</v>
      </c>
      <c r="D17" s="3222">
        <v>1047.8</v>
      </c>
      <c r="E17" s="3222">
        <v>3143.4</v>
      </c>
      <c r="F17" s="3222">
        <v>1603.13</v>
      </c>
      <c r="G17" s="3222">
        <v>1540.27</v>
      </c>
      <c r="H17" s="3222">
        <f>ROUND(D17/$D$18*[2]结果表!$G$19,0)</f>
        <v>548</v>
      </c>
      <c r="I17" s="3222">
        <f t="shared" si="0"/>
        <v>5230</v>
      </c>
      <c r="J17" s="3222">
        <f t="shared" si="1"/>
        <v>1743</v>
      </c>
      <c r="K17" s="3554"/>
      <c r="L17" s="3225" t="s">
        <v>3424</v>
      </c>
      <c r="M17" s="3228">
        <v>41641</v>
      </c>
      <c r="N17" s="3227">
        <v>995</v>
      </c>
      <c r="O17" s="3228">
        <v>41844</v>
      </c>
      <c r="P17" s="3228">
        <v>42940</v>
      </c>
      <c r="Q17" s="3225" t="s">
        <v>3348</v>
      </c>
      <c r="R17" s="3228">
        <v>41830</v>
      </c>
      <c r="S17" s="3225" t="s">
        <v>3349</v>
      </c>
      <c r="T17" s="3227" t="s">
        <v>3260</v>
      </c>
      <c r="U17" s="3225" t="s">
        <v>3313</v>
      </c>
      <c r="V17" s="3226" t="s">
        <v>3345</v>
      </c>
      <c r="W17" s="3226" t="s">
        <v>3410</v>
      </c>
      <c r="X17" s="3227">
        <v>11674.2</v>
      </c>
      <c r="Y17" s="3227">
        <v>1.5</v>
      </c>
      <c r="Z17" s="3227">
        <v>17511.3</v>
      </c>
    </row>
    <row r="18" spans="1:26" ht="33.75" thickBot="1">
      <c r="A18" s="3556" t="s">
        <v>27</v>
      </c>
      <c r="B18" s="3557"/>
      <c r="C18" s="3558"/>
      <c r="D18" s="3222">
        <v>7026.9</v>
      </c>
      <c r="E18" s="3222">
        <v>21080.7</v>
      </c>
      <c r="F18" s="3222">
        <v>10751.16</v>
      </c>
      <c r="G18" s="3222">
        <v>10329.540000000001</v>
      </c>
      <c r="H18" s="3222">
        <f>ROUND(D18/$D$18*[2]结果表!$G$19,0)</f>
        <v>3677</v>
      </c>
      <c r="I18" s="3222">
        <f t="shared" si="0"/>
        <v>5233</v>
      </c>
      <c r="J18" s="3222">
        <f t="shared" si="1"/>
        <v>1744</v>
      </c>
      <c r="K18" s="3555"/>
      <c r="L18" s="3225" t="s">
        <v>3425</v>
      </c>
      <c r="M18" s="3228">
        <v>41641</v>
      </c>
      <c r="N18" s="3227">
        <v>825</v>
      </c>
      <c r="O18" s="3228">
        <v>41844</v>
      </c>
      <c r="P18" s="3228">
        <v>42940</v>
      </c>
      <c r="Q18" s="3225" t="s">
        <v>3350</v>
      </c>
      <c r="R18" s="3228">
        <v>41830</v>
      </c>
      <c r="S18" s="3225" t="s">
        <v>3351</v>
      </c>
      <c r="T18" s="3227" t="s">
        <v>3262</v>
      </c>
      <c r="U18" s="3225" t="s">
        <v>3313</v>
      </c>
      <c r="V18" s="3226" t="s">
        <v>3345</v>
      </c>
      <c r="W18" s="3226" t="s">
        <v>3410</v>
      </c>
      <c r="X18" s="3227">
        <v>10235.700000000001</v>
      </c>
      <c r="Y18" s="3227">
        <v>1.1599999999999999</v>
      </c>
      <c r="Z18" s="3227">
        <v>11873.41</v>
      </c>
    </row>
    <row r="19" spans="1:26" ht="42.75" thickBot="1">
      <c r="A19" s="3559">
        <v>4</v>
      </c>
      <c r="B19" s="3221" t="s">
        <v>3255</v>
      </c>
      <c r="C19" s="3222" t="s">
        <v>3256</v>
      </c>
      <c r="D19" s="3222">
        <v>19015.8</v>
      </c>
      <c r="E19" s="3222">
        <v>26622.12</v>
      </c>
      <c r="F19" s="3222">
        <v>25291.01</v>
      </c>
      <c r="G19" s="3222">
        <v>1331.11</v>
      </c>
      <c r="H19" s="3222">
        <f>ROUND(D19/$D$23*[3]结果表!$G$19,0)</f>
        <v>7579</v>
      </c>
      <c r="I19" s="3222">
        <f t="shared" si="0"/>
        <v>3986</v>
      </c>
      <c r="J19" s="3222">
        <f t="shared" si="1"/>
        <v>2847</v>
      </c>
      <c r="K19" s="3553">
        <v>5</v>
      </c>
      <c r="L19" s="3225" t="s">
        <v>3426</v>
      </c>
      <c r="M19" s="3228">
        <v>42373</v>
      </c>
      <c r="N19" s="3227">
        <v>321</v>
      </c>
      <c r="O19" s="3228">
        <v>42727</v>
      </c>
      <c r="P19" s="3228">
        <v>43822</v>
      </c>
      <c r="Q19" s="3225" t="s">
        <v>3352</v>
      </c>
      <c r="R19" s="3228">
        <v>42555</v>
      </c>
      <c r="S19" s="3225" t="s">
        <v>3351</v>
      </c>
      <c r="T19" s="3227" t="s">
        <v>3068</v>
      </c>
      <c r="U19" s="3225" t="s">
        <v>3353</v>
      </c>
      <c r="V19" s="3226" t="s">
        <v>3336</v>
      </c>
      <c r="W19" s="3226" t="s">
        <v>3411</v>
      </c>
      <c r="X19" s="3227">
        <v>4514.2</v>
      </c>
      <c r="Y19" s="3227">
        <v>1.5</v>
      </c>
      <c r="Z19" s="3227">
        <v>6771.3</v>
      </c>
    </row>
    <row r="20" spans="1:26" ht="43.5" thickBot="1">
      <c r="A20" s="3560"/>
      <c r="B20" s="3221" t="s">
        <v>3257</v>
      </c>
      <c r="C20" s="3222" t="s">
        <v>3258</v>
      </c>
      <c r="D20" s="3222">
        <v>39937.599999999999</v>
      </c>
      <c r="E20" s="3222">
        <v>59906.400000000001</v>
      </c>
      <c r="F20" s="3222">
        <v>56911.08</v>
      </c>
      <c r="G20" s="3222">
        <v>2995.32</v>
      </c>
      <c r="H20" s="3222">
        <f>ROUND(D20/$D$23*[3]结果表!$G$19,0)</f>
        <v>15917</v>
      </c>
      <c r="I20" s="3222">
        <f t="shared" si="0"/>
        <v>3985</v>
      </c>
      <c r="J20" s="3222">
        <f t="shared" si="1"/>
        <v>2657</v>
      </c>
      <c r="K20" s="3555"/>
      <c r="L20" s="3225" t="s">
        <v>3427</v>
      </c>
      <c r="M20" s="3228">
        <v>42373</v>
      </c>
      <c r="N20" s="3227">
        <v>389</v>
      </c>
      <c r="O20" s="3228">
        <v>42727</v>
      </c>
      <c r="P20" s="3228">
        <v>43822</v>
      </c>
      <c r="Q20" s="3225" t="s">
        <v>3354</v>
      </c>
      <c r="R20" s="3228">
        <v>42555</v>
      </c>
      <c r="S20" s="3225" t="s">
        <v>3355</v>
      </c>
      <c r="T20" s="3227" t="s">
        <v>3073</v>
      </c>
      <c r="U20" s="3225" t="s">
        <v>3353</v>
      </c>
      <c r="V20" s="3226" t="s">
        <v>3336</v>
      </c>
      <c r="W20" s="3226" t="s">
        <v>3411</v>
      </c>
      <c r="X20" s="3227">
        <v>5440.8</v>
      </c>
      <c r="Y20" s="3227">
        <v>1.5</v>
      </c>
      <c r="Z20" s="3227">
        <v>8161.2</v>
      </c>
    </row>
    <row r="21" spans="1:26" ht="36" thickBot="1">
      <c r="A21" s="3560"/>
      <c r="B21" s="3221" t="s">
        <v>3259</v>
      </c>
      <c r="C21" s="3222" t="s">
        <v>3260</v>
      </c>
      <c r="D21" s="3222">
        <v>11674.2</v>
      </c>
      <c r="E21" s="3222">
        <v>17511.3</v>
      </c>
      <c r="F21" s="3222">
        <v>16635.740000000002</v>
      </c>
      <c r="G21" s="3222">
        <v>875.56</v>
      </c>
      <c r="H21" s="3222">
        <f>ROUND(D21/$D$23*[3]结果表!$G$19,0)</f>
        <v>4653</v>
      </c>
      <c r="I21" s="3222">
        <f t="shared" si="0"/>
        <v>3986</v>
      </c>
      <c r="J21" s="3222">
        <f t="shared" si="1"/>
        <v>2657</v>
      </c>
      <c r="K21" s="3231">
        <v>6</v>
      </c>
      <c r="L21" s="3225" t="s">
        <v>3428</v>
      </c>
      <c r="M21" s="3228">
        <v>41641</v>
      </c>
      <c r="N21" s="3227">
        <v>275</v>
      </c>
      <c r="O21" s="3228">
        <v>41844</v>
      </c>
      <c r="P21" s="3228">
        <v>42940</v>
      </c>
      <c r="Q21" s="3225" t="s">
        <v>3356</v>
      </c>
      <c r="R21" s="3228">
        <v>41830</v>
      </c>
      <c r="S21" s="3225" t="s">
        <v>3357</v>
      </c>
      <c r="T21" s="3227" t="s">
        <v>3266</v>
      </c>
      <c r="U21" s="3225" t="s">
        <v>3358</v>
      </c>
      <c r="V21" s="3226" t="s">
        <v>3359</v>
      </c>
      <c r="W21" s="3226" t="s">
        <v>3429</v>
      </c>
      <c r="X21" s="3227">
        <v>4082.9</v>
      </c>
      <c r="Y21" s="3227">
        <v>0.05</v>
      </c>
      <c r="Z21" s="3227">
        <v>204.15</v>
      </c>
    </row>
    <row r="22" spans="1:26" ht="44.25" thickBot="1">
      <c r="A22" s="3561"/>
      <c r="B22" s="3221" t="s">
        <v>3261</v>
      </c>
      <c r="C22" s="3222" t="s">
        <v>3262</v>
      </c>
      <c r="D22" s="3222">
        <v>10235.700000000001</v>
      </c>
      <c r="E22" s="3222">
        <v>11873.41</v>
      </c>
      <c r="F22" s="3222">
        <v>11279.74</v>
      </c>
      <c r="G22" s="3222">
        <v>593.66999999999996</v>
      </c>
      <c r="H22" s="3222">
        <f>ROUND(D22/$D$23*[3]结果表!$G$19,0)</f>
        <v>4079</v>
      </c>
      <c r="I22" s="3222">
        <f t="shared" si="0"/>
        <v>3985</v>
      </c>
      <c r="J22" s="3222">
        <f t="shared" si="1"/>
        <v>3435</v>
      </c>
      <c r="K22" s="3553">
        <v>7</v>
      </c>
      <c r="L22" s="3225" t="s">
        <v>3430</v>
      </c>
      <c r="M22" s="3228">
        <v>41641</v>
      </c>
      <c r="N22" s="3227">
        <v>608</v>
      </c>
      <c r="O22" s="3228">
        <v>41844</v>
      </c>
      <c r="P22" s="3228">
        <v>42940</v>
      </c>
      <c r="Q22" s="3225" t="s">
        <v>3360</v>
      </c>
      <c r="R22" s="3227" t="s">
        <v>3325</v>
      </c>
      <c r="S22" s="3225" t="s">
        <v>3361</v>
      </c>
      <c r="T22" s="3227" t="s">
        <v>3268</v>
      </c>
      <c r="U22" s="3225" t="s">
        <v>3362</v>
      </c>
      <c r="V22" s="3226" t="s">
        <v>3363</v>
      </c>
      <c r="W22" s="3226" t="s">
        <v>3431</v>
      </c>
      <c r="X22" s="3227">
        <v>5971</v>
      </c>
      <c r="Y22" s="3227">
        <v>2.5</v>
      </c>
      <c r="Z22" s="3227">
        <v>14927.5</v>
      </c>
    </row>
    <row r="23" spans="1:26" ht="66.75" thickBot="1">
      <c r="A23" s="3556" t="s">
        <v>27</v>
      </c>
      <c r="B23" s="3557"/>
      <c r="C23" s="3558"/>
      <c r="D23" s="3222">
        <v>80863.3</v>
      </c>
      <c r="E23" s="3222">
        <v>115913.23</v>
      </c>
      <c r="F23" s="3222">
        <v>110117.57</v>
      </c>
      <c r="G23" s="3222">
        <v>5795.66</v>
      </c>
      <c r="H23" s="3222">
        <f>ROUND(D23/$D$23*[3]结果表!$G$19,0)</f>
        <v>32228</v>
      </c>
      <c r="I23" s="3222">
        <f t="shared" si="0"/>
        <v>3985</v>
      </c>
      <c r="J23" s="3222">
        <f t="shared" si="1"/>
        <v>2780</v>
      </c>
      <c r="K23" s="3555"/>
      <c r="L23" s="3225" t="s">
        <v>3432</v>
      </c>
      <c r="M23" s="3228">
        <v>41641</v>
      </c>
      <c r="N23" s="3227">
        <v>1757</v>
      </c>
      <c r="O23" s="3228">
        <v>41844</v>
      </c>
      <c r="P23" s="3228">
        <v>42940</v>
      </c>
      <c r="Q23" s="3225" t="s">
        <v>3364</v>
      </c>
      <c r="R23" s="3227" t="s">
        <v>3325</v>
      </c>
      <c r="S23" s="3225" t="s">
        <v>3365</v>
      </c>
      <c r="T23" s="3227" t="s">
        <v>3270</v>
      </c>
      <c r="U23" s="3225" t="s">
        <v>3366</v>
      </c>
      <c r="V23" s="3226" t="s">
        <v>3363</v>
      </c>
      <c r="W23" s="3226" t="s">
        <v>3431</v>
      </c>
      <c r="X23" s="3227">
        <v>18631</v>
      </c>
      <c r="Y23" s="3227">
        <v>2.5</v>
      </c>
      <c r="Z23" s="3227">
        <v>46577.5</v>
      </c>
    </row>
    <row r="24" spans="1:26" ht="36" thickBot="1">
      <c r="A24" s="3559">
        <v>5</v>
      </c>
      <c r="B24" s="3221" t="s">
        <v>3263</v>
      </c>
      <c r="C24" s="3222" t="s">
        <v>3068</v>
      </c>
      <c r="D24" s="3222">
        <v>4514.2</v>
      </c>
      <c r="E24" s="3222">
        <v>6771.3</v>
      </c>
      <c r="F24" s="3222">
        <v>3453.36</v>
      </c>
      <c r="G24" s="3222">
        <v>3317.94</v>
      </c>
      <c r="H24" s="3222">
        <f>ROUND(D24/$D$26*[4]结果表!$G$19,0)</f>
        <v>1798</v>
      </c>
      <c r="I24" s="3222">
        <f t="shared" si="0"/>
        <v>3983</v>
      </c>
      <c r="J24" s="3222">
        <f t="shared" si="1"/>
        <v>2655</v>
      </c>
      <c r="K24" s="3553">
        <v>8</v>
      </c>
      <c r="L24" s="3225" t="s">
        <v>3433</v>
      </c>
      <c r="M24" s="3228">
        <v>41306</v>
      </c>
      <c r="N24" s="3227">
        <v>2274</v>
      </c>
      <c r="O24" s="3228">
        <v>41664</v>
      </c>
      <c r="P24" s="3228">
        <v>42760</v>
      </c>
      <c r="Q24" s="3225" t="s">
        <v>3367</v>
      </c>
      <c r="R24" s="3228">
        <v>41610</v>
      </c>
      <c r="S24" s="3225" t="s">
        <v>3368</v>
      </c>
      <c r="T24" s="3227" t="s">
        <v>3272</v>
      </c>
      <c r="U24" s="3225" t="s">
        <v>3369</v>
      </c>
      <c r="V24" s="3226" t="s">
        <v>3370</v>
      </c>
      <c r="W24" s="3226" t="s">
        <v>3434</v>
      </c>
      <c r="X24" s="3227">
        <v>37903.32</v>
      </c>
      <c r="Y24" s="3227">
        <v>1.5</v>
      </c>
      <c r="Z24" s="3227">
        <v>56854.98</v>
      </c>
    </row>
    <row r="25" spans="1:26" ht="36" thickBot="1">
      <c r="A25" s="3561"/>
      <c r="B25" s="3221" t="s">
        <v>3264</v>
      </c>
      <c r="C25" s="3222" t="s">
        <v>3073</v>
      </c>
      <c r="D25" s="3222">
        <v>5440.8</v>
      </c>
      <c r="E25" s="3222">
        <v>8161.2</v>
      </c>
      <c r="F25" s="3222">
        <v>4162.21</v>
      </c>
      <c r="G25" s="3222">
        <v>3998.99</v>
      </c>
      <c r="H25" s="3222">
        <f>ROUND(D25/$D$26*[4]结果表!$G$19,0)</f>
        <v>2167</v>
      </c>
      <c r="I25" s="3222">
        <f t="shared" si="0"/>
        <v>3983</v>
      </c>
      <c r="J25" s="3222">
        <f t="shared" si="1"/>
        <v>2655</v>
      </c>
      <c r="K25" s="3554"/>
      <c r="L25" s="3225" t="s">
        <v>3433</v>
      </c>
      <c r="M25" s="3228">
        <v>41306</v>
      </c>
      <c r="N25" s="3227">
        <v>1882</v>
      </c>
      <c r="O25" s="3228">
        <v>41664</v>
      </c>
      <c r="P25" s="3228">
        <v>42760</v>
      </c>
      <c r="Q25" s="3225" t="s">
        <v>3371</v>
      </c>
      <c r="R25" s="3228">
        <v>41610</v>
      </c>
      <c r="S25" s="3225" t="s">
        <v>3372</v>
      </c>
      <c r="T25" s="3227" t="s">
        <v>3274</v>
      </c>
      <c r="U25" s="3225" t="s">
        <v>3369</v>
      </c>
      <c r="V25" s="3226" t="s">
        <v>3370</v>
      </c>
      <c r="W25" s="3226" t="s">
        <v>3434</v>
      </c>
      <c r="X25" s="3227">
        <v>31365.8</v>
      </c>
      <c r="Y25" s="3227">
        <v>1.5</v>
      </c>
      <c r="Z25" s="3227">
        <v>47048.7</v>
      </c>
    </row>
    <row r="26" spans="1:26" ht="33.75" thickBot="1">
      <c r="A26" s="3556" t="s">
        <v>27</v>
      </c>
      <c r="B26" s="3557"/>
      <c r="C26" s="3558"/>
      <c r="D26" s="3222">
        <v>9955</v>
      </c>
      <c r="E26" s="3222">
        <v>14932.5</v>
      </c>
      <c r="F26" s="3222">
        <v>7615.57</v>
      </c>
      <c r="G26" s="3222">
        <v>7316.93</v>
      </c>
      <c r="H26" s="3222">
        <f>ROUND(D26/$D$26*[4]结果表!$G$19,0)</f>
        <v>3965</v>
      </c>
      <c r="I26" s="3222">
        <f t="shared" si="0"/>
        <v>3983</v>
      </c>
      <c r="J26" s="3222">
        <f t="shared" si="1"/>
        <v>2655</v>
      </c>
      <c r="K26" s="3554"/>
      <c r="L26" s="3225" t="s">
        <v>3433</v>
      </c>
      <c r="M26" s="3228">
        <v>41306</v>
      </c>
      <c r="N26" s="3227">
        <v>1361</v>
      </c>
      <c r="O26" s="3228">
        <v>41664</v>
      </c>
      <c r="P26" s="3228">
        <v>42760</v>
      </c>
      <c r="Q26" s="3225" t="s">
        <v>3373</v>
      </c>
      <c r="R26" s="3228">
        <v>41610</v>
      </c>
      <c r="S26" s="3225" t="s">
        <v>3374</v>
      </c>
      <c r="T26" s="3227" t="s">
        <v>3276</v>
      </c>
      <c r="U26" s="3225" t="s">
        <v>3369</v>
      </c>
      <c r="V26" s="3226" t="s">
        <v>3370</v>
      </c>
      <c r="W26" s="3226" t="s">
        <v>3434</v>
      </c>
      <c r="X26" s="3227">
        <v>22687.46</v>
      </c>
      <c r="Y26" s="3227">
        <v>1.5</v>
      </c>
      <c r="Z26" s="3227">
        <v>34031.19</v>
      </c>
    </row>
    <row r="27" spans="1:26" ht="36" thickBot="1">
      <c r="A27" s="3223">
        <v>6</v>
      </c>
      <c r="B27" s="3221" t="s">
        <v>3265</v>
      </c>
      <c r="C27" s="3222" t="s">
        <v>3266</v>
      </c>
      <c r="D27" s="3222">
        <v>4082.9</v>
      </c>
      <c r="E27" s="3222">
        <v>204.15</v>
      </c>
      <c r="F27" s="3222">
        <v>204.15</v>
      </c>
      <c r="G27" s="3222">
        <v>0</v>
      </c>
      <c r="H27" s="3222">
        <f>[5]结果表!$G$19</f>
        <v>521</v>
      </c>
      <c r="I27" s="3222">
        <f t="shared" si="0"/>
        <v>1276</v>
      </c>
      <c r="J27" s="3222">
        <f t="shared" si="1"/>
        <v>25520</v>
      </c>
      <c r="K27" s="3554"/>
      <c r="L27" s="3225" t="s">
        <v>3433</v>
      </c>
      <c r="M27" s="3228">
        <v>41306</v>
      </c>
      <c r="N27" s="3227">
        <v>2903</v>
      </c>
      <c r="O27" s="3228">
        <v>41664</v>
      </c>
      <c r="P27" s="3228">
        <v>42760</v>
      </c>
      <c r="Q27" s="3225" t="s">
        <v>3375</v>
      </c>
      <c r="R27" s="3228">
        <v>41606</v>
      </c>
      <c r="S27" s="3225" t="s">
        <v>3368</v>
      </c>
      <c r="T27" s="3227" t="s">
        <v>3278</v>
      </c>
      <c r="U27" s="3225" t="s">
        <v>3369</v>
      </c>
      <c r="V27" s="3226" t="s">
        <v>3370</v>
      </c>
      <c r="W27" s="3226" t="s">
        <v>3434</v>
      </c>
      <c r="X27" s="3227">
        <v>48388.13</v>
      </c>
      <c r="Y27" s="3227">
        <v>1.5</v>
      </c>
      <c r="Z27" s="3227">
        <v>72582.2</v>
      </c>
    </row>
    <row r="28" spans="1:26" ht="36" thickBot="1">
      <c r="A28" s="3559">
        <v>7</v>
      </c>
      <c r="B28" s="3221" t="s">
        <v>3267</v>
      </c>
      <c r="C28" s="3222" t="s">
        <v>3268</v>
      </c>
      <c r="D28" s="3222">
        <v>5971</v>
      </c>
      <c r="E28" s="3222">
        <v>14927.5</v>
      </c>
      <c r="F28" s="3222">
        <v>0</v>
      </c>
      <c r="G28" s="3222">
        <v>14927.5</v>
      </c>
      <c r="H28" s="3222">
        <f>ROUND(D28/$D$30*[6]结果表!$G$19,0)</f>
        <v>1131</v>
      </c>
      <c r="I28" s="3222">
        <f t="shared" si="0"/>
        <v>1894</v>
      </c>
      <c r="J28" s="3222">
        <f t="shared" si="1"/>
        <v>758</v>
      </c>
      <c r="K28" s="3554"/>
      <c r="L28" s="3225" t="s">
        <v>3433</v>
      </c>
      <c r="M28" s="3228">
        <v>41306</v>
      </c>
      <c r="N28" s="3227">
        <v>279</v>
      </c>
      <c r="O28" s="3228">
        <v>41664</v>
      </c>
      <c r="P28" s="3228">
        <v>42760</v>
      </c>
      <c r="Q28" s="3225" t="s">
        <v>3376</v>
      </c>
      <c r="R28" s="3228">
        <v>41606</v>
      </c>
      <c r="S28" s="3225" t="s">
        <v>3377</v>
      </c>
      <c r="T28" s="3227" t="s">
        <v>3280</v>
      </c>
      <c r="U28" s="3225" t="s">
        <v>3369</v>
      </c>
      <c r="V28" s="3226" t="s">
        <v>3370</v>
      </c>
      <c r="W28" s="3226" t="s">
        <v>3434</v>
      </c>
      <c r="X28" s="3227">
        <v>4658.03</v>
      </c>
      <c r="Y28" s="3227">
        <v>1.5</v>
      </c>
      <c r="Z28" s="3227">
        <v>6987.05</v>
      </c>
    </row>
    <row r="29" spans="1:26" ht="36" thickBot="1">
      <c r="A29" s="3561"/>
      <c r="B29" s="3221" t="s">
        <v>3269</v>
      </c>
      <c r="C29" s="3222" t="s">
        <v>3270</v>
      </c>
      <c r="D29" s="3222">
        <v>18631</v>
      </c>
      <c r="E29" s="3222">
        <v>46577.5</v>
      </c>
      <c r="F29" s="3222">
        <v>0</v>
      </c>
      <c r="G29" s="3222">
        <v>46577.5</v>
      </c>
      <c r="H29" s="3222">
        <f>ROUND(D29/$D$30*[6]结果表!$G$19,0)</f>
        <v>3530</v>
      </c>
      <c r="I29" s="3222">
        <f t="shared" si="0"/>
        <v>1895</v>
      </c>
      <c r="J29" s="3222">
        <f t="shared" si="1"/>
        <v>758</v>
      </c>
      <c r="K29" s="3555"/>
      <c r="L29" s="3225" t="s">
        <v>3433</v>
      </c>
      <c r="M29" s="3228">
        <v>41306</v>
      </c>
      <c r="N29" s="3227">
        <v>850</v>
      </c>
      <c r="O29" s="3228">
        <v>41664</v>
      </c>
      <c r="P29" s="3228">
        <v>42760</v>
      </c>
      <c r="Q29" s="3225" t="s">
        <v>3378</v>
      </c>
      <c r="R29" s="3228">
        <v>41513</v>
      </c>
      <c r="S29" s="3225" t="s">
        <v>3379</v>
      </c>
      <c r="T29" s="3227" t="s">
        <v>3282</v>
      </c>
      <c r="U29" s="3225" t="s">
        <v>3369</v>
      </c>
      <c r="V29" s="3226" t="s">
        <v>3370</v>
      </c>
      <c r="W29" s="3226" t="s">
        <v>3434</v>
      </c>
      <c r="X29" s="3227">
        <v>14170.91</v>
      </c>
      <c r="Y29" s="3227">
        <v>1.5</v>
      </c>
      <c r="Z29" s="3227">
        <v>21256.37</v>
      </c>
    </row>
    <row r="30" spans="1:26" ht="53.25" thickBot="1">
      <c r="A30" s="3556" t="s">
        <v>27</v>
      </c>
      <c r="B30" s="3557"/>
      <c r="C30" s="3558"/>
      <c r="D30" s="3222">
        <v>24602</v>
      </c>
      <c r="E30" s="3222">
        <v>61505</v>
      </c>
      <c r="F30" s="3222">
        <v>0</v>
      </c>
      <c r="G30" s="3222">
        <v>61505</v>
      </c>
      <c r="H30" s="3222">
        <f>ROUND(D30/$D$30*[6]结果表!$G$19,0)</f>
        <v>4661</v>
      </c>
      <c r="I30" s="3222">
        <f t="shared" si="0"/>
        <v>1895</v>
      </c>
      <c r="J30" s="3222">
        <f t="shared" si="1"/>
        <v>758</v>
      </c>
      <c r="K30" s="3553">
        <v>9</v>
      </c>
      <c r="L30" s="3225" t="s">
        <v>3435</v>
      </c>
      <c r="M30" s="3228">
        <v>42170</v>
      </c>
      <c r="N30" s="3227">
        <v>908</v>
      </c>
      <c r="O30" s="3228">
        <v>42525</v>
      </c>
      <c r="P30" s="3228">
        <v>43620</v>
      </c>
      <c r="Q30" s="3225" t="s">
        <v>3380</v>
      </c>
      <c r="R30" s="3228">
        <v>42401</v>
      </c>
      <c r="S30" s="3225" t="s">
        <v>3381</v>
      </c>
      <c r="T30" s="3227" t="s">
        <v>3284</v>
      </c>
      <c r="U30" s="3225" t="s">
        <v>3382</v>
      </c>
      <c r="V30" s="3226" t="s">
        <v>3383</v>
      </c>
      <c r="W30" s="3226" t="s">
        <v>3436</v>
      </c>
      <c r="X30" s="3227">
        <v>13971.7</v>
      </c>
      <c r="Y30" s="3227">
        <v>0.8</v>
      </c>
      <c r="Z30" s="3227">
        <v>11177.36</v>
      </c>
    </row>
    <row r="31" spans="1:26" ht="53.25" thickBot="1">
      <c r="A31" s="3559">
        <v>8</v>
      </c>
      <c r="B31" s="3221" t="s">
        <v>3271</v>
      </c>
      <c r="C31" s="3222" t="s">
        <v>3272</v>
      </c>
      <c r="D31" s="3222">
        <v>37903.32</v>
      </c>
      <c r="E31" s="3222">
        <v>56854.98</v>
      </c>
      <c r="F31" s="3222">
        <v>0</v>
      </c>
      <c r="G31" s="3222">
        <v>56854.98</v>
      </c>
      <c r="H31" s="3222">
        <f>ROUND(D31/$D$37*[7]结果表!$G$19,0)</f>
        <v>4830</v>
      </c>
      <c r="I31" s="3222">
        <f t="shared" si="0"/>
        <v>1274</v>
      </c>
      <c r="J31" s="3222">
        <f t="shared" si="1"/>
        <v>850</v>
      </c>
      <c r="K31" s="3554"/>
      <c r="L31" s="3225" t="s">
        <v>3437</v>
      </c>
      <c r="M31" s="3228">
        <v>42170</v>
      </c>
      <c r="N31" s="3227">
        <v>455</v>
      </c>
      <c r="O31" s="3228">
        <v>42525</v>
      </c>
      <c r="P31" s="3228">
        <v>43620</v>
      </c>
      <c r="Q31" s="3225" t="s">
        <v>3384</v>
      </c>
      <c r="R31" s="3228">
        <v>42401</v>
      </c>
      <c r="S31" s="3225" t="s">
        <v>3385</v>
      </c>
      <c r="T31" s="3227" t="s">
        <v>3286</v>
      </c>
      <c r="U31" s="3225" t="s">
        <v>3382</v>
      </c>
      <c r="V31" s="3226" t="s">
        <v>3383</v>
      </c>
      <c r="W31" s="3226" t="s">
        <v>3436</v>
      </c>
      <c r="X31" s="3227">
        <v>7000.5</v>
      </c>
      <c r="Y31" s="3227">
        <v>0.8</v>
      </c>
      <c r="Z31" s="3227">
        <v>5600.4</v>
      </c>
    </row>
    <row r="32" spans="1:26" ht="53.25" thickBot="1">
      <c r="A32" s="3560"/>
      <c r="B32" s="3221" t="s">
        <v>3273</v>
      </c>
      <c r="C32" s="3222" t="s">
        <v>3274</v>
      </c>
      <c r="D32" s="3222">
        <v>31365.8</v>
      </c>
      <c r="E32" s="3222">
        <v>47048.7</v>
      </c>
      <c r="F32" s="3222">
        <v>0</v>
      </c>
      <c r="G32" s="3222">
        <v>47048.7</v>
      </c>
      <c r="H32" s="3222">
        <f>ROUND(D32/$D$37*[7]结果表!$G$19,0)</f>
        <v>3997</v>
      </c>
      <c r="I32" s="3222">
        <f t="shared" si="0"/>
        <v>1274</v>
      </c>
      <c r="J32" s="3222">
        <f t="shared" si="1"/>
        <v>850</v>
      </c>
      <c r="K32" s="3554"/>
      <c r="L32" s="3225" t="s">
        <v>3438</v>
      </c>
      <c r="M32" s="3228">
        <v>42170</v>
      </c>
      <c r="N32" s="3227">
        <v>281</v>
      </c>
      <c r="O32" s="3228">
        <v>42525</v>
      </c>
      <c r="P32" s="3228">
        <v>43620</v>
      </c>
      <c r="Q32" s="3225" t="s">
        <v>3386</v>
      </c>
      <c r="R32" s="3228">
        <v>42401</v>
      </c>
      <c r="S32" s="3225" t="s">
        <v>3387</v>
      </c>
      <c r="T32" s="3227" t="s">
        <v>3288</v>
      </c>
      <c r="U32" s="3225" t="s">
        <v>3382</v>
      </c>
      <c r="V32" s="3226" t="s">
        <v>3383</v>
      </c>
      <c r="W32" s="3226" t="s">
        <v>3436</v>
      </c>
      <c r="X32" s="3227">
        <v>4329.3999999999996</v>
      </c>
      <c r="Y32" s="3227">
        <v>0.8</v>
      </c>
      <c r="Z32" s="3227">
        <v>3463.52</v>
      </c>
    </row>
    <row r="33" spans="1:26" ht="53.25" thickBot="1">
      <c r="A33" s="3560"/>
      <c r="B33" s="3221" t="s">
        <v>3275</v>
      </c>
      <c r="C33" s="3222" t="s">
        <v>3276</v>
      </c>
      <c r="D33" s="3222">
        <v>22687.46</v>
      </c>
      <c r="E33" s="3222">
        <v>34031.19</v>
      </c>
      <c r="F33" s="3222">
        <v>0</v>
      </c>
      <c r="G33" s="3222">
        <v>34031.19</v>
      </c>
      <c r="H33" s="3222">
        <f>ROUND(D33/$D$37*[7]结果表!$G$19,0)</f>
        <v>2891</v>
      </c>
      <c r="I33" s="3222">
        <f t="shared" si="0"/>
        <v>1274</v>
      </c>
      <c r="J33" s="3222">
        <f t="shared" si="1"/>
        <v>850</v>
      </c>
      <c r="K33" s="3554"/>
      <c r="L33" s="3225" t="s">
        <v>3439</v>
      </c>
      <c r="M33" s="3228">
        <v>42170</v>
      </c>
      <c r="N33" s="3227">
        <v>233</v>
      </c>
      <c r="O33" s="3228">
        <v>42525</v>
      </c>
      <c r="P33" s="3228">
        <v>43620</v>
      </c>
      <c r="Q33" s="3225" t="s">
        <v>3388</v>
      </c>
      <c r="R33" s="3228">
        <v>42401</v>
      </c>
      <c r="S33" s="3225" t="s">
        <v>3389</v>
      </c>
      <c r="T33" s="3227" t="s">
        <v>3290</v>
      </c>
      <c r="U33" s="3225" t="s">
        <v>3382</v>
      </c>
      <c r="V33" s="3226" t="s">
        <v>3383</v>
      </c>
      <c r="W33" s="3226" t="s">
        <v>3436</v>
      </c>
      <c r="X33" s="3227">
        <v>3583.9</v>
      </c>
      <c r="Y33" s="3227">
        <v>0.8</v>
      </c>
      <c r="Z33" s="3227">
        <v>2867.12</v>
      </c>
    </row>
    <row r="34" spans="1:26" ht="63.75" thickBot="1">
      <c r="A34" s="3560"/>
      <c r="B34" s="3221" t="s">
        <v>3277</v>
      </c>
      <c r="C34" s="3222" t="s">
        <v>3278</v>
      </c>
      <c r="D34" s="3222">
        <v>48388.13</v>
      </c>
      <c r="E34" s="3222">
        <v>72582.2</v>
      </c>
      <c r="F34" s="3222">
        <v>0</v>
      </c>
      <c r="G34" s="3222">
        <v>72582.2</v>
      </c>
      <c r="H34" s="3222">
        <f>ROUND(D34/$D$37*[7]结果表!$G$19,0)</f>
        <v>6166</v>
      </c>
      <c r="I34" s="3222">
        <f t="shared" si="0"/>
        <v>1274</v>
      </c>
      <c r="J34" s="3222">
        <f t="shared" si="1"/>
        <v>850</v>
      </c>
      <c r="K34" s="3554"/>
      <c r="L34" s="3226" t="s">
        <v>3440</v>
      </c>
      <c r="M34" s="3232">
        <v>42373</v>
      </c>
      <c r="N34" s="3233">
        <v>4132</v>
      </c>
      <c r="O34" s="3232">
        <v>42727</v>
      </c>
      <c r="P34" s="3232">
        <v>43822</v>
      </c>
      <c r="Q34" s="3225" t="s">
        <v>3390</v>
      </c>
      <c r="R34" s="3228">
        <v>42555</v>
      </c>
      <c r="S34" s="3225" t="s">
        <v>3391</v>
      </c>
      <c r="T34" s="3227" t="s">
        <v>3292</v>
      </c>
      <c r="U34" s="3225" t="s">
        <v>3392</v>
      </c>
      <c r="V34" s="3226" t="s">
        <v>3393</v>
      </c>
      <c r="W34" s="3226" t="s">
        <v>3441</v>
      </c>
      <c r="X34" s="3227">
        <v>60488</v>
      </c>
      <c r="Y34" s="3227">
        <v>0.8</v>
      </c>
      <c r="Z34" s="3227">
        <v>48390.400000000001</v>
      </c>
    </row>
    <row r="35" spans="1:26" ht="36" thickBot="1">
      <c r="A35" s="3560"/>
      <c r="B35" s="3221" t="s">
        <v>3279</v>
      </c>
      <c r="C35" s="3222" t="s">
        <v>3280</v>
      </c>
      <c r="D35" s="3222">
        <v>4658.03</v>
      </c>
      <c r="E35" s="3222">
        <v>6987.05</v>
      </c>
      <c r="F35" s="3222">
        <v>0</v>
      </c>
      <c r="G35" s="3222">
        <v>6987.05</v>
      </c>
      <c r="H35" s="3222">
        <f>ROUND(D35/$D$37*[7]结果表!$G$19,0)</f>
        <v>594</v>
      </c>
      <c r="I35" s="3222">
        <f t="shared" si="0"/>
        <v>1275</v>
      </c>
      <c r="J35" s="3222">
        <f t="shared" si="1"/>
        <v>850</v>
      </c>
      <c r="K35" s="3554"/>
      <c r="L35" s="3225" t="s">
        <v>3442</v>
      </c>
      <c r="M35" s="3228">
        <v>42373</v>
      </c>
      <c r="N35" s="3227">
        <v>398</v>
      </c>
      <c r="O35" s="3228">
        <v>42727</v>
      </c>
      <c r="P35" s="3228">
        <v>43822</v>
      </c>
      <c r="Q35" s="3225" t="s">
        <v>3394</v>
      </c>
      <c r="R35" s="3228">
        <v>42555</v>
      </c>
      <c r="S35" s="3225" t="s">
        <v>3391</v>
      </c>
      <c r="T35" s="3227" t="s">
        <v>3294</v>
      </c>
      <c r="U35" s="3225" t="s">
        <v>3395</v>
      </c>
      <c r="V35" s="3226" t="s">
        <v>3393</v>
      </c>
      <c r="W35" s="3226" t="s">
        <v>3441</v>
      </c>
      <c r="X35" s="3227">
        <v>5845.8</v>
      </c>
      <c r="Y35" s="3227">
        <v>0.8</v>
      </c>
      <c r="Z35" s="3227">
        <v>4676.6400000000003</v>
      </c>
    </row>
    <row r="36" spans="1:26" ht="63.75" thickBot="1">
      <c r="A36" s="3561"/>
      <c r="B36" s="3221" t="s">
        <v>3281</v>
      </c>
      <c r="C36" s="3222" t="s">
        <v>3282</v>
      </c>
      <c r="D36" s="3222">
        <v>14170.91</v>
      </c>
      <c r="E36" s="3222">
        <v>21256.37</v>
      </c>
      <c r="F36" s="3222">
        <v>0</v>
      </c>
      <c r="G36" s="3222">
        <v>21256.37</v>
      </c>
      <c r="H36" s="3222">
        <f>ROUND(D36/$D$37*[7]结果表!$G$19,0)</f>
        <v>1806</v>
      </c>
      <c r="I36" s="3222">
        <f t="shared" si="0"/>
        <v>1274</v>
      </c>
      <c r="J36" s="3222">
        <f t="shared" si="1"/>
        <v>850</v>
      </c>
      <c r="K36" s="3554"/>
      <c r="L36" s="3226" t="s">
        <v>3443</v>
      </c>
      <c r="M36" s="3232">
        <v>42373</v>
      </c>
      <c r="N36" s="3233">
        <v>2069</v>
      </c>
      <c r="O36" s="3232">
        <v>42727</v>
      </c>
      <c r="P36" s="3232">
        <v>43822</v>
      </c>
      <c r="Q36" s="3225" t="s">
        <v>3396</v>
      </c>
      <c r="R36" s="3228">
        <v>42555</v>
      </c>
      <c r="S36" s="3225" t="s">
        <v>3391</v>
      </c>
      <c r="T36" s="3227" t="s">
        <v>3296</v>
      </c>
      <c r="U36" s="3225" t="s">
        <v>3392</v>
      </c>
      <c r="V36" s="3226" t="s">
        <v>3393</v>
      </c>
      <c r="W36" s="3226" t="s">
        <v>3441</v>
      </c>
      <c r="X36" s="3227">
        <v>30778.799999999999</v>
      </c>
      <c r="Y36" s="3227">
        <v>0.6</v>
      </c>
      <c r="Z36" s="3227">
        <v>18467.28</v>
      </c>
    </row>
    <row r="37" spans="1:26" ht="63.75" thickBot="1">
      <c r="A37" s="3556" t="s">
        <v>27</v>
      </c>
      <c r="B37" s="3557"/>
      <c r="C37" s="3558"/>
      <c r="D37" s="3222">
        <v>159173.70000000001</v>
      </c>
      <c r="E37" s="3222">
        <v>238760.49</v>
      </c>
      <c r="F37" s="3222">
        <v>0</v>
      </c>
      <c r="G37" s="3222">
        <v>238760.49</v>
      </c>
      <c r="H37" s="3222">
        <f>ROUND(D37/$D$37*[7]结果表!$G$19,0)</f>
        <v>20283</v>
      </c>
      <c r="I37" s="3222">
        <f t="shared" si="0"/>
        <v>1274</v>
      </c>
      <c r="J37" s="3222">
        <f t="shared" si="1"/>
        <v>850</v>
      </c>
      <c r="K37" s="3554"/>
      <c r="L37" s="3226" t="s">
        <v>3444</v>
      </c>
      <c r="M37" s="3232">
        <v>42373</v>
      </c>
      <c r="N37" s="3233">
        <v>3246</v>
      </c>
      <c r="O37" s="3232">
        <v>42727</v>
      </c>
      <c r="P37" s="3232">
        <v>43822</v>
      </c>
      <c r="Q37" s="3225" t="s">
        <v>3397</v>
      </c>
      <c r="R37" s="3228">
        <v>42555</v>
      </c>
      <c r="S37" s="3225" t="s">
        <v>3398</v>
      </c>
      <c r="T37" s="3227" t="s">
        <v>3298</v>
      </c>
      <c r="U37" s="3225" t="s">
        <v>3392</v>
      </c>
      <c r="V37" s="3226" t="s">
        <v>3393</v>
      </c>
      <c r="W37" s="3226" t="s">
        <v>3441</v>
      </c>
      <c r="X37" s="3227">
        <v>48004.4</v>
      </c>
      <c r="Y37" s="3227">
        <v>0.8</v>
      </c>
      <c r="Z37" s="3227">
        <v>38403.519999999997</v>
      </c>
    </row>
    <row r="38" spans="1:26" ht="63.75" thickBot="1">
      <c r="A38" s="3559">
        <v>9</v>
      </c>
      <c r="B38" s="3221" t="s">
        <v>3283</v>
      </c>
      <c r="C38" s="3222" t="s">
        <v>3284</v>
      </c>
      <c r="D38" s="3222">
        <v>13971.7</v>
      </c>
      <c r="E38" s="3222">
        <v>11177.36</v>
      </c>
      <c r="F38" s="3222">
        <v>0</v>
      </c>
      <c r="G38" s="3222">
        <v>11177.36</v>
      </c>
      <c r="H38" s="3222">
        <f ca="1">ROUND(D38/$D$49*[8]结果表!$G$19,0)</f>
        <v>1593</v>
      </c>
      <c r="I38" s="3222">
        <f t="shared" ref="I38:I49" ca="1" si="2">ROUND(H38/D38*10000,0)</f>
        <v>1140</v>
      </c>
      <c r="J38" s="3222">
        <f t="shared" ref="J38:J49" ca="1" si="3">ROUND(H38/E38*10000,0)</f>
        <v>1425</v>
      </c>
      <c r="K38" s="3554"/>
      <c r="L38" s="3226" t="s">
        <v>3445</v>
      </c>
      <c r="M38" s="3232">
        <v>42373</v>
      </c>
      <c r="N38" s="3233">
        <v>1728</v>
      </c>
      <c r="O38" s="3232">
        <v>42727</v>
      </c>
      <c r="P38" s="3232">
        <v>43822</v>
      </c>
      <c r="Q38" s="3225" t="s">
        <v>3399</v>
      </c>
      <c r="R38" s="3228">
        <v>42555</v>
      </c>
      <c r="S38" s="3225" t="s">
        <v>3398</v>
      </c>
      <c r="T38" s="3227" t="s">
        <v>3300</v>
      </c>
      <c r="U38" s="3225" t="s">
        <v>3392</v>
      </c>
      <c r="V38" s="3226" t="s">
        <v>3393</v>
      </c>
      <c r="W38" s="3226" t="s">
        <v>3441</v>
      </c>
      <c r="X38" s="3227">
        <v>25657.599999999999</v>
      </c>
      <c r="Y38" s="3227">
        <v>0.8</v>
      </c>
      <c r="Z38" s="3227">
        <v>20526.080000000002</v>
      </c>
    </row>
    <row r="39" spans="1:26" ht="36" thickBot="1">
      <c r="A39" s="3560"/>
      <c r="B39" s="3221" t="s">
        <v>3285</v>
      </c>
      <c r="C39" s="3222" t="s">
        <v>3286</v>
      </c>
      <c r="D39" s="3222">
        <v>7000.5</v>
      </c>
      <c r="E39" s="3222">
        <v>5600.4</v>
      </c>
      <c r="F39" s="3222">
        <v>0</v>
      </c>
      <c r="G39" s="3222">
        <v>5600.4</v>
      </c>
      <c r="H39" s="3222">
        <f ca="1">ROUND(D39/$D$49*[8]结果表!$G$19,0)</f>
        <v>798</v>
      </c>
      <c r="I39" s="3222">
        <f t="shared" ca="1" si="2"/>
        <v>1140</v>
      </c>
      <c r="J39" s="3222">
        <f t="shared" ca="1" si="3"/>
        <v>1425</v>
      </c>
      <c r="K39" s="3554"/>
      <c r="L39" s="3225" t="s">
        <v>3446</v>
      </c>
      <c r="M39" s="3228">
        <v>42373</v>
      </c>
      <c r="N39" s="3227">
        <v>265</v>
      </c>
      <c r="O39" s="3228">
        <v>42727</v>
      </c>
      <c r="P39" s="3228">
        <v>43822</v>
      </c>
      <c r="Q39" s="3225" t="s">
        <v>3400</v>
      </c>
      <c r="R39" s="3228">
        <v>42555</v>
      </c>
      <c r="S39" s="3225" t="s">
        <v>3401</v>
      </c>
      <c r="T39" s="3227" t="s">
        <v>3302</v>
      </c>
      <c r="U39" s="3225" t="s">
        <v>3395</v>
      </c>
      <c r="V39" s="3226" t="s">
        <v>3393</v>
      </c>
      <c r="W39" s="3226" t="s">
        <v>3441</v>
      </c>
      <c r="X39" s="3227">
        <v>3886</v>
      </c>
      <c r="Y39" s="3227">
        <v>0.8</v>
      </c>
      <c r="Z39" s="3227">
        <v>3108.8</v>
      </c>
    </row>
    <row r="40" spans="1:26" ht="36" thickBot="1">
      <c r="A40" s="3560"/>
      <c r="B40" s="3221" t="s">
        <v>3287</v>
      </c>
      <c r="C40" s="3222" t="s">
        <v>3288</v>
      </c>
      <c r="D40" s="3222">
        <v>4329.3999999999996</v>
      </c>
      <c r="E40" s="3222">
        <v>3463.52</v>
      </c>
      <c r="F40" s="3222">
        <v>0</v>
      </c>
      <c r="G40" s="3222">
        <v>3463.52</v>
      </c>
      <c r="H40" s="3222">
        <f ca="1">ROUND(D40/$D$49*[8]结果表!$G$19,0)</f>
        <v>494</v>
      </c>
      <c r="I40" s="3222">
        <f t="shared" ca="1" si="2"/>
        <v>1141</v>
      </c>
      <c r="J40" s="3222">
        <f t="shared" ca="1" si="3"/>
        <v>1426</v>
      </c>
      <c r="K40" s="3555"/>
      <c r="L40" s="3225" t="s">
        <v>3447</v>
      </c>
      <c r="M40" s="3228">
        <v>42373</v>
      </c>
      <c r="N40" s="3227">
        <v>448</v>
      </c>
      <c r="O40" s="3228">
        <v>42727</v>
      </c>
      <c r="P40" s="3228">
        <v>43822</v>
      </c>
      <c r="Q40" s="3225" t="s">
        <v>3402</v>
      </c>
      <c r="R40" s="3228">
        <v>42555</v>
      </c>
      <c r="S40" s="3225" t="s">
        <v>3401</v>
      </c>
      <c r="T40" s="3227" t="s">
        <v>3304</v>
      </c>
      <c r="U40" s="3225" t="s">
        <v>3395</v>
      </c>
      <c r="V40" s="3226" t="s">
        <v>3393</v>
      </c>
      <c r="W40" s="3226" t="s">
        <v>3441</v>
      </c>
      <c r="X40" s="3227">
        <v>6587.9</v>
      </c>
      <c r="Y40" s="3227">
        <v>0.8</v>
      </c>
      <c r="Z40" s="3227">
        <v>5270.32</v>
      </c>
    </row>
    <row r="41" spans="1:26" ht="36" thickBot="1">
      <c r="A41" s="3560"/>
      <c r="B41" s="3221" t="s">
        <v>3289</v>
      </c>
      <c r="C41" s="3222" t="s">
        <v>3290</v>
      </c>
      <c r="D41" s="3222">
        <v>3583.9</v>
      </c>
      <c r="E41" s="3222">
        <v>2867.12</v>
      </c>
      <c r="F41" s="3222">
        <v>0</v>
      </c>
      <c r="G41" s="3222">
        <v>2867.12</v>
      </c>
      <c r="H41" s="3222">
        <f ca="1">ROUND(D41/$D$49*[8]结果表!$G$19,0)</f>
        <v>409</v>
      </c>
      <c r="I41" s="3222">
        <f t="shared" ca="1" si="2"/>
        <v>1141</v>
      </c>
      <c r="J41" s="3222">
        <f t="shared" ca="1" si="3"/>
        <v>1427</v>
      </c>
      <c r="K41" s="3234" t="s">
        <v>24</v>
      </c>
      <c r="L41" s="3225" t="s">
        <v>3448</v>
      </c>
      <c r="M41" s="3225" t="s">
        <v>3448</v>
      </c>
      <c r="N41" s="3227">
        <v>56645</v>
      </c>
      <c r="O41" s="3225" t="s">
        <v>3448</v>
      </c>
      <c r="P41" s="3225" t="s">
        <v>3448</v>
      </c>
      <c r="Q41" s="3225" t="s">
        <v>3448</v>
      </c>
      <c r="R41" s="3225" t="s">
        <v>3448</v>
      </c>
      <c r="S41" s="3225" t="s">
        <v>3448</v>
      </c>
      <c r="T41" s="3225" t="s">
        <v>3448</v>
      </c>
      <c r="U41" s="3225" t="s">
        <v>3448</v>
      </c>
      <c r="V41" s="3225" t="s">
        <v>3448</v>
      </c>
      <c r="W41" s="3225" t="s">
        <v>3448</v>
      </c>
      <c r="X41" s="3227">
        <v>729273.5</v>
      </c>
      <c r="Y41" s="3225" t="s">
        <v>3448</v>
      </c>
      <c r="Z41" s="3227">
        <v>1250503.1299999999</v>
      </c>
    </row>
    <row r="42" spans="1:26" ht="36" thickBot="1">
      <c r="A42" s="3560"/>
      <c r="B42" s="3221" t="s">
        <v>3291</v>
      </c>
      <c r="C42" s="3222" t="s">
        <v>3292</v>
      </c>
      <c r="D42" s="3222">
        <v>60488</v>
      </c>
      <c r="E42" s="3222">
        <v>48390.400000000001</v>
      </c>
      <c r="F42" s="3222">
        <v>0</v>
      </c>
      <c r="G42" s="3222">
        <v>48390.400000000001</v>
      </c>
      <c r="H42" s="3222">
        <f ca="1">ROUND(D42/$D$49*[8]结果表!$G$19,0)</f>
        <v>6898</v>
      </c>
      <c r="I42" s="3222">
        <f t="shared" ca="1" si="2"/>
        <v>1140</v>
      </c>
      <c r="J42" s="3222">
        <f t="shared" ca="1" si="3"/>
        <v>1425</v>
      </c>
    </row>
    <row r="43" spans="1:26" ht="36" thickBot="1">
      <c r="A43" s="3560"/>
      <c r="B43" s="3221" t="s">
        <v>3293</v>
      </c>
      <c r="C43" s="3222" t="s">
        <v>3294</v>
      </c>
      <c r="D43" s="3222">
        <v>5845.8</v>
      </c>
      <c r="E43" s="3222">
        <v>4676.6400000000003</v>
      </c>
      <c r="F43" s="3222">
        <v>0</v>
      </c>
      <c r="G43" s="3222">
        <v>4676.6400000000003</v>
      </c>
      <c r="H43" s="3222">
        <f ca="1">ROUND(D43/$D$49*[8]结果表!$G$19,0)</f>
        <v>667</v>
      </c>
      <c r="I43" s="3222">
        <f t="shared" ca="1" si="2"/>
        <v>1141</v>
      </c>
      <c r="J43" s="3222">
        <f t="shared" ca="1" si="3"/>
        <v>1426</v>
      </c>
    </row>
    <row r="44" spans="1:26" ht="36" thickBot="1">
      <c r="A44" s="3560"/>
      <c r="B44" s="3221" t="s">
        <v>3295</v>
      </c>
      <c r="C44" s="3222" t="s">
        <v>3296</v>
      </c>
      <c r="D44" s="3222">
        <v>30778.799999999999</v>
      </c>
      <c r="E44" s="3222">
        <v>18467.28</v>
      </c>
      <c r="F44" s="3222">
        <v>0</v>
      </c>
      <c r="G44" s="3222">
        <v>18467.28</v>
      </c>
      <c r="H44" s="3222">
        <f ca="1">ROUND(D44/$D$49*[8]结果表!$G$19,0)</f>
        <v>3510</v>
      </c>
      <c r="I44" s="3222">
        <f t="shared" ca="1" si="2"/>
        <v>1140</v>
      </c>
      <c r="J44" s="3222">
        <f t="shared" ca="1" si="3"/>
        <v>1901</v>
      </c>
    </row>
    <row r="45" spans="1:26" ht="36" thickBot="1">
      <c r="A45" s="3560"/>
      <c r="B45" s="3221" t="s">
        <v>3297</v>
      </c>
      <c r="C45" s="3222" t="s">
        <v>3298</v>
      </c>
      <c r="D45" s="3222">
        <v>48004.4</v>
      </c>
      <c r="E45" s="3222">
        <v>38403.519999999997</v>
      </c>
      <c r="F45" s="3222">
        <v>0</v>
      </c>
      <c r="G45" s="3222">
        <v>38403.519999999997</v>
      </c>
      <c r="H45" s="3222">
        <f ca="1">ROUND(D45/$D$49*[8]结果表!$G$19,0)</f>
        <v>5475</v>
      </c>
      <c r="I45" s="3222">
        <f t="shared" ca="1" si="2"/>
        <v>1141</v>
      </c>
      <c r="J45" s="3222">
        <f t="shared" ca="1" si="3"/>
        <v>1426</v>
      </c>
    </row>
    <row r="46" spans="1:26" ht="36" thickBot="1">
      <c r="A46" s="3560"/>
      <c r="B46" s="3221" t="s">
        <v>3299</v>
      </c>
      <c r="C46" s="3222" t="s">
        <v>3300</v>
      </c>
      <c r="D46" s="3222">
        <v>25657.599999999999</v>
      </c>
      <c r="E46" s="3222">
        <v>20526.080000000002</v>
      </c>
      <c r="F46" s="3222">
        <v>0</v>
      </c>
      <c r="G46" s="3222">
        <v>20526.080000000002</v>
      </c>
      <c r="H46" s="3222">
        <f ca="1">ROUND(D46/$D$49*[8]结果表!$G$19,0)</f>
        <v>2926</v>
      </c>
      <c r="I46" s="3222">
        <f t="shared" ca="1" si="2"/>
        <v>1140</v>
      </c>
      <c r="J46" s="3222">
        <f t="shared" ca="1" si="3"/>
        <v>1426</v>
      </c>
    </row>
    <row r="47" spans="1:26" ht="36" thickBot="1">
      <c r="A47" s="3560"/>
      <c r="B47" s="3221" t="s">
        <v>3301</v>
      </c>
      <c r="C47" s="3222" t="s">
        <v>3302</v>
      </c>
      <c r="D47" s="3222">
        <v>3886</v>
      </c>
      <c r="E47" s="3222">
        <v>3108.8</v>
      </c>
      <c r="F47" s="3222">
        <v>0</v>
      </c>
      <c r="G47" s="3222">
        <v>3108.8</v>
      </c>
      <c r="H47" s="3222">
        <f ca="1">ROUND(D47/$D$49*[8]结果表!$G$19,0)</f>
        <v>443</v>
      </c>
      <c r="I47" s="3222">
        <f t="shared" ca="1" si="2"/>
        <v>1140</v>
      </c>
      <c r="J47" s="3222">
        <f t="shared" ca="1" si="3"/>
        <v>1425</v>
      </c>
    </row>
    <row r="48" spans="1:26" ht="36" thickBot="1">
      <c r="A48" s="3561"/>
      <c r="B48" s="3221" t="s">
        <v>3303</v>
      </c>
      <c r="C48" s="3222" t="s">
        <v>3304</v>
      </c>
      <c r="D48" s="3222">
        <v>6587.9</v>
      </c>
      <c r="E48" s="3222">
        <v>5270.32</v>
      </c>
      <c r="F48" s="3222">
        <v>0</v>
      </c>
      <c r="G48" s="3222">
        <v>5270.32</v>
      </c>
      <c r="H48" s="3222">
        <f ca="1">ROUND(D48/$D$49*[8]结果表!$G$19,0)</f>
        <v>751</v>
      </c>
      <c r="I48" s="3222">
        <f t="shared" ca="1" si="2"/>
        <v>1140</v>
      </c>
      <c r="J48" s="3222">
        <f t="shared" ca="1" si="3"/>
        <v>1425</v>
      </c>
    </row>
    <row r="49" spans="1:10" ht="14.25" thickBot="1">
      <c r="A49" s="3556" t="s">
        <v>27</v>
      </c>
      <c r="B49" s="3557"/>
      <c r="C49" s="3558"/>
      <c r="D49" s="3222">
        <v>210134</v>
      </c>
      <c r="E49" s="3222">
        <v>161951.44</v>
      </c>
      <c r="F49" s="3222">
        <v>0</v>
      </c>
      <c r="G49" s="3222">
        <v>161951.44</v>
      </c>
      <c r="H49" s="3222">
        <f ca="1">ROUND(D49/$D$49*[8]结果表!$G$19,0)</f>
        <v>23965</v>
      </c>
      <c r="I49" s="3222">
        <f t="shared" ca="1" si="2"/>
        <v>1140</v>
      </c>
      <c r="J49" s="3222">
        <f t="shared" ca="1" si="3"/>
        <v>1480</v>
      </c>
    </row>
    <row r="50" spans="1:10" ht="14.25" thickBot="1">
      <c r="A50" s="3556" t="s">
        <v>24</v>
      </c>
      <c r="B50" s="3557"/>
      <c r="C50" s="3558"/>
      <c r="D50" s="3222"/>
      <c r="E50" s="3222"/>
      <c r="F50" s="3222"/>
      <c r="G50" s="3222"/>
      <c r="H50" s="3220"/>
      <c r="I50" s="3220"/>
    </row>
  </sheetData>
  <mergeCells count="32">
    <mergeCell ref="A14:A17"/>
    <mergeCell ref="A1:A2"/>
    <mergeCell ref="B1:B2"/>
    <mergeCell ref="C1:C2"/>
    <mergeCell ref="D1:D2"/>
    <mergeCell ref="G1:G2"/>
    <mergeCell ref="A3:A5"/>
    <mergeCell ref="A6:C6"/>
    <mergeCell ref="A7:A12"/>
    <mergeCell ref="A13:C13"/>
    <mergeCell ref="E1:E2"/>
    <mergeCell ref="F1:F2"/>
    <mergeCell ref="A50:C50"/>
    <mergeCell ref="A18:C18"/>
    <mergeCell ref="A19:A22"/>
    <mergeCell ref="A23:C23"/>
    <mergeCell ref="A24:A25"/>
    <mergeCell ref="A26:C26"/>
    <mergeCell ref="A28:A29"/>
    <mergeCell ref="A30:C30"/>
    <mergeCell ref="A31:A36"/>
    <mergeCell ref="A37:C37"/>
    <mergeCell ref="A38:A48"/>
    <mergeCell ref="A49:C49"/>
    <mergeCell ref="K24:K29"/>
    <mergeCell ref="K30:K40"/>
    <mergeCell ref="K2:K4"/>
    <mergeCell ref="K5:K10"/>
    <mergeCell ref="K11:K14"/>
    <mergeCell ref="K15:K18"/>
    <mergeCell ref="K19:K20"/>
    <mergeCell ref="K22:K23"/>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M9" sqref="M9"/>
    </sheetView>
  </sheetViews>
  <sheetFormatPr defaultRowHeight="13.5"/>
  <cols>
    <col min="5" max="6" width="9.5" bestFit="1" customWidth="1"/>
  </cols>
  <sheetData>
    <row r="1" spans="1:6">
      <c r="A1" s="3567" t="s">
        <v>3459</v>
      </c>
      <c r="B1" s="3567"/>
      <c r="C1" s="3235" t="s">
        <v>3460</v>
      </c>
      <c r="D1" s="3236" t="s">
        <v>3461</v>
      </c>
      <c r="E1" s="3236" t="s">
        <v>3462</v>
      </c>
      <c r="F1" s="3236" t="s">
        <v>3463</v>
      </c>
    </row>
    <row r="2" spans="1:6" ht="56.25">
      <c r="A2" s="3567"/>
      <c r="B2" s="3567"/>
      <c r="C2" s="3236"/>
      <c r="D2" s="3236" t="s">
        <v>3479</v>
      </c>
      <c r="E2" s="3236" t="s">
        <v>3481</v>
      </c>
      <c r="F2" s="3236" t="s">
        <v>3482</v>
      </c>
    </row>
    <row r="3" spans="1:6">
      <c r="A3" s="3568" t="s">
        <v>3464</v>
      </c>
      <c r="B3" s="3568"/>
      <c r="C3" s="3237">
        <v>43104</v>
      </c>
      <c r="D3" s="3237">
        <v>42977</v>
      </c>
      <c r="E3" s="3237">
        <v>43096</v>
      </c>
      <c r="F3" s="3237">
        <v>43096</v>
      </c>
    </row>
    <row r="4" spans="1:6">
      <c r="A4" s="3568" t="s">
        <v>3465</v>
      </c>
      <c r="B4" s="3568"/>
      <c r="C4" s="3238" t="s">
        <v>3147</v>
      </c>
      <c r="D4" s="3238" t="s">
        <v>3147</v>
      </c>
      <c r="E4" s="3238" t="s">
        <v>3147</v>
      </c>
      <c r="F4" s="3238" t="s">
        <v>3147</v>
      </c>
    </row>
    <row r="5" spans="1:6">
      <c r="A5" s="3568" t="s">
        <v>3466</v>
      </c>
      <c r="B5" s="3568"/>
      <c r="C5" s="3238" t="s">
        <v>3104</v>
      </c>
      <c r="D5" s="3238" t="s">
        <v>3104</v>
      </c>
      <c r="E5" s="3238" t="s">
        <v>3104</v>
      </c>
      <c r="F5" s="3238" t="s">
        <v>3104</v>
      </c>
    </row>
    <row r="6" spans="1:6" ht="35.25">
      <c r="A6" s="3568" t="s">
        <v>3467</v>
      </c>
      <c r="B6" s="3568"/>
      <c r="C6" s="3238" t="s">
        <v>3480</v>
      </c>
      <c r="D6" s="3238" t="s">
        <v>3468</v>
      </c>
      <c r="E6" s="3238" t="s">
        <v>3468</v>
      </c>
      <c r="F6" s="3238" t="s">
        <v>3468</v>
      </c>
    </row>
    <row r="7" spans="1:6">
      <c r="A7" s="3565" t="s">
        <v>3488</v>
      </c>
      <c r="B7" s="3566"/>
      <c r="C7" s="3239" t="s">
        <v>3489</v>
      </c>
      <c r="D7" s="3239" t="s">
        <v>3489</v>
      </c>
      <c r="E7" s="3239" t="s">
        <v>3489</v>
      </c>
      <c r="F7" s="3239" t="s">
        <v>3489</v>
      </c>
    </row>
    <row r="8" spans="1:6" ht="158.25">
      <c r="A8" s="3564" t="s">
        <v>3469</v>
      </c>
      <c r="B8" s="3240" t="s">
        <v>1655</v>
      </c>
      <c r="C8" s="3238" t="s">
        <v>3483</v>
      </c>
      <c r="D8" s="3238" t="s">
        <v>3497</v>
      </c>
      <c r="E8" s="3238" t="s">
        <v>3504</v>
      </c>
      <c r="F8" s="3238" t="s">
        <v>3504</v>
      </c>
    </row>
    <row r="9" spans="1:6" ht="79.5">
      <c r="A9" s="3564"/>
      <c r="B9" s="3240" t="s">
        <v>3470</v>
      </c>
      <c r="C9" s="3238" t="s">
        <v>3491</v>
      </c>
      <c r="D9" s="3238" t="s">
        <v>3498</v>
      </c>
      <c r="E9" s="3238" t="s">
        <v>3505</v>
      </c>
      <c r="F9" s="3238" t="s">
        <v>3505</v>
      </c>
    </row>
    <row r="10" spans="1:6" ht="135">
      <c r="A10" s="3564"/>
      <c r="B10" s="3240" t="s">
        <v>1657</v>
      </c>
      <c r="C10" s="3238" t="s">
        <v>3492</v>
      </c>
      <c r="D10" s="3238" t="s">
        <v>3499</v>
      </c>
      <c r="E10" s="3238" t="s">
        <v>3506</v>
      </c>
      <c r="F10" s="3238" t="s">
        <v>3506</v>
      </c>
    </row>
    <row r="11" spans="1:6" ht="78.75">
      <c r="A11" s="3564"/>
      <c r="B11" s="3240" t="s">
        <v>1661</v>
      </c>
      <c r="C11" s="3238" t="s">
        <v>3471</v>
      </c>
      <c r="D11" s="3238" t="s">
        <v>3471</v>
      </c>
      <c r="E11" s="3238" t="s">
        <v>3471</v>
      </c>
      <c r="F11" s="3238" t="s">
        <v>3471</v>
      </c>
    </row>
    <row r="12" spans="1:6" ht="125.25">
      <c r="A12" s="3564"/>
      <c r="B12" s="3240" t="s">
        <v>1662</v>
      </c>
      <c r="C12" s="3238" t="s">
        <v>3484</v>
      </c>
      <c r="D12" s="3238" t="s">
        <v>3500</v>
      </c>
      <c r="E12" s="3238" t="s">
        <v>3507</v>
      </c>
      <c r="F12" s="3238" t="s">
        <v>3507</v>
      </c>
    </row>
    <row r="13" spans="1:6" ht="258.75">
      <c r="A13" s="3564"/>
      <c r="B13" s="3240" t="s">
        <v>3472</v>
      </c>
      <c r="C13" s="3238" t="s">
        <v>3490</v>
      </c>
      <c r="D13" s="3238" t="s">
        <v>3501</v>
      </c>
      <c r="E13" s="3238" t="s">
        <v>3508</v>
      </c>
      <c r="F13" s="3238" t="s">
        <v>3508</v>
      </c>
    </row>
    <row r="14" spans="1:6" ht="101.25">
      <c r="A14" s="3564"/>
      <c r="B14" s="3240" t="s">
        <v>3473</v>
      </c>
      <c r="C14" s="3238" t="s">
        <v>3502</v>
      </c>
      <c r="D14" s="3238" t="s">
        <v>3502</v>
      </c>
      <c r="E14" s="3238" t="s">
        <v>3502</v>
      </c>
      <c r="F14" s="3238" t="s">
        <v>3502</v>
      </c>
    </row>
    <row r="15" spans="1:6" ht="22.5">
      <c r="A15" s="3564"/>
      <c r="B15" s="3240" t="s">
        <v>3485</v>
      </c>
      <c r="C15" s="3238" t="s">
        <v>3493</v>
      </c>
      <c r="D15" s="3238" t="s">
        <v>3494</v>
      </c>
      <c r="E15" s="3238" t="s">
        <v>3494</v>
      </c>
      <c r="F15" s="3238" t="s">
        <v>3494</v>
      </c>
    </row>
    <row r="16" spans="1:6" ht="22.5">
      <c r="A16" s="3564" t="s">
        <v>3474</v>
      </c>
      <c r="B16" s="3240" t="s">
        <v>3475</v>
      </c>
      <c r="C16" s="3241">
        <v>60759</v>
      </c>
      <c r="D16" s="3241">
        <v>8569</v>
      </c>
      <c r="E16" s="3241">
        <v>16397.5</v>
      </c>
      <c r="F16" s="3241">
        <v>9434.16</v>
      </c>
    </row>
    <row r="17" spans="1:6">
      <c r="A17" s="3564"/>
      <c r="B17" s="3240" t="s">
        <v>3476</v>
      </c>
      <c r="C17" s="3238" t="s">
        <v>3165</v>
      </c>
      <c r="D17" s="3238" t="s">
        <v>3165</v>
      </c>
      <c r="E17" s="3238" t="s">
        <v>3503</v>
      </c>
      <c r="F17" s="3238" t="s">
        <v>3503</v>
      </c>
    </row>
    <row r="18" spans="1:6" ht="22.5">
      <c r="A18" s="3564"/>
      <c r="B18" s="3240" t="s">
        <v>3486</v>
      </c>
      <c r="C18" s="3238" t="s">
        <v>3495</v>
      </c>
      <c r="D18" s="3238" t="s">
        <v>3495</v>
      </c>
      <c r="E18" s="3238" t="s">
        <v>3495</v>
      </c>
      <c r="F18" s="3238" t="s">
        <v>3495</v>
      </c>
    </row>
    <row r="19" spans="1:6" ht="22.5">
      <c r="A19" s="3564"/>
      <c r="B19" s="3240" t="s">
        <v>3477</v>
      </c>
      <c r="C19" s="3238" t="s">
        <v>3496</v>
      </c>
      <c r="D19" s="3238" t="s">
        <v>3496</v>
      </c>
      <c r="E19" s="3238" t="s">
        <v>3496</v>
      </c>
      <c r="F19" s="3238" t="s">
        <v>3496</v>
      </c>
    </row>
    <row r="20" spans="1:6" ht="22.5">
      <c r="A20" s="3564"/>
      <c r="B20" s="3240" t="s">
        <v>3478</v>
      </c>
      <c r="C20" s="3238" t="s">
        <v>3495</v>
      </c>
      <c r="D20" s="3238" t="s">
        <v>3495</v>
      </c>
      <c r="E20" s="3238" t="s">
        <v>3495</v>
      </c>
      <c r="F20" s="3238" t="s">
        <v>3495</v>
      </c>
    </row>
    <row r="21" spans="1:6">
      <c r="A21" s="3564"/>
      <c r="B21" s="3240" t="s">
        <v>2034</v>
      </c>
      <c r="C21" s="3241">
        <v>1.94</v>
      </c>
      <c r="D21" s="3241">
        <v>1.8</v>
      </c>
      <c r="E21" s="3241">
        <v>2</v>
      </c>
      <c r="F21" s="3241">
        <v>2</v>
      </c>
    </row>
  </sheetData>
  <mergeCells count="8">
    <mergeCell ref="A16:A21"/>
    <mergeCell ref="A7:B7"/>
    <mergeCell ref="A1:B2"/>
    <mergeCell ref="A3:B3"/>
    <mergeCell ref="A4:B4"/>
    <mergeCell ref="A5:B5"/>
    <mergeCell ref="A6:B6"/>
    <mergeCell ref="A8:A1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2040</v>
      </c>
      <c r="B1" s="3251"/>
      <c r="C1" s="3251"/>
      <c r="D1" s="3251"/>
      <c r="E1" s="3251"/>
      <c r="F1" s="3251"/>
      <c r="G1" s="3251"/>
      <c r="H1" s="3251"/>
      <c r="I1" s="3251"/>
      <c r="J1" s="3251"/>
      <c r="K1" s="3251"/>
      <c r="L1" s="3251"/>
      <c r="M1" s="3251"/>
      <c r="N1" s="3251"/>
      <c r="O1" s="3251"/>
      <c r="P1" s="3251"/>
      <c r="Q1" s="3251"/>
      <c r="R1" s="3251"/>
    </row>
    <row r="2" spans="1:18">
      <c r="A2" s="1806" t="s">
        <v>2042</v>
      </c>
      <c r="B2" s="1806"/>
      <c r="C2" s="1806"/>
      <c r="D2" s="1806"/>
      <c r="E2" s="1806"/>
      <c r="F2" s="1806"/>
      <c r="G2" s="1806"/>
      <c r="H2" s="1806"/>
      <c r="I2" s="1807"/>
      <c r="J2" s="1807"/>
      <c r="K2" s="1808" t="str">
        <f>"估价期日："&amp;TEXT(项目基本情况!D3,"yyyy年m月d日;;")</f>
        <v>估价期日：2018年1月4日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2" t="s">
        <v>2031</v>
      </c>
      <c r="B3" s="3252" t="s">
        <v>2736</v>
      </c>
      <c r="C3" s="3253" t="s">
        <v>2032</v>
      </c>
      <c r="D3" s="3252" t="s">
        <v>2740</v>
      </c>
      <c r="E3" s="3255" t="s">
        <v>2033</v>
      </c>
      <c r="F3" s="3255"/>
      <c r="G3" s="3255"/>
      <c r="H3" s="3255" t="s">
        <v>2034</v>
      </c>
      <c r="I3" s="3255"/>
      <c r="J3" s="3255"/>
      <c r="K3" s="3253" t="s">
        <v>2035</v>
      </c>
      <c r="L3" s="3253" t="s">
        <v>2036</v>
      </c>
      <c r="M3" s="3252" t="s">
        <v>2737</v>
      </c>
      <c r="N3" s="3254" t="str">
        <f>"（分摊）"&amp;项目基本情况!B16&amp;"国有建设用地使用权面积/㎡"</f>
        <v>（分摊）出让国有建设用地使用权面积/㎡</v>
      </c>
      <c r="O3" s="3252" t="s">
        <v>2065</v>
      </c>
      <c r="P3" s="3253" t="s">
        <v>2045</v>
      </c>
      <c r="Q3" s="3253" t="s">
        <v>2066</v>
      </c>
      <c r="R3" s="3253" t="s">
        <v>2037</v>
      </c>
    </row>
    <row r="4" spans="1:18" ht="36.75" customHeight="1">
      <c r="A4" s="3252"/>
      <c r="B4" s="3252"/>
      <c r="C4" s="3253"/>
      <c r="D4" s="3252"/>
      <c r="E4" s="2672" t="s">
        <v>2044</v>
      </c>
      <c r="F4" s="2672" t="s">
        <v>2749</v>
      </c>
      <c r="G4" s="2672" t="s">
        <v>2038</v>
      </c>
      <c r="H4" s="2672" t="s">
        <v>2039</v>
      </c>
      <c r="I4" s="2672" t="s">
        <v>2750</v>
      </c>
      <c r="J4" s="2672" t="s">
        <v>2038</v>
      </c>
      <c r="K4" s="3253"/>
      <c r="L4" s="3253"/>
      <c r="M4" s="3252"/>
      <c r="N4" s="3254"/>
      <c r="O4" s="3252"/>
      <c r="P4" s="3253"/>
      <c r="Q4" s="3253"/>
      <c r="R4" s="3253"/>
    </row>
    <row r="5" spans="1:18" ht="135" customHeight="1">
      <c r="A5" s="1941" t="s">
        <v>2660</v>
      </c>
      <c r="B5" s="2891" t="s">
        <v>2658</v>
      </c>
      <c r="C5" s="2671">
        <v>22</v>
      </c>
      <c r="D5" s="2670" t="s">
        <v>2659</v>
      </c>
      <c r="E5" s="1809" t="str">
        <f>项目基本情况!B12</f>
        <v>商住</v>
      </c>
      <c r="F5" s="2670">
        <v>258</v>
      </c>
      <c r="G5" s="1809" t="str">
        <f>项目基本情况!B13</f>
        <v>住宅、商业</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住宅66.4年，商业36.4年</v>
      </c>
      <c r="N5" s="1809">
        <f>项目基本情况!C22</f>
        <v>60759</v>
      </c>
      <c r="O5" s="1809">
        <f>项目基本情况!C21</f>
        <v>118125.52</v>
      </c>
      <c r="P5" s="1809">
        <f ca="1">结果表!E42</f>
        <v>4008</v>
      </c>
      <c r="Q5" s="1809">
        <f ca="1">结果表!D42</f>
        <v>2062</v>
      </c>
      <c r="R5" s="1810">
        <f ca="1">结果表!C42</f>
        <v>24354</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1811">
        <f ca="1">结果表!O39</f>
        <v>24354</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11" t="str">
        <f>结果表!O40</f>
        <v>——</v>
      </c>
    </row>
    <row r="8" spans="1:18">
      <c r="A8" s="3256" t="str">
        <f>IF(项目基本情况!B9="市场价格","——",项目基本情况!E9)</f>
        <v>——</v>
      </c>
      <c r="B8" s="3257"/>
      <c r="C8" s="3257"/>
      <c r="D8" s="3257"/>
      <c r="E8" s="3257"/>
      <c r="F8" s="3257"/>
      <c r="G8" s="3257"/>
      <c r="H8" s="3257"/>
      <c r="I8" s="3257"/>
      <c r="J8" s="3257"/>
      <c r="K8" s="3257"/>
      <c r="L8" s="3257"/>
      <c r="M8" s="3257"/>
      <c r="N8" s="3257"/>
      <c r="O8" s="3257"/>
      <c r="P8" s="3257"/>
      <c r="Q8" s="3258"/>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59" t="s">
        <v>2067</v>
      </c>
      <c r="B1" s="3259"/>
      <c r="C1" s="3259"/>
      <c r="D1" s="3259"/>
    </row>
    <row r="2" spans="1:4" ht="47.25" customHeight="1">
      <c r="A2" s="3263" t="str">
        <f>"1.权利限制："&amp;项目基本情况!L24&amp;"未设定租赁等其他他项权利。"</f>
        <v>1.权利限制：根据估价对象《国有土地使用权》复印件，截至估价期日，估价对象抵押权未见登记。未设定租赁等其他他项权利。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59"/>
      <c r="C3" s="3259"/>
      <c r="D3" s="3259"/>
    </row>
    <row r="4" spans="1:4" ht="36.75" customHeight="1">
      <c r="A4" s="3259" t="str">
        <f>"3.估价规划限制条件：详见"&amp;项目基本情况!E21&amp;"。"</f>
        <v>3.估价规划限制条件：详见《国有建设用地使用权出让合同》[电子监管号：5111812014B00011、5111812014B00023、5111812016B01094]及附件。</v>
      </c>
      <c r="B4" s="3259"/>
      <c r="C4" s="3259"/>
      <c r="D4" s="3259"/>
    </row>
    <row r="5" spans="1:4">
      <c r="A5" s="3262" t="s">
        <v>2068</v>
      </c>
      <c r="B5" s="3262"/>
      <c r="C5" s="3262"/>
      <c r="D5" s="3262"/>
    </row>
    <row r="6" spans="1:4">
      <c r="A6" s="3259" t="s">
        <v>2046</v>
      </c>
      <c r="B6" s="3259"/>
      <c r="C6" s="3259"/>
      <c r="D6" s="3259"/>
    </row>
    <row r="7" spans="1:4" ht="33" customHeight="1">
      <c r="A7" s="3259" t="s">
        <v>2578</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（1）根据估价对象《国有土地使用权》复印件，截至估价期日，估价对象抵押权未见登记。</v>
      </c>
      <c r="B11" s="3261"/>
      <c r="C11" s="3261"/>
      <c r="D11" s="3261"/>
    </row>
    <row r="12" spans="1:4" ht="168" customHeight="1">
      <c r="A12" s="3262" t="s">
        <v>2070</v>
      </c>
      <c r="B12" s="3262"/>
      <c r="C12" s="3262"/>
      <c r="D12" s="3262"/>
    </row>
    <row r="13" spans="1:4">
      <c r="A13" s="3260" t="s">
        <v>2751</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2707</v>
      </c>
      <c r="B17" s="3259"/>
      <c r="C17" s="3259"/>
      <c r="D17" s="3259"/>
    </row>
    <row r="18" spans="1:4">
      <c r="A18" s="3259" t="s">
        <v>2699</v>
      </c>
      <c r="B18" s="3259"/>
      <c r="C18" s="3259"/>
      <c r="D18" s="3259"/>
    </row>
    <row r="19" spans="1:4">
      <c r="A19" s="2892" t="s">
        <v>2700</v>
      </c>
      <c r="B19" s="2892" t="s">
        <v>2701</v>
      </c>
      <c r="C19" s="2892" t="s">
        <v>2702</v>
      </c>
      <c r="D19" s="2892" t="s">
        <v>2703</v>
      </c>
    </row>
    <row r="20" spans="1:4">
      <c r="A20" s="2892" t="str">
        <f>项目基本情况!B4</f>
        <v>王鹏</v>
      </c>
      <c r="B20" s="2892">
        <f ca="1">项目基本情况!C4</f>
        <v>2002110030</v>
      </c>
      <c r="C20" s="2894"/>
      <c r="D20" s="1799" t="s">
        <v>2708</v>
      </c>
    </row>
    <row r="21" spans="1:4">
      <c r="A21" s="2892" t="str">
        <f>项目基本情况!D4</f>
        <v>郑燚</v>
      </c>
      <c r="B21" s="2892">
        <f>项目基本情况!E4</f>
        <v>2014110011</v>
      </c>
      <c r="C21" s="2894"/>
      <c r="D21" s="1799" t="s">
        <v>2709</v>
      </c>
    </row>
    <row r="23" spans="1:4">
      <c r="A23" s="3259" t="s">
        <v>2704</v>
      </c>
      <c r="B23" s="3259"/>
      <c r="C23" s="3259"/>
      <c r="D23" s="3259"/>
    </row>
    <row r="24" spans="1:4">
      <c r="A24" s="2892" t="s">
        <v>2700</v>
      </c>
      <c r="B24" s="2892" t="s">
        <v>2705</v>
      </c>
      <c r="C24" s="2892" t="s">
        <v>2702</v>
      </c>
      <c r="D24" s="2892" t="s">
        <v>2703</v>
      </c>
    </row>
    <row r="25" spans="1:4">
      <c r="A25" s="2895" t="s">
        <v>2706</v>
      </c>
      <c r="B25" s="2892" t="s">
        <v>953</v>
      </c>
      <c r="C25" s="2894"/>
      <c r="D25" s="1799" t="s">
        <v>2709</v>
      </c>
    </row>
    <row r="29" spans="1:4">
      <c r="D29" s="2893" t="s">
        <v>2041</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C38" sqref="C3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71" t="s">
        <v>53</v>
      </c>
      <c r="B15" s="3272" t="s">
        <v>847</v>
      </c>
      <c r="C15" s="3268"/>
    </row>
    <row r="16" spans="1:7" ht="14.25">
      <c r="A16" s="3271"/>
      <c r="B16" s="3269" t="s">
        <v>54</v>
      </c>
      <c r="C16" s="1171" t="s">
        <v>53</v>
      </c>
    </row>
    <row r="17" spans="1:3" ht="14.25">
      <c r="A17" s="3271"/>
      <c r="B17" s="3269"/>
      <c r="C17" s="1171" t="s">
        <v>55</v>
      </c>
    </row>
    <row r="18" spans="1:3" ht="14.25">
      <c r="A18" s="3271"/>
      <c r="B18" s="3269"/>
      <c r="C18" s="1171" t="s">
        <v>56</v>
      </c>
    </row>
    <row r="19" spans="1:3" ht="14.25">
      <c r="A19" s="3271"/>
      <c r="B19" s="3267" t="s">
        <v>57</v>
      </c>
      <c r="C19" s="3268"/>
    </row>
    <row r="20" spans="1:3" ht="14.25">
      <c r="A20" s="1172" t="s">
        <v>58</v>
      </c>
      <c r="B20" s="1173"/>
      <c r="C20" s="1174"/>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5" t="s">
        <v>838</v>
      </c>
    </row>
    <row r="25" spans="1:3" ht="14.25">
      <c r="A25" s="3270"/>
      <c r="B25" s="3274"/>
      <c r="C25" s="1175" t="s">
        <v>839</v>
      </c>
    </row>
    <row r="26" spans="1:3" ht="14.25">
      <c r="A26" s="3270"/>
      <c r="B26" s="3274"/>
      <c r="C26" s="1175" t="s">
        <v>840</v>
      </c>
    </row>
    <row r="27" spans="1:3" ht="14.25">
      <c r="A27" s="3270"/>
      <c r="B27" s="3274"/>
      <c r="C27" s="1175" t="s">
        <v>841</v>
      </c>
    </row>
    <row r="28" spans="1:3" ht="14.25">
      <c r="A28" s="3270"/>
      <c r="B28" s="3274"/>
      <c r="C28" s="1175" t="s">
        <v>842</v>
      </c>
    </row>
    <row r="29" spans="1:3" ht="14.25">
      <c r="A29" s="3270"/>
      <c r="B29" s="3274"/>
      <c r="C29" s="1175" t="s">
        <v>843</v>
      </c>
    </row>
    <row r="30" spans="1:3" ht="14.25">
      <c r="A30" s="3270"/>
      <c r="B30" s="3274"/>
      <c r="C30" s="1175" t="s">
        <v>844</v>
      </c>
    </row>
    <row r="31" spans="1:3" ht="14.25">
      <c r="A31" s="3270"/>
      <c r="B31" s="3274"/>
      <c r="C31" s="1175" t="s">
        <v>845</v>
      </c>
    </row>
    <row r="32" spans="1:3" ht="14.25">
      <c r="A32" s="3270"/>
      <c r="B32" s="3274"/>
      <c r="C32" s="1175" t="s">
        <v>1648</v>
      </c>
    </row>
    <row r="33" spans="1:3" ht="14.25">
      <c r="A33" s="3270"/>
      <c r="B33" s="3264" t="s">
        <v>1654</v>
      </c>
      <c r="C33" s="1175" t="s">
        <v>1649</v>
      </c>
    </row>
    <row r="34" spans="1:3" ht="14.25">
      <c r="A34" s="3270"/>
      <c r="B34" s="3265"/>
      <c r="C34" s="1180" t="s">
        <v>1650</v>
      </c>
    </row>
    <row r="35" spans="1:3" ht="14.25">
      <c r="A35" s="3270"/>
      <c r="B35" s="3265"/>
      <c r="C35" s="1181" t="s">
        <v>1651</v>
      </c>
    </row>
    <row r="36" spans="1:3" ht="14.25">
      <c r="A36" s="3270"/>
      <c r="B36" s="3265"/>
      <c r="C36" s="1181" t="s">
        <v>1652</v>
      </c>
    </row>
    <row r="37" spans="1:3" ht="14.25">
      <c r="A37" s="3270"/>
      <c r="B37" s="3266"/>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6">
        <f ca="1">TODAY()</f>
        <v>43319</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30">
        <v>43849</v>
      </c>
      <c r="D4" s="2341" t="s">
        <v>1916</v>
      </c>
      <c r="E4" s="2341">
        <f ca="1">IF(F4&lt;B2,"已过期",96010014)</f>
        <v>96010014</v>
      </c>
      <c r="F4" s="3031">
        <v>47118</v>
      </c>
    </row>
    <row r="5" spans="1:6" ht="20.25" customHeight="1">
      <c r="A5" s="2341" t="s">
        <v>1917</v>
      </c>
      <c r="B5" s="2341">
        <f ca="1">IF(C5&lt;B2,"已过期",1119970074)</f>
        <v>1119970074</v>
      </c>
      <c r="C5" s="3030">
        <v>43849</v>
      </c>
      <c r="D5" s="2341" t="s">
        <v>1917</v>
      </c>
      <c r="E5" s="2341">
        <f ca="1">IF(F5&lt;B2,"已过期",2002110027)</f>
        <v>2002110027</v>
      </c>
      <c r="F5" s="3031">
        <v>46752</v>
      </c>
    </row>
    <row r="6" spans="1:6" ht="20.25" customHeight="1">
      <c r="A6" s="2341" t="s">
        <v>1918</v>
      </c>
      <c r="B6" s="2341">
        <f ca="1">IF(C6&lt;B2,"已过期",1119970111)</f>
        <v>1119970111</v>
      </c>
      <c r="C6" s="3030">
        <v>43849</v>
      </c>
      <c r="D6" s="2341" t="s">
        <v>1918</v>
      </c>
      <c r="E6" s="2341">
        <f ca="1">IF(F6&lt;B2,"已过期",94010078)</f>
        <v>94010078</v>
      </c>
      <c r="F6" s="3031">
        <v>46387</v>
      </c>
    </row>
    <row r="7" spans="1:6" ht="20.25" customHeight="1">
      <c r="A7" s="2341" t="s">
        <v>1919</v>
      </c>
      <c r="B7" s="2341">
        <f ca="1">IF(C7&lt;B2,"已过期",1120050019)</f>
        <v>1120050019</v>
      </c>
      <c r="C7" s="3030">
        <v>43359</v>
      </c>
      <c r="D7" s="2341" t="s">
        <v>1919</v>
      </c>
      <c r="E7" s="2341">
        <f ca="1">IF(F7&lt;B2,"已过期",2002110030)</f>
        <v>2002110030</v>
      </c>
      <c r="F7" s="3031">
        <v>46387</v>
      </c>
    </row>
    <row r="8" spans="1:6" ht="20.25" customHeight="1">
      <c r="A8" s="2341" t="s">
        <v>1920</v>
      </c>
      <c r="B8" s="2341">
        <f ca="1">IF(C8&lt;B2,"已过期",1120000080)</f>
        <v>1120000080</v>
      </c>
      <c r="C8" s="3030">
        <v>43849</v>
      </c>
      <c r="D8" s="2341" t="s">
        <v>1920</v>
      </c>
      <c r="E8" s="2341">
        <f ca="1">IF(F8&lt;B2,"已过期",2000110082)</f>
        <v>2000110082</v>
      </c>
      <c r="F8" s="3031">
        <v>46387</v>
      </c>
    </row>
    <row r="9" spans="1:6" ht="20.25" customHeight="1">
      <c r="A9" s="2341" t="s">
        <v>1921</v>
      </c>
      <c r="B9" s="2341">
        <f ca="1">IF(C9&lt;B2,"已过期",1419970001)</f>
        <v>1419970001</v>
      </c>
      <c r="C9" s="3030">
        <v>43867</v>
      </c>
      <c r="D9" s="2341" t="s">
        <v>1921</v>
      </c>
      <c r="E9" s="2341">
        <f ca="1">IF(F9&lt;B2,"已过期",2002110125)</f>
        <v>2002110125</v>
      </c>
      <c r="F9" s="3031">
        <v>47118</v>
      </c>
    </row>
    <row r="10" spans="1:6" ht="20.25" customHeight="1">
      <c r="A10" s="2341" t="s">
        <v>1922</v>
      </c>
      <c r="B10" s="2341">
        <f ca="1">IF(C10&lt;B2,"已过期",1120060040)</f>
        <v>1120060040</v>
      </c>
      <c r="C10" s="3030">
        <v>43483</v>
      </c>
      <c r="D10" s="2341" t="s">
        <v>1922</v>
      </c>
      <c r="E10" s="2341">
        <f ca="1">IF(F10&lt;B2,"已过期",2004110096)</f>
        <v>2004110096</v>
      </c>
      <c r="F10" s="3031">
        <v>47118</v>
      </c>
    </row>
    <row r="11" spans="1:6" ht="20.25" customHeight="1">
      <c r="A11" s="2341" t="s">
        <v>1923</v>
      </c>
      <c r="B11" s="2341">
        <f ca="1">IF(C11&lt;B2,"已过期",1120100036)</f>
        <v>1120100036</v>
      </c>
      <c r="C11" s="3030">
        <v>43622</v>
      </c>
      <c r="D11" s="2341" t="s">
        <v>1923</v>
      </c>
      <c r="E11" s="2341">
        <f ca="1">IF(F11&lt;B2,"已过期",2010110070)</f>
        <v>2010110070</v>
      </c>
      <c r="F11" s="3031">
        <v>47907</v>
      </c>
    </row>
    <row r="12" spans="1:6" ht="20.25" customHeight="1">
      <c r="A12" s="2341"/>
      <c r="B12" s="2341"/>
      <c r="C12" s="3030"/>
      <c r="D12" s="2341"/>
      <c r="E12" s="2341"/>
      <c r="F12" s="2341"/>
    </row>
    <row r="13" spans="1:6" ht="20.25" customHeight="1">
      <c r="A13" s="2341" t="s">
        <v>1924</v>
      </c>
      <c r="B13" s="2341">
        <f ca="1">IF(C13&lt;B2,"已过期",1120070131)</f>
        <v>1120070131</v>
      </c>
      <c r="C13" s="3030">
        <v>43814</v>
      </c>
      <c r="D13" s="2341" t="s">
        <v>1924</v>
      </c>
      <c r="E13" s="2341">
        <v>2014110011</v>
      </c>
      <c r="F13" s="3031">
        <v>49302</v>
      </c>
    </row>
    <row r="14" spans="1:6" ht="20.25" customHeight="1">
      <c r="A14" s="2341" t="s">
        <v>1925</v>
      </c>
      <c r="B14" s="2341">
        <f ca="1">IF(C14&lt;B2,"已过期",1120130020)</f>
        <v>1120130020</v>
      </c>
      <c r="C14" s="3030">
        <v>43622</v>
      </c>
      <c r="D14" s="2341"/>
      <c r="E14" s="2341"/>
      <c r="F14" s="2341"/>
    </row>
    <row r="15" spans="1:6" ht="20.25" customHeight="1">
      <c r="A15" s="2341" t="s">
        <v>2577</v>
      </c>
      <c r="B15" s="2341">
        <v>1120070085</v>
      </c>
      <c r="C15" s="3030">
        <v>43814</v>
      </c>
      <c r="D15" s="2341" t="s">
        <v>2577</v>
      </c>
      <c r="E15" s="2341">
        <v>2004110128</v>
      </c>
      <c r="F15" s="3031">
        <v>47118</v>
      </c>
    </row>
    <row r="16" spans="1:6" ht="20.25" customHeight="1">
      <c r="A16" s="2341" t="s">
        <v>1926</v>
      </c>
      <c r="B16" s="2341">
        <f ca="1">IF(C16&lt;B2,"已过期",1120140022)</f>
        <v>1120140022</v>
      </c>
      <c r="C16" s="3030">
        <v>44029</v>
      </c>
      <c r="D16" s="2341" t="s">
        <v>1926</v>
      </c>
      <c r="E16" s="2341">
        <f ca="1">IF(F16&lt;B2,"已过期",2008110059)</f>
        <v>2008110059</v>
      </c>
      <c r="F16" s="3031">
        <v>47177</v>
      </c>
    </row>
    <row r="17" spans="1:7" ht="20.25" customHeight="1">
      <c r="A17" s="2341"/>
      <c r="B17" s="2341"/>
      <c r="C17" s="3030"/>
      <c r="D17" s="2341"/>
      <c r="E17" s="2341"/>
      <c r="F17" s="3031"/>
    </row>
    <row r="18" spans="1:7" ht="20.25" customHeight="1">
      <c r="A18" s="2341"/>
      <c r="B18" s="2341"/>
      <c r="C18" s="3030"/>
      <c r="D18" s="2341"/>
      <c r="E18" s="2341"/>
      <c r="F18" s="3031"/>
    </row>
    <row r="19" spans="1:7" ht="20.25" customHeight="1">
      <c r="A19" s="2341"/>
      <c r="B19" s="2341"/>
      <c r="C19" s="3030"/>
      <c r="D19" s="2341"/>
      <c r="E19" s="2341"/>
      <c r="F19" s="2341"/>
    </row>
    <row r="20" spans="1:7" ht="20.25" customHeight="1">
      <c r="A20" s="2341"/>
      <c r="B20" s="2341"/>
      <c r="C20" s="3030"/>
      <c r="D20" s="2341"/>
      <c r="E20" s="2341"/>
      <c r="F20" s="2341"/>
    </row>
    <row r="21" spans="1:7" ht="20.25" customHeight="1">
      <c r="A21" s="2341"/>
      <c r="B21" s="2341"/>
      <c r="C21" s="3030"/>
      <c r="D21" s="2341" t="s">
        <v>1927</v>
      </c>
      <c r="E21" s="2341">
        <f ca="1">IF(F21&lt;B2,"已过期",2011110090)</f>
        <v>2011110090</v>
      </c>
      <c r="F21" s="3031">
        <v>48302</v>
      </c>
    </row>
    <row r="22" spans="1:7" ht="20.25" customHeight="1">
      <c r="A22" s="2341" t="s">
        <v>1928</v>
      </c>
      <c r="B22" s="2341" t="str">
        <f ca="1">IF(C22&lt;B2,"已过期",1120020033)</f>
        <v>已过期</v>
      </c>
      <c r="C22" s="3030">
        <v>43304</v>
      </c>
      <c r="D22" s="2341" t="s">
        <v>1928</v>
      </c>
      <c r="E22" s="2341">
        <f ca="1">IF(F22&lt;B2,"已过期",2000110137)</f>
        <v>2000110137</v>
      </c>
      <c r="F22" s="3031">
        <v>46387</v>
      </c>
    </row>
    <row r="23" spans="1:7" ht="20.25" customHeight="1">
      <c r="A23" s="2341" t="s">
        <v>1929</v>
      </c>
      <c r="B23" s="2341">
        <f ca="1">IF(C23&lt;B2,"已过期",1120130048)</f>
        <v>1120130048</v>
      </c>
      <c r="C23" s="3030">
        <v>43686</v>
      </c>
      <c r="D23" s="2341"/>
      <c r="E23" s="2341"/>
      <c r="F23" s="2341"/>
    </row>
    <row r="24" spans="1:7" s="2345" customFormat="1" ht="20.25" customHeight="1">
      <c r="A24" s="2343" t="s">
        <v>2055</v>
      </c>
      <c r="B24" s="2343" t="s">
        <v>2055</v>
      </c>
      <c r="C24" s="3030"/>
      <c r="D24" s="3032" t="s">
        <v>2055</v>
      </c>
      <c r="E24" s="2343" t="s">
        <v>2055</v>
      </c>
      <c r="F24" s="2344"/>
    </row>
    <row r="25" spans="1:7" ht="20.25" customHeight="1">
      <c r="A25" s="3275" t="s">
        <v>1930</v>
      </c>
      <c r="B25" s="3275"/>
      <c r="C25" s="3275"/>
      <c r="D25" s="3275"/>
      <c r="E25" s="3275"/>
      <c r="F25" s="3275"/>
      <c r="G25" s="3275"/>
    </row>
    <row r="26" spans="1:7" ht="20.25" customHeight="1">
      <c r="A26" s="3276" t="s">
        <v>1931</v>
      </c>
      <c r="B26" s="3276"/>
      <c r="C26" s="3276"/>
      <c r="D26" s="3276" t="s">
        <v>1932</v>
      </c>
      <c r="E26" s="3276"/>
      <c r="F26" s="3276"/>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2548</v>
      </c>
      <c r="R1" s="2604" t="s">
        <v>2542</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2543</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2544</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2545</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2546</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2547</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1" t="s">
        <v>2960</v>
      </c>
      <c r="C18" s="1553"/>
    </row>
    <row r="19" spans="1:3">
      <c r="A19" s="8" t="s">
        <v>120</v>
      </c>
      <c r="B19" s="3141" t="s">
        <v>2968</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四川德胜集团文化旅游投资发展有限公司拟使用四川省峨眉山市川主乡顺河村3宗住宅、商业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77"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c r="D53" s="1766"/>
      <c r="E53" s="1766"/>
    </row>
    <row r="54" spans="1:5">
      <c r="A54" s="3277"/>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7"/>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7"/>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7"/>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2018-08-07T07:26:30Z</dcterms:modified>
</cp:coreProperties>
</file>