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周彤\新光大项目\8.20时点\"/>
    </mc:Choice>
  </mc:AlternateContent>
  <bookViews>
    <workbookView xWindow="480" yWindow="216"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典型户型修正" sheetId="31" r:id="rId25"/>
    <sheet name="收益法商业"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state="hidden" r:id="rId46"/>
    <sheet name="收益法车库" sheetId="79" r:id="rId47"/>
    <sheet name="收益法仓储" sheetId="80"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7">收益法仓储!$A$1:$AK$69</definedName>
    <definedName name="_xlnm.Print_Area" localSheetId="46">收益法车库!$A$1:$AK$69</definedName>
    <definedName name="_xlnm.Print_Area" localSheetId="45">收益法地下商业!$A$1:$AK$69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0" i="74" l="1"/>
  <c r="B19" i="74"/>
  <c r="C20" i="74"/>
  <c r="C19" i="74"/>
  <c r="B18" i="74"/>
  <c r="C18" i="74"/>
  <c r="B17" i="74"/>
  <c r="C17" i="74"/>
  <c r="B16" i="74"/>
  <c r="C16" i="74"/>
  <c r="B15" i="74"/>
  <c r="C15" i="74"/>
  <c r="D15" i="74" l="1"/>
  <c r="D20" i="74" l="1"/>
  <c r="D19" i="74" l="1"/>
  <c r="D17" i="74" l="1"/>
  <c r="D16" i="74" l="1"/>
  <c r="D18" i="74" l="1"/>
  <c r="G18" i="74" l="1"/>
  <c r="G16" i="74" l="1"/>
  <c r="E60" i="34" l="1"/>
  <c r="F60" i="34" s="1"/>
  <c r="G60" i="34" s="1"/>
  <c r="H60" i="34" s="1"/>
  <c r="I60" i="34" s="1"/>
  <c r="J60" i="34" s="1"/>
  <c r="K60" i="34" s="1"/>
  <c r="L60" i="34" s="1"/>
  <c r="M60" i="34" s="1"/>
  <c r="N60" i="34" s="1"/>
  <c r="N7" i="1" l="1"/>
  <c r="I48" i="34" l="1"/>
  <c r="D51" i="77" l="1"/>
  <c r="D48" i="77" l="1"/>
  <c r="D47" i="77"/>
  <c r="AM9" i="1" l="1"/>
  <c r="AL7" i="1"/>
  <c r="AL9" i="1" s="1"/>
  <c r="AK7" i="1"/>
  <c r="AK9" i="1" s="1"/>
  <c r="U9" i="1"/>
  <c r="Y8" i="1"/>
  <c r="Y9" i="1" s="1"/>
  <c r="V8" i="1"/>
  <c r="V9" i="1" s="1"/>
  <c r="U8" i="1"/>
  <c r="W7" i="1"/>
  <c r="W8" i="1" s="1"/>
  <c r="W9" i="1" s="1"/>
  <c r="V7" i="1"/>
  <c r="Q9" i="1"/>
  <c r="Q8" i="1"/>
  <c r="Q6" i="1"/>
  <c r="Q7" i="1" s="1"/>
  <c r="N14" i="1"/>
  <c r="L14" i="1"/>
  <c r="L7" i="1"/>
  <c r="I9" i="1"/>
  <c r="H9" i="1"/>
  <c r="J8" i="1"/>
  <c r="J9" i="1" s="1"/>
  <c r="I8" i="1"/>
  <c r="H8" i="1"/>
  <c r="J7" i="1"/>
  <c r="I7" i="1"/>
  <c r="H7" i="1"/>
  <c r="J6" i="1"/>
  <c r="I6" i="1"/>
  <c r="H6" i="1"/>
  <c r="G22" i="6"/>
  <c r="G21" i="6"/>
  <c r="G20" i="6"/>
  <c r="U24" i="1" s="1"/>
  <c r="F20" i="6"/>
  <c r="U20" i="1" s="1"/>
  <c r="G19" i="6"/>
  <c r="B25" i="31" s="1"/>
  <c r="F19" i="6"/>
  <c r="B24" i="31" s="1"/>
  <c r="E57" i="39" l="1"/>
  <c r="L9" i="1"/>
  <c r="AK8" i="1"/>
  <c r="AM8" i="1"/>
  <c r="AL8" i="1"/>
  <c r="D43" i="77"/>
  <c r="D41" i="77"/>
  <c r="D42" i="77"/>
  <c r="D40" i="77"/>
  <c r="C38" i="77"/>
  <c r="C37" i="77"/>
  <c r="K32" i="39" l="1"/>
  <c r="K27" i="34" l="1"/>
  <c r="V23" i="1"/>
  <c r="V22" i="1"/>
  <c r="V21" i="1"/>
  <c r="W20" i="1"/>
  <c r="V20" i="1"/>
  <c r="W24" i="1" l="1"/>
  <c r="W23" i="1"/>
  <c r="W22" i="1"/>
  <c r="W21" i="1"/>
  <c r="E26" i="77"/>
  <c r="E25" i="77"/>
  <c r="E24" i="77"/>
  <c r="F23" i="77"/>
  <c r="E23" i="77"/>
  <c r="K11" i="39" l="1"/>
  <c r="B42" i="1"/>
  <c r="B38" i="1"/>
  <c r="B37" i="1"/>
  <c r="B36" i="1"/>
  <c r="B35" i="1"/>
  <c r="B34" i="1"/>
  <c r="B28" i="1"/>
  <c r="Q72" i="80" l="1"/>
  <c r="Q59" i="80"/>
  <c r="K59" i="80"/>
  <c r="P61" i="80" s="1"/>
  <c r="F59" i="80"/>
  <c r="Q58" i="80"/>
  <c r="Q51" i="80"/>
  <c r="J50" i="80"/>
  <c r="J51" i="80" s="1"/>
  <c r="M47" i="80"/>
  <c r="D46" i="80"/>
  <c r="F33" i="80"/>
  <c r="F61" i="80" s="1"/>
  <c r="F31" i="80"/>
  <c r="F23" i="80"/>
  <c r="D24" i="80" s="1"/>
  <c r="F21" i="80"/>
  <c r="F20" i="80"/>
  <c r="M19" i="80"/>
  <c r="F18" i="80"/>
  <c r="M17" i="80"/>
  <c r="F17" i="80"/>
  <c r="F15" i="80"/>
  <c r="Q72" i="79"/>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F25" i="77"/>
  <c r="F26" i="77"/>
  <c r="F24" i="77"/>
  <c r="P74" i="80" l="1"/>
  <c r="D22" i="80"/>
  <c r="D23" i="80"/>
  <c r="D24" i="79"/>
  <c r="P61" i="79"/>
  <c r="D22" i="79"/>
  <c r="D23" i="78"/>
  <c r="D22" i="78"/>
  <c r="D24" i="78"/>
  <c r="P61" i="78"/>
  <c r="E11" i="34"/>
  <c r="C25" i="34"/>
  <c r="I46" i="39" l="1"/>
  <c r="G46" i="39"/>
  <c r="E46" i="39"/>
  <c r="I38" i="39"/>
  <c r="G38" i="39"/>
  <c r="E38" i="39"/>
  <c r="C38" i="39"/>
  <c r="C32" i="39"/>
  <c r="I11" i="39"/>
  <c r="G11" i="39"/>
  <c r="E11" i="39"/>
  <c r="I7" i="39" l="1"/>
  <c r="G7" i="39"/>
  <c r="E7" i="39"/>
  <c r="I5" i="39"/>
  <c r="G5" i="39"/>
  <c r="E5" i="39"/>
  <c r="N8" i="1" l="1"/>
  <c r="N9" i="1" s="1"/>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B7" i="76"/>
  <c r="E10" i="76"/>
  <c r="B13" i="76"/>
  <c r="B10" i="76"/>
  <c r="B11" i="76"/>
  <c r="E12" i="76"/>
  <c r="B8" i="76"/>
  <c r="E8" i="76"/>
  <c r="B12" i="76"/>
  <c r="E9" i="76"/>
  <c r="E11" i="76"/>
  <c r="E13" i="76"/>
  <c r="B9" i="76"/>
  <c r="C76" i="9" l="1"/>
  <c r="I107" i="40" l="1"/>
  <c r="K6" i="4" l="1"/>
  <c r="B22" i="31" l="1"/>
  <c r="N56" i="9" l="1"/>
  <c r="M56" i="9"/>
  <c r="K56" i="9"/>
  <c r="E16" i="74" l="1"/>
  <c r="F16" i="74"/>
  <c r="E18" i="74"/>
  <c r="F18"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5" i="73"/>
  <c r="F6" i="73"/>
  <c r="F5" i="73"/>
  <c r="F3" i="73"/>
  <c r="D6" i="73"/>
  <c r="I1" i="73" l="1"/>
  <c r="B39" i="1" s="1"/>
  <c r="D4" i="73"/>
  <c r="D7" i="73"/>
  <c r="D3" i="73"/>
  <c r="F11" i="80" l="1"/>
  <c r="M11" i="80"/>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0"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D23" i="77" s="1"/>
  <c r="AC14" i="3"/>
  <c r="H15" i="3"/>
  <c r="AC15" i="3"/>
  <c r="H16" i="3"/>
  <c r="E23" i="6"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298" i="31"/>
  <c r="S247" i="31"/>
  <c r="S239" i="31"/>
  <c r="S231" i="31"/>
  <c r="S223" i="31"/>
  <c r="S206" i="31"/>
  <c r="S142" i="31"/>
  <c r="S121" i="31"/>
  <c r="S113" i="31"/>
  <c r="S466" i="31"/>
  <c r="S32" i="31"/>
  <c r="S88" i="31"/>
  <c r="S1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AZ574" i="3" s="1"/>
  <c r="BC574" i="3"/>
  <c r="BD574" i="3"/>
  <c r="BE574" i="3"/>
  <c r="BF574" i="3"/>
  <c r="BG574" i="3"/>
  <c r="BH574" i="3"/>
  <c r="BI574" i="3"/>
  <c r="BJ574" i="3"/>
  <c r="BK574" i="3"/>
  <c r="BM574" i="3"/>
  <c r="BL574" i="3" s="1"/>
  <c r="BN574" i="3"/>
  <c r="BO574" i="3"/>
  <c r="BP574" i="3"/>
  <c r="BQ574" i="3"/>
  <c r="BR574" i="3"/>
  <c r="BS574" i="3"/>
  <c r="BT574" i="3"/>
  <c r="H575" i="3"/>
  <c r="AC575" i="3"/>
  <c r="BB575" i="3"/>
  <c r="BA575" i="3" s="1"/>
  <c r="BC575" i="3"/>
  <c r="BD575" i="3"/>
  <c r="BE575" i="3"/>
  <c r="BF575" i="3"/>
  <c r="BG575" i="3"/>
  <c r="BH575" i="3"/>
  <c r="BI575" i="3"/>
  <c r="BJ575" i="3"/>
  <c r="BK575" i="3"/>
  <c r="BM575" i="3"/>
  <c r="BL575" i="3" s="1"/>
  <c r="AZ575" i="3" s="1"/>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I7" i="12"/>
  <c r="J7" i="12"/>
  <c r="K7" i="12"/>
  <c r="H111" i="21"/>
  <c r="B110" i="39"/>
  <c r="H35" i="39" s="1"/>
  <c r="AB35" i="39" s="1"/>
  <c r="B112" i="39"/>
  <c r="J30" i="36"/>
  <c r="AC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J11" i="35" s="1"/>
  <c r="AC11" i="35" s="1"/>
  <c r="B61" i="35"/>
  <c r="B59" i="35"/>
  <c r="J12" i="35" s="1"/>
  <c r="W12" i="35" s="1"/>
  <c r="B131" i="34"/>
  <c r="H47" i="34" s="1"/>
  <c r="U47" i="34" s="1"/>
  <c r="B129" i="34"/>
  <c r="H46" i="34" s="1"/>
  <c r="B127" i="34"/>
  <c r="B99" i="34"/>
  <c r="F32" i="34" s="1"/>
  <c r="B97" i="34"/>
  <c r="B95" i="34"/>
  <c r="H30" i="34" s="1"/>
  <c r="B93" i="34"/>
  <c r="B75" i="34"/>
  <c r="F14" i="34" s="1"/>
  <c r="B73" i="34"/>
  <c r="B71" i="34"/>
  <c r="J12" i="34" s="1"/>
  <c r="B130" i="33"/>
  <c r="B128" i="33"/>
  <c r="H45" i="33" s="1"/>
  <c r="B126" i="33"/>
  <c r="B98" i="33"/>
  <c r="H31" i="33" s="1"/>
  <c r="U31" i="33" s="1"/>
  <c r="B96" i="33"/>
  <c r="B94" i="33"/>
  <c r="J29" i="33" s="1"/>
  <c r="AC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K5" i="3"/>
  <c r="I4" i="6" s="1"/>
  <c r="G3" i="43" s="1"/>
  <c r="J5" i="3"/>
  <c r="BE10" i="3"/>
  <c r="BB585" i="3"/>
  <c r="BA585" i="3" s="1"/>
  <c r="BC585" i="3"/>
  <c r="BD585" i="3"/>
  <c r="BD5" i="3" s="1"/>
  <c r="BE585" i="3"/>
  <c r="BF585" i="3"/>
  <c r="BG585" i="3"/>
  <c r="BH585" i="3"/>
  <c r="BH5" i="3" s="1"/>
  <c r="BI585" i="3"/>
  <c r="BJ585" i="3"/>
  <c r="BK585" i="3"/>
  <c r="BM585" i="3"/>
  <c r="BM5" i="3" s="1"/>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F36" i="39"/>
  <c r="S36" i="39" s="1"/>
  <c r="H36" i="39"/>
  <c r="F35" i="39"/>
  <c r="AA35" i="39" s="1"/>
  <c r="J36" i="39"/>
  <c r="AC36" i="39" s="1"/>
  <c r="U9" i="39"/>
  <c r="W40" i="39"/>
  <c r="U30" i="37"/>
  <c r="E103" i="37"/>
  <c r="F103" i="37" s="1"/>
  <c r="G103" i="37" s="1"/>
  <c r="H103" i="37" s="1"/>
  <c r="I103" i="37" s="1"/>
  <c r="J103" i="37" s="1"/>
  <c r="K103" i="37" s="1"/>
  <c r="L103" i="37" s="1"/>
  <c r="M103" i="37" s="1"/>
  <c r="F29" i="36"/>
  <c r="AA29" i="36" s="1"/>
  <c r="W8" i="36"/>
  <c r="F16" i="36"/>
  <c r="AA16" i="36" s="1"/>
  <c r="U9" i="36"/>
  <c r="W28" i="36"/>
  <c r="AA31" i="36"/>
  <c r="W31" i="36"/>
  <c r="U31" i="36"/>
  <c r="J33" i="36"/>
  <c r="H22" i="35"/>
  <c r="AB22" i="35" s="1"/>
  <c r="AC27" i="35"/>
  <c r="U31" i="35"/>
  <c r="W34" i="35"/>
  <c r="W22" i="35"/>
  <c r="U34" i="35"/>
  <c r="F36" i="34"/>
  <c r="J35" i="34"/>
  <c r="H39" i="33"/>
  <c r="AB39" i="33" s="1"/>
  <c r="U33" i="33"/>
  <c r="U35" i="33"/>
  <c r="W33" i="33"/>
  <c r="W39" i="33"/>
  <c r="H39" i="37"/>
  <c r="AB39" i="37" s="1"/>
  <c r="F11" i="40"/>
  <c r="AA11" i="40" s="1"/>
  <c r="H11" i="40"/>
  <c r="AB11" i="40" s="1"/>
  <c r="W8" i="40"/>
  <c r="AA9" i="40"/>
  <c r="U9" i="40"/>
  <c r="S34" i="40"/>
  <c r="U34" i="40"/>
  <c r="U40" i="40"/>
  <c r="F42" i="39"/>
  <c r="AA42" i="39" s="1"/>
  <c r="F41" i="39"/>
  <c r="S41" i="39" s="1"/>
  <c r="H40" i="39"/>
  <c r="S38" i="39"/>
  <c r="H34" i="39"/>
  <c r="U34" i="39" s="1"/>
  <c r="E109" i="39"/>
  <c r="H31" i="39"/>
  <c r="AB31" i="39" s="1"/>
  <c r="F31" i="39"/>
  <c r="AA31" i="39" s="1"/>
  <c r="E101" i="39"/>
  <c r="H19" i="39"/>
  <c r="AB19" i="39" s="1"/>
  <c r="F19" i="39"/>
  <c r="AA19"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G101" i="39" s="1"/>
  <c r="H27" i="39"/>
  <c r="U27" i="39" s="1"/>
  <c r="J19" i="39"/>
  <c r="AC19" i="39" s="1"/>
  <c r="J27" i="39"/>
  <c r="AC27" i="39" s="1"/>
  <c r="F27" i="39"/>
  <c r="F11" i="21"/>
  <c r="S11" i="21" s="1"/>
  <c r="S40" i="21"/>
  <c r="U34" i="21"/>
  <c r="C25" i="39"/>
  <c r="C21" i="39"/>
  <c r="C15" i="39"/>
  <c r="H32" i="33"/>
  <c r="AB32" i="33" s="1"/>
  <c r="H11" i="2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H17" i="34"/>
  <c r="U17" i="34" s="1"/>
  <c r="J15" i="34"/>
  <c r="W15" i="34" s="1"/>
  <c r="J28" i="34"/>
  <c r="W28" i="34" s="1"/>
  <c r="F41" i="33"/>
  <c r="AA41" i="33" s="1"/>
  <c r="S38"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J43" i="34"/>
  <c r="AB42" i="34"/>
  <c r="J40" i="34"/>
  <c r="H38" i="34"/>
  <c r="AB38" i="34" s="1"/>
  <c r="J36" i="34"/>
  <c r="W36" i="34" s="1"/>
  <c r="H37" i="34"/>
  <c r="U37" i="34" s="1"/>
  <c r="H25" i="34"/>
  <c r="AB25" i="34" s="1"/>
  <c r="F23" i="34"/>
  <c r="AA23" i="34" s="1"/>
  <c r="J19" i="34"/>
  <c r="AC19" i="34" s="1"/>
  <c r="F17" i="34"/>
  <c r="AA17" i="34" s="1"/>
  <c r="S41" i="33"/>
  <c r="H37" i="33"/>
  <c r="AB37" i="33" s="1"/>
  <c r="H15" i="33"/>
  <c r="AB15" i="33" s="1"/>
  <c r="H11" i="33"/>
  <c r="AB11" i="33" s="1"/>
  <c r="F28" i="40"/>
  <c r="AA28" i="40" s="1"/>
  <c r="AC38" i="34"/>
  <c r="J37" i="34"/>
  <c r="AC37" i="34" s="1"/>
  <c r="J11" i="33"/>
  <c r="W11" i="33" s="1"/>
  <c r="U23" i="40"/>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F27" i="33"/>
  <c r="AA27" i="33" s="1"/>
  <c r="J13" i="33"/>
  <c r="F13" i="33"/>
  <c r="H29" i="33"/>
  <c r="U29" i="33" s="1"/>
  <c r="J31" i="33"/>
  <c r="W31" i="33" s="1"/>
  <c r="F31" i="33"/>
  <c r="J45" i="33"/>
  <c r="J14" i="34"/>
  <c r="W14" i="34" s="1"/>
  <c r="H14" i="34"/>
  <c r="F30" i="34"/>
  <c r="S30" i="34" s="1"/>
  <c r="H32" i="34"/>
  <c r="J32" i="34"/>
  <c r="W32" i="34" s="1"/>
  <c r="F46" i="34"/>
  <c r="H11" i="35"/>
  <c r="U11" i="35" s="1"/>
  <c r="F11" i="35"/>
  <c r="S11" i="35" s="1"/>
  <c r="J26" i="36"/>
  <c r="W26" i="36" s="1"/>
  <c r="H28" i="36"/>
  <c r="U28" i="36" s="1"/>
  <c r="J32" i="36"/>
  <c r="W32" i="36" s="1"/>
  <c r="J11" i="36"/>
  <c r="H11" i="36"/>
  <c r="U11" i="36" s="1"/>
  <c r="F11" i="36"/>
  <c r="AA11" i="36" s="1"/>
  <c r="J13" i="36"/>
  <c r="W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H14" i="39"/>
  <c r="AB14" i="39" s="1"/>
  <c r="F12" i="40"/>
  <c r="S12" i="40" s="1"/>
  <c r="H12" i="40"/>
  <c r="AB12" i="40" s="1"/>
  <c r="H30" i="40"/>
  <c r="AB30" i="40" s="1"/>
  <c r="F33" i="40"/>
  <c r="AA33" i="40" s="1"/>
  <c r="H33" i="40"/>
  <c r="U33" i="40" s="1"/>
  <c r="J35" i="40"/>
  <c r="J37" i="40"/>
  <c r="AC37" i="40" s="1"/>
  <c r="H13" i="40"/>
  <c r="U13" i="40" s="1"/>
  <c r="F13" i="40"/>
  <c r="AA13" i="40" s="1"/>
  <c r="F14" i="37"/>
  <c r="S14" i="37" s="1"/>
  <c r="F27" i="37"/>
  <c r="AA27" i="37" s="1"/>
  <c r="F13" i="39"/>
  <c r="J13" i="39"/>
  <c r="W13" i="39" s="1"/>
  <c r="H13" i="39"/>
  <c r="H14" i="40"/>
  <c r="J14" i="40"/>
  <c r="W14" i="40" s="1"/>
  <c r="F14" i="40"/>
  <c r="J14" i="37"/>
  <c r="AC14" i="37" s="1"/>
  <c r="J27" i="37"/>
  <c r="AC27" i="37" s="1"/>
  <c r="U31" i="34"/>
  <c r="AA14" i="33"/>
  <c r="J36" i="37"/>
  <c r="AC36" i="37" s="1"/>
  <c r="AB11" i="35"/>
  <c r="J10" i="36"/>
  <c r="AC10" i="36" s="1"/>
  <c r="AB26" i="33"/>
  <c r="AA14" i="37"/>
  <c r="AC13" i="36"/>
  <c r="S11" i="36"/>
  <c r="W11" i="35"/>
  <c r="AB31" i="33"/>
  <c r="W29" i="33"/>
  <c r="AC28" i="21"/>
  <c r="S44" i="34"/>
  <c r="BA586" i="3"/>
  <c r="F17" i="21"/>
  <c r="AA17" i="21" s="1"/>
  <c r="H17" i="21"/>
  <c r="AB17" i="21" s="1"/>
  <c r="F15" i="21"/>
  <c r="S15" i="21" s="1"/>
  <c r="J41" i="39"/>
  <c r="W41" i="39" s="1"/>
  <c r="AC45" i="39"/>
  <c r="W36" i="39"/>
  <c r="S35" i="39"/>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AZ568" i="3" s="1"/>
  <c r="BL564" i="3"/>
  <c r="BL560" i="3"/>
  <c r="AZ560" i="3" s="1"/>
  <c r="BL554" i="3"/>
  <c r="BL546" i="3"/>
  <c r="BL542" i="3"/>
  <c r="BL538" i="3"/>
  <c r="BL534" i="3"/>
  <c r="BL530" i="3"/>
  <c r="AZ530" i="3" s="1"/>
  <c r="BL526" i="3"/>
  <c r="BL522" i="3"/>
  <c r="AZ522" i="3" s="1"/>
  <c r="BL516" i="3"/>
  <c r="BL512" i="3"/>
  <c r="BL506" i="3"/>
  <c r="BL502" i="3"/>
  <c r="AZ502" i="3" s="1"/>
  <c r="BL498" i="3"/>
  <c r="BL494" i="3"/>
  <c r="AZ494" i="3" s="1"/>
  <c r="BL578" i="3"/>
  <c r="BL570" i="3"/>
  <c r="BL566" i="3"/>
  <c r="BL562" i="3"/>
  <c r="AZ562" i="3" s="1"/>
  <c r="BL556" i="3"/>
  <c r="BL552" i="3"/>
  <c r="BL544" i="3"/>
  <c r="BL540" i="3"/>
  <c r="BL536" i="3"/>
  <c r="G533" i="3"/>
  <c r="BL532" i="3"/>
  <c r="G529" i="3"/>
  <c r="BL528" i="3"/>
  <c r="G525" i="3"/>
  <c r="BL524" i="3"/>
  <c r="BL518" i="3"/>
  <c r="BL514" i="3"/>
  <c r="BL510" i="3"/>
  <c r="BL504" i="3"/>
  <c r="BL500" i="3"/>
  <c r="BL496" i="3"/>
  <c r="G493" i="3"/>
  <c r="BA582" i="3"/>
  <c r="AZ580" i="3"/>
  <c r="AZ576" i="3"/>
  <c r="AZ572" i="3"/>
  <c r="BA568" i="3"/>
  <c r="BA566" i="3"/>
  <c r="AZ566" i="3"/>
  <c r="BA564" i="3"/>
  <c r="AZ564" i="3"/>
  <c r="BA562" i="3"/>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BA516" i="3"/>
  <c r="AZ516" i="3" s="1"/>
  <c r="BA514" i="3"/>
  <c r="BA512" i="3"/>
  <c r="BA510" i="3"/>
  <c r="BA508" i="3"/>
  <c r="AZ508" i="3" s="1"/>
  <c r="BA506" i="3"/>
  <c r="BA504" i="3"/>
  <c r="AZ504" i="3" s="1"/>
  <c r="BA502" i="3"/>
  <c r="BA500" i="3"/>
  <c r="BA498" i="3"/>
  <c r="AZ498" i="3" s="1"/>
  <c r="BA496" i="3"/>
  <c r="BA494" i="3"/>
  <c r="BA587" i="3"/>
  <c r="BA581" i="3"/>
  <c r="BA577" i="3"/>
  <c r="BA57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BQ581" i="3"/>
  <c r="BQ579" i="3"/>
  <c r="BL579" i="3" s="1"/>
  <c r="BQ577" i="3"/>
  <c r="BQ575" i="3"/>
  <c r="BQ573" i="3"/>
  <c r="BL573" i="3" s="1"/>
  <c r="AZ573" i="3" s="1"/>
  <c r="BQ571" i="3"/>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BQ499" i="3"/>
  <c r="BL499" i="3" s="1"/>
  <c r="AZ499" i="3" s="1"/>
  <c r="BQ497" i="3"/>
  <c r="BL497" i="3" s="1"/>
  <c r="BQ495" i="3"/>
  <c r="BL495" i="3" s="1"/>
  <c r="AZ495" i="3" s="1"/>
  <c r="BQ493" i="3"/>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AC32" i="36"/>
  <c r="U35" i="35"/>
  <c r="W23" i="35"/>
  <c r="W14" i="37"/>
  <c r="AB28" i="37"/>
  <c r="AC8" i="37"/>
  <c r="U26" i="37"/>
  <c r="AB13" i="34"/>
  <c r="W37" i="34"/>
  <c r="AB37" i="34"/>
  <c r="AC31" i="33"/>
  <c r="W44" i="33"/>
  <c r="U11" i="33"/>
  <c r="U19" i="21"/>
  <c r="W44" i="21"/>
  <c r="U26" i="21"/>
  <c r="AC46" i="21"/>
  <c r="U12" i="21"/>
  <c r="AB38" i="21"/>
  <c r="F43" i="33"/>
  <c r="AA43" i="33" s="1"/>
  <c r="W16" i="35"/>
  <c r="W40" i="37"/>
  <c r="H37" i="21"/>
  <c r="U37" i="21" s="1"/>
  <c r="S42" i="2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S42"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BL549" i="3"/>
  <c r="AZ514"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51" i="3"/>
  <c r="AZ55" i="3"/>
  <c r="AZ59" i="3"/>
  <c r="AZ63" i="3"/>
  <c r="AZ75" i="3"/>
  <c r="AZ152" i="3"/>
  <c r="AZ168" i="3"/>
  <c r="AZ184" i="3"/>
  <c r="AZ200" i="3"/>
  <c r="AZ109" i="3"/>
  <c r="G534" i="3"/>
  <c r="G530" i="3"/>
  <c r="G522" i="3"/>
  <c r="G516" i="3"/>
  <c r="G512" i="3"/>
  <c r="G506" i="3"/>
  <c r="G498" i="3"/>
  <c r="G494" i="3"/>
  <c r="G16" i="3"/>
  <c r="F40" i="77" s="1"/>
  <c r="G15" i="3"/>
  <c r="F39" i="77" s="1"/>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66" i="3"/>
  <c r="AZ182" i="3"/>
  <c r="AZ198" i="3"/>
  <c r="AZ500" i="3"/>
  <c r="BA16" i="3"/>
  <c r="BL303" i="3"/>
  <c r="AZ303" i="3" s="1"/>
  <c r="G304" i="3"/>
  <c r="BA306" i="3"/>
  <c r="AZ306" i="3" s="1"/>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335" i="3"/>
  <c r="G342" i="3"/>
  <c r="BL345" i="3"/>
  <c r="AZ345" i="3" s="1"/>
  <c r="G346" i="3"/>
  <c r="BL349" i="3"/>
  <c r="BL352" i="3"/>
  <c r="G353" i="3"/>
  <c r="BA357" i="3"/>
  <c r="BL358" i="3"/>
  <c r="AZ358" i="3" s="1"/>
  <c r="G359" i="3"/>
  <c r="BA361" i="3"/>
  <c r="AZ361" i="3" s="1"/>
  <c r="BL362" i="3"/>
  <c r="G363" i="3"/>
  <c r="BA365" i="3"/>
  <c r="AZ365" i="3" s="1"/>
  <c r="BL366" i="3"/>
  <c r="G367" i="3"/>
  <c r="BA369" i="3"/>
  <c r="BL370" i="3"/>
  <c r="G371" i="3"/>
  <c r="BA373" i="3"/>
  <c r="AZ373" i="3" s="1"/>
  <c r="BL374" i="3"/>
  <c r="G375" i="3"/>
  <c r="BA377" i="3"/>
  <c r="AZ233" i="3"/>
  <c r="AZ237" i="3"/>
  <c r="AZ269" i="3"/>
  <c r="AZ273" i="3"/>
  <c r="BA379" i="3"/>
  <c r="AZ379" i="3"/>
  <c r="BL380" i="3"/>
  <c r="G381" i="3"/>
  <c r="BA383" i="3"/>
  <c r="BL384" i="3"/>
  <c r="G385" i="3"/>
  <c r="BA387" i="3"/>
  <c r="AZ387" i="3"/>
  <c r="BL388" i="3"/>
  <c r="G389" i="3"/>
  <c r="BA391" i="3"/>
  <c r="AZ391" i="3"/>
  <c r="BL392" i="3"/>
  <c r="G393" i="3"/>
  <c r="AZ275" i="3"/>
  <c r="AZ291" i="3"/>
  <c r="BO5" i="3"/>
  <c r="BJ5" i="3"/>
  <c r="BF5" i="3"/>
  <c r="AZ549" i="3"/>
  <c r="AZ506" i="3"/>
  <c r="AZ496" i="3"/>
  <c r="G548" i="3"/>
  <c r="G538" i="3"/>
  <c r="G520" i="3"/>
  <c r="G502" i="3"/>
  <c r="BP5" i="3"/>
  <c r="BN5" i="3"/>
  <c r="BK5" i="3"/>
  <c r="BI5" i="3"/>
  <c r="BG5" i="3"/>
  <c r="BE5" i="3"/>
  <c r="BC5" i="3"/>
  <c r="G17" i="3"/>
  <c r="F41" i="77" s="1"/>
  <c r="BA17" i="3"/>
  <c r="BT5" i="3"/>
  <c r="AZ352" i="3"/>
  <c r="AZ368" i="3"/>
  <c r="BA15" i="3"/>
  <c r="BB5" i="3"/>
  <c r="BR5" i="3"/>
  <c r="AZ380" i="3"/>
  <c r="AZ384" i="3"/>
  <c r="AZ388" i="3"/>
  <c r="AZ392" i="3"/>
  <c r="G509" i="3"/>
  <c r="BL493" i="3"/>
  <c r="AZ390" i="3"/>
  <c r="U36" i="40"/>
  <c r="F36" i="43"/>
  <c r="F81" i="43"/>
  <c r="H83" i="43" s="1"/>
  <c r="H113" i="43"/>
  <c r="F48" i="43"/>
  <c r="H52" i="43" s="1"/>
  <c r="N7" i="43"/>
  <c r="F70" i="43"/>
  <c r="H73" i="43" s="1"/>
  <c r="M6" i="43"/>
  <c r="E17" i="43"/>
  <c r="F39" i="43"/>
  <c r="I17" i="43"/>
  <c r="F35" i="43"/>
  <c r="J17" i="43"/>
  <c r="F6" i="1"/>
  <c r="U35" i="21"/>
  <c r="AC35" i="21"/>
  <c r="U10" i="21"/>
  <c r="F48" i="9"/>
  <c r="O52" i="9" s="1"/>
  <c r="AZ501" i="3"/>
  <c r="W37" i="37"/>
  <c r="W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232" i="3"/>
  <c r="AZ235" i="3"/>
  <c r="AZ268" i="3"/>
  <c r="AZ271" i="3"/>
  <c r="AZ288" i="3"/>
  <c r="AZ114" i="3"/>
  <c r="AZ53" i="3"/>
  <c r="AZ58" i="3"/>
  <c r="AZ61" i="3"/>
  <c r="AZ66" i="3"/>
  <c r="AZ72" i="3"/>
  <c r="AZ74" i="3"/>
  <c r="AZ77" i="3"/>
  <c r="AZ110"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H86" i="43"/>
  <c r="H82" i="43"/>
  <c r="H87" i="43"/>
  <c r="F27" i="34" l="1"/>
  <c r="AA27" i="34" s="1"/>
  <c r="G521" i="3"/>
  <c r="AC5" i="3"/>
  <c r="AA14" i="40"/>
  <c r="S14" i="40"/>
  <c r="AB14" i="40"/>
  <c r="U14" i="40"/>
  <c r="AC14" i="39"/>
  <c r="W14" i="39"/>
  <c r="AB33" i="37"/>
  <c r="U33" i="37"/>
  <c r="S29" i="35"/>
  <c r="AA29" i="35"/>
  <c r="U11" i="21"/>
  <c r="AB11" i="21"/>
  <c r="S14" i="35"/>
  <c r="BQ5" i="3"/>
  <c r="AZ357" i="3"/>
  <c r="AZ355" i="3"/>
  <c r="U39" i="37"/>
  <c r="U43" i="33"/>
  <c r="AZ579" i="3"/>
  <c r="AZ493" i="3"/>
  <c r="AZ497" i="3"/>
  <c r="AZ587" i="3"/>
  <c r="AZ512" i="3"/>
  <c r="AZ540" i="3"/>
  <c r="AZ558" i="3"/>
  <c r="AZ582" i="3"/>
  <c r="W44" i="39"/>
  <c r="AC35" i="40"/>
  <c r="W35" i="40"/>
  <c r="AC31" i="34"/>
  <c r="W31" i="34"/>
  <c r="S44" i="33"/>
  <c r="AA44" i="33"/>
  <c r="AC11" i="36"/>
  <c r="W11" i="36"/>
  <c r="W45" i="33"/>
  <c r="AC45" i="33"/>
  <c r="S13" i="33"/>
  <c r="AA13" i="33"/>
  <c r="U30" i="21"/>
  <c r="AB30" i="21"/>
  <c r="AB17" i="34"/>
  <c r="AA28" i="34"/>
  <c r="S28" i="34"/>
  <c r="AB33" i="35"/>
  <c r="U33" i="35"/>
  <c r="AB40" i="39"/>
  <c r="U40" i="39"/>
  <c r="W33" i="36"/>
  <c r="AC33" i="36"/>
  <c r="AB13" i="33"/>
  <c r="U13" i="33"/>
  <c r="U45" i="33"/>
  <c r="AB45" i="33"/>
  <c r="W12" i="34"/>
  <c r="AC12" i="34"/>
  <c r="S14" i="34"/>
  <c r="AA14" i="34"/>
  <c r="U46" i="34"/>
  <c r="AB46" i="34"/>
  <c r="AB13" i="37"/>
  <c r="U13" i="37"/>
  <c r="W11" i="40"/>
  <c r="AC11" i="40"/>
  <c r="AA21" i="40"/>
  <c r="S21" i="40"/>
  <c r="AB36" i="39"/>
  <c r="U36" i="39"/>
  <c r="AB43" i="21"/>
  <c r="U43" i="21"/>
  <c r="AA34" i="21"/>
  <c r="S34" i="21"/>
  <c r="G585" i="3"/>
  <c r="H5" i="3"/>
  <c r="F29" i="6"/>
  <c r="AZ584" i="3"/>
  <c r="BL16" i="3"/>
  <c r="BS5" i="3"/>
  <c r="AZ377" i="3"/>
  <c r="AZ369" i="3"/>
  <c r="AZ16" i="3"/>
  <c r="AZ364" i="3"/>
  <c r="AZ356" i="3"/>
  <c r="AZ342" i="3"/>
  <c r="AZ336" i="3"/>
  <c r="AZ329" i="3"/>
  <c r="AZ321" i="3"/>
  <c r="AZ394" i="3"/>
  <c r="AZ341" i="3"/>
  <c r="AZ325" i="3"/>
  <c r="AZ309" i="3"/>
  <c r="W26" i="37"/>
  <c r="F24" i="35"/>
  <c r="AA24" i="35" s="1"/>
  <c r="AZ511" i="3"/>
  <c r="AZ525" i="3"/>
  <c r="AZ529" i="3"/>
  <c r="AZ533" i="3"/>
  <c r="AZ537" i="3"/>
  <c r="AZ541" i="3"/>
  <c r="AZ545" i="3"/>
  <c r="AZ561" i="3"/>
  <c r="AZ565" i="3"/>
  <c r="BL571" i="3"/>
  <c r="AZ571" i="3" s="1"/>
  <c r="BL577" i="3"/>
  <c r="AZ577" i="3" s="1"/>
  <c r="BL581" i="3"/>
  <c r="AZ510" i="3"/>
  <c r="J13" i="37"/>
  <c r="W13" i="37" s="1"/>
  <c r="F40" i="37"/>
  <c r="AA40" i="37" s="1"/>
  <c r="F13" i="36"/>
  <c r="S13" i="36" s="1"/>
  <c r="H32" i="36"/>
  <c r="AB32" i="36" s="1"/>
  <c r="J46" i="34"/>
  <c r="J30" i="34"/>
  <c r="F45" i="33"/>
  <c r="F29" i="33"/>
  <c r="S29" i="33" s="1"/>
  <c r="F31" i="21"/>
  <c r="S31" i="21" s="1"/>
  <c r="H29" i="21"/>
  <c r="U29" i="21" s="1"/>
  <c r="H27" i="21"/>
  <c r="AB27" i="21" s="1"/>
  <c r="J28" i="33"/>
  <c r="W28" i="33" s="1"/>
  <c r="U40" i="33"/>
  <c r="E113" i="33"/>
  <c r="F113" i="33" s="1"/>
  <c r="G113" i="33" s="1"/>
  <c r="H113" i="33" s="1"/>
  <c r="I113" i="33" s="1"/>
  <c r="J113" i="33" s="1"/>
  <c r="K113" i="33" s="1"/>
  <c r="L113" i="33" s="1"/>
  <c r="M113" i="33" s="1"/>
  <c r="H15" i="34"/>
  <c r="AB15" i="34" s="1"/>
  <c r="F15" i="34"/>
  <c r="AA15" i="34" s="1"/>
  <c r="F19" i="34"/>
  <c r="S35" i="34"/>
  <c r="F23" i="35"/>
  <c r="AA23" i="35" s="1"/>
  <c r="U8" i="35"/>
  <c r="AB8" i="36"/>
  <c r="W30" i="36"/>
  <c r="AC16" i="36"/>
  <c r="S44" i="39"/>
  <c r="AB12" i="35"/>
  <c r="S40" i="39"/>
  <c r="C27" i="39"/>
  <c r="J17" i="39"/>
  <c r="H17" i="39"/>
  <c r="AB17" i="39" s="1"/>
  <c r="S34" i="39"/>
  <c r="H39" i="39"/>
  <c r="U39" i="39" s="1"/>
  <c r="AC9" i="40"/>
  <c r="S27" i="35"/>
  <c r="S40" i="33"/>
  <c r="F26" i="33"/>
  <c r="W9" i="34"/>
  <c r="S34" i="35"/>
  <c r="W28" i="35"/>
  <c r="S30" i="36"/>
  <c r="F39" i="37"/>
  <c r="W31" i="37"/>
  <c r="J35" i="39"/>
  <c r="AB41" i="21"/>
  <c r="F9" i="33"/>
  <c r="F12" i="34"/>
  <c r="F12" i="35"/>
  <c r="J36" i="35"/>
  <c r="H39" i="40"/>
  <c r="G570" i="3"/>
  <c r="G566" i="3"/>
  <c r="G542" i="3"/>
  <c r="G526" i="3"/>
  <c r="C5" i="1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9" i="3"/>
  <c r="BL19" i="3"/>
  <c r="G22" i="3"/>
  <c r="BA23" i="3"/>
  <c r="BA24" i="3"/>
  <c r="BL24" i="3"/>
  <c r="BA25" i="3"/>
  <c r="AZ25" i="3" s="1"/>
  <c r="BL27" i="3"/>
  <c r="G28" i="3"/>
  <c r="BL29" i="3"/>
  <c r="G30" i="3"/>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3" i="3"/>
  <c r="G66" i="3"/>
  <c r="G68" i="3"/>
  <c r="BL69" i="3"/>
  <c r="G70" i="3"/>
  <c r="G72" i="3"/>
  <c r="G77" i="3"/>
  <c r="BL79" i="3"/>
  <c r="G80" i="3"/>
  <c r="BL82" i="3"/>
  <c r="G83" i="3"/>
  <c r="BA84" i="3"/>
  <c r="BL84" i="3"/>
  <c r="BA86" i="3"/>
  <c r="AZ86" i="3" s="1"/>
  <c r="BL86" i="3"/>
  <c r="BL87" i="3"/>
  <c r="G88" i="3"/>
  <c r="G90" i="3"/>
  <c r="BA91" i="3"/>
  <c r="BL91" i="3"/>
  <c r="BA92" i="3"/>
  <c r="AZ92" i="3" s="1"/>
  <c r="BA93" i="3"/>
  <c r="AZ93" i="3" s="1"/>
  <c r="BA94" i="3"/>
  <c r="AZ94" i="3" s="1"/>
  <c r="BL96" i="3"/>
  <c r="G97" i="3"/>
  <c r="BA98" i="3"/>
  <c r="AZ98" i="3" s="1"/>
  <c r="BL98" i="3"/>
  <c r="BA99" i="3"/>
  <c r="AZ99" i="3" s="1"/>
  <c r="BA101" i="3"/>
  <c r="BL101" i="3"/>
  <c r="BL103" i="3"/>
  <c r="G104" i="3"/>
  <c r="G106" i="3"/>
  <c r="G108" i="3"/>
  <c r="G112" i="3"/>
  <c r="L100" i="43"/>
  <c r="H27" i="34"/>
  <c r="AB27" i="34" s="1"/>
  <c r="J25" i="34"/>
  <c r="AC25" i="34" s="1"/>
  <c r="G28" i="6"/>
  <c r="AZ326" i="3"/>
  <c r="AZ311" i="3"/>
  <c r="AZ372" i="3"/>
  <c r="AZ347" i="3"/>
  <c r="AZ344" i="3"/>
  <c r="AZ337" i="3"/>
  <c r="AZ320" i="3"/>
  <c r="AZ313" i="3"/>
  <c r="AZ305" i="3"/>
  <c r="AZ362" i="3"/>
  <c r="AZ507" i="3"/>
  <c r="AZ513" i="3"/>
  <c r="AZ521" i="3"/>
  <c r="AZ553" i="3"/>
  <c r="AZ583" i="3"/>
  <c r="AZ581" i="3"/>
  <c r="AZ518" i="3"/>
  <c r="AZ538" i="3"/>
  <c r="AZ552" i="3"/>
  <c r="AB11" i="36"/>
  <c r="U46" i="33"/>
  <c r="AA13" i="35"/>
  <c r="AB14" i="37"/>
  <c r="U14" i="37"/>
  <c r="AC31" i="40"/>
  <c r="W31" i="40"/>
  <c r="AA38" i="40"/>
  <c r="S38" i="40"/>
  <c r="W40" i="40"/>
  <c r="AC40" i="40"/>
  <c r="AZ557" i="3"/>
  <c r="AC32" i="40"/>
  <c r="W32" i="40"/>
  <c r="BL586" i="3"/>
  <c r="AZ585" i="3"/>
  <c r="BA551" i="3"/>
  <c r="BL550" i="3"/>
  <c r="BA550" i="3"/>
  <c r="BL548" i="3"/>
  <c r="AZ548" i="3" s="1"/>
  <c r="F8" i="1"/>
  <c r="G8" i="1" s="1"/>
  <c r="B61" i="7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H43" i="34"/>
  <c r="AB43" i="34" s="1"/>
  <c r="J25" i="37"/>
  <c r="H38" i="40"/>
  <c r="F40" i="40"/>
  <c r="G574" i="3"/>
  <c r="G558" i="3"/>
  <c r="M20" i="15"/>
  <c r="M20" i="80"/>
  <c r="F34" i="79"/>
  <c r="F62" i="79" s="1"/>
  <c r="M20" i="78"/>
  <c r="M20" i="79"/>
  <c r="F34" i="78"/>
  <c r="F62" i="78" s="1"/>
  <c r="F34" i="80"/>
  <c r="F62" i="80" s="1"/>
  <c r="AZ399" i="3"/>
  <c r="AZ403" i="3"/>
  <c r="AZ405" i="3"/>
  <c r="AZ406" i="3"/>
  <c r="AZ415" i="3"/>
  <c r="AZ419" i="3"/>
  <c r="AZ421" i="3"/>
  <c r="AZ422" i="3"/>
  <c r="AZ425" i="3"/>
  <c r="AZ431" i="3"/>
  <c r="AZ435" i="3"/>
  <c r="AZ438" i="3"/>
  <c r="AZ442" i="3"/>
  <c r="AZ451" i="3"/>
  <c r="AZ453" i="3"/>
  <c r="AZ454" i="3"/>
  <c r="AZ458" i="3"/>
  <c r="AZ468" i="3"/>
  <c r="AZ469" i="3"/>
  <c r="AZ487" i="3"/>
  <c r="AZ270" i="3"/>
  <c r="AZ274" i="3"/>
  <c r="AZ284" i="3"/>
  <c r="AZ293" i="3"/>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8" i="3"/>
  <c r="BA21" i="3"/>
  <c r="BL21" i="3"/>
  <c r="BA22" i="3"/>
  <c r="AZ22" i="3" s="1"/>
  <c r="G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57" i="3" s="1"/>
  <c r="AZ38" i="3"/>
  <c r="AZ54" i="3"/>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G109" i="3"/>
  <c r="G110" i="3"/>
  <c r="G111" i="3"/>
  <c r="BL111" i="3"/>
  <c r="M100" i="43"/>
  <c r="I100" i="43"/>
  <c r="E100" i="43"/>
  <c r="I20" i="66"/>
  <c r="AZ95" i="3"/>
  <c r="AZ100" i="3"/>
  <c r="J27" i="34"/>
  <c r="W27" i="34" s="1"/>
  <c r="H19" i="34"/>
  <c r="AB19" i="34" s="1"/>
  <c r="J17" i="34"/>
  <c r="W17" i="34" s="1"/>
  <c r="J47" i="34"/>
  <c r="AA38" i="34"/>
  <c r="S9" i="34"/>
  <c r="G7" i="12"/>
  <c r="T27" i="1"/>
  <c r="F3" i="35"/>
  <c r="G1" i="80"/>
  <c r="G1" i="79"/>
  <c r="G1" i="78"/>
  <c r="S42" i="34"/>
  <c r="AC15" i="34"/>
  <c r="C40" i="11"/>
  <c r="G19" i="3"/>
  <c r="F43" i="77" s="1"/>
  <c r="E24" i="6"/>
  <c r="H7" i="12" s="1"/>
  <c r="G18" i="3"/>
  <c r="F42" i="77" s="1"/>
  <c r="E22" i="6"/>
  <c r="D24" i="77"/>
  <c r="D25" i="77" s="1"/>
  <c r="D26" i="77" s="1"/>
  <c r="G14" i="3"/>
  <c r="F38" i="77" s="1"/>
  <c r="E21" i="6"/>
  <c r="G12" i="1"/>
  <c r="F9" i="1"/>
  <c r="I20" i="43" s="1"/>
  <c r="AC36" i="34"/>
  <c r="AB23" i="34"/>
  <c r="AC17" i="34"/>
  <c r="S15" i="34"/>
  <c r="W8" i="34"/>
  <c r="W27" i="39"/>
  <c r="U17" i="39"/>
  <c r="M11" i="43"/>
  <c r="N4" i="43"/>
  <c r="K10" i="1"/>
  <c r="C30" i="77" s="1"/>
  <c r="E8" i="6"/>
  <c r="F27" i="6" s="1"/>
  <c r="BA18" i="3"/>
  <c r="AZ18" i="3" s="1"/>
  <c r="BL20" i="3"/>
  <c r="AZ20" i="3" s="1"/>
  <c r="BL23" i="3"/>
  <c r="AZ23" i="3" s="1"/>
  <c r="BL26" i="3"/>
  <c r="BL15" i="3"/>
  <c r="AZ15" i="3" s="1"/>
  <c r="D93" i="9"/>
  <c r="E12" i="6"/>
  <c r="E15" i="6"/>
  <c r="E60" i="40" s="1"/>
  <c r="K6" i="1"/>
  <c r="E13" i="6"/>
  <c r="E58" i="40" s="1"/>
  <c r="G29" i="6"/>
  <c r="E29" i="6" s="1"/>
  <c r="AC26" i="33"/>
  <c r="W26" i="33"/>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J56" i="9"/>
  <c r="J57" i="9" s="1"/>
  <c r="A24" i="51"/>
  <c r="B18" i="72" s="1"/>
  <c r="U29" i="34"/>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55" i="43"/>
  <c r="H51" i="43"/>
  <c r="H56" i="43"/>
  <c r="H76" i="43"/>
  <c r="H72" i="43"/>
  <c r="H77" i="43"/>
  <c r="L20" i="6"/>
  <c r="E62" i="39"/>
  <c r="E56" i="39"/>
  <c r="E51" i="40"/>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F40" i="79"/>
  <c r="F26" i="15"/>
  <c r="F26" i="80"/>
  <c r="F9" i="78"/>
  <c r="F42" i="80"/>
  <c r="L48" i="67"/>
  <c r="F7" i="67"/>
  <c r="F36" i="79"/>
  <c r="M22" i="78"/>
  <c r="M22" i="15"/>
  <c r="M28" i="80"/>
  <c r="M22" i="80"/>
  <c r="F40" i="80"/>
  <c r="F37" i="15"/>
  <c r="F36" i="67"/>
  <c r="F40" i="78"/>
  <c r="F36" i="15"/>
  <c r="F8" i="79"/>
  <c r="F6" i="67"/>
  <c r="M27" i="80"/>
  <c r="M9" i="80"/>
  <c r="M23" i="15"/>
  <c r="L47" i="78"/>
  <c r="F42" i="15"/>
  <c r="M24" i="15"/>
  <c r="L48" i="15"/>
  <c r="M6" i="15"/>
  <c r="M26" i="78"/>
  <c r="F9" i="67"/>
  <c r="F40" i="15"/>
  <c r="F8" i="15"/>
  <c r="M9" i="67"/>
  <c r="F16" i="15"/>
  <c r="F42" i="79"/>
  <c r="M8" i="80"/>
  <c r="M26" i="15"/>
  <c r="F13" i="15"/>
  <c r="F6" i="79"/>
  <c r="M8" i="15"/>
  <c r="L48" i="78"/>
  <c r="M23" i="67"/>
  <c r="M26" i="79"/>
  <c r="F37" i="67"/>
  <c r="F26" i="79"/>
  <c r="M24" i="78"/>
  <c r="M28" i="67"/>
  <c r="C76" i="78"/>
  <c r="J15" i="67"/>
  <c r="L48" i="79"/>
  <c r="M24" i="80"/>
  <c r="C76" i="80"/>
  <c r="J15" i="78"/>
  <c r="F42" i="67"/>
  <c r="F37" i="79"/>
  <c r="M24" i="79"/>
  <c r="F37" i="78"/>
  <c r="M29" i="67"/>
  <c r="J15" i="80"/>
  <c r="M28" i="78"/>
  <c r="F8" i="78"/>
  <c r="F38" i="79"/>
  <c r="F16" i="79"/>
  <c r="M9" i="79"/>
  <c r="F16" i="78"/>
  <c r="M6" i="78"/>
  <c r="M8" i="79"/>
  <c r="M8" i="78"/>
  <c r="F40" i="67"/>
  <c r="F6" i="80"/>
  <c r="F8" i="67"/>
  <c r="M8" i="67"/>
  <c r="J15" i="15"/>
  <c r="M22" i="67"/>
  <c r="M23" i="80"/>
  <c r="M9" i="15"/>
  <c r="F36" i="80"/>
  <c r="F13" i="67"/>
  <c r="J15" i="79"/>
  <c r="F8" i="80"/>
  <c r="F43" i="67"/>
  <c r="F13" i="80"/>
  <c r="M6" i="79"/>
  <c r="M27" i="78"/>
  <c r="C76" i="79"/>
  <c r="F26" i="67"/>
  <c r="M6" i="67"/>
  <c r="M24" i="67"/>
  <c r="L47" i="79"/>
  <c r="M6" i="80"/>
  <c r="F37" i="80"/>
  <c r="F9" i="15"/>
  <c r="L47" i="15"/>
  <c r="F13" i="79"/>
  <c r="F13" i="78"/>
  <c r="M26" i="67"/>
  <c r="F9" i="80"/>
  <c r="F38" i="15"/>
  <c r="F36" i="78"/>
  <c r="C76" i="15"/>
  <c r="M28" i="15"/>
  <c r="L47" i="80"/>
  <c r="M27" i="79"/>
  <c r="L48" i="80"/>
  <c r="M9" i="78"/>
  <c r="C76" i="67"/>
  <c r="F38" i="80"/>
  <c r="F9" i="79"/>
  <c r="M23" i="79"/>
  <c r="M28" i="79"/>
  <c r="M22" i="79"/>
  <c r="M26" i="80"/>
  <c r="M23" i="78"/>
  <c r="F38" i="78"/>
  <c r="F26" i="78"/>
  <c r="L47" i="67"/>
  <c r="F16" i="80"/>
  <c r="F16" i="67"/>
  <c r="G1" i="73"/>
  <c r="AC36" i="35" l="1"/>
  <c r="W36" i="35"/>
  <c r="S12" i="34"/>
  <c r="AA12" i="34"/>
  <c r="AA26" i="33"/>
  <c r="S26" i="33"/>
  <c r="AA45" i="33"/>
  <c r="S45" i="33"/>
  <c r="AZ101" i="3"/>
  <c r="AZ91" i="3"/>
  <c r="AZ39" i="3"/>
  <c r="AZ24" i="3"/>
  <c r="AZ207" i="3"/>
  <c r="AZ201" i="3"/>
  <c r="AZ174" i="3"/>
  <c r="AZ169" i="3"/>
  <c r="AZ125" i="3"/>
  <c r="AZ246" i="3"/>
  <c r="AZ242" i="3"/>
  <c r="AZ220" i="3"/>
  <c r="AZ211" i="3"/>
  <c r="AZ491" i="3"/>
  <c r="U39" i="40"/>
  <c r="AB39" i="40"/>
  <c r="S12" i="35"/>
  <c r="AA12" i="35"/>
  <c r="AA9" i="33"/>
  <c r="S9" i="33"/>
  <c r="AC35" i="39"/>
  <c r="W35" i="39"/>
  <c r="S39" i="37"/>
  <c r="AA39" i="37"/>
  <c r="W30" i="34"/>
  <c r="AC30" i="34"/>
  <c r="G5" i="3"/>
  <c r="B3" i="3" s="1"/>
  <c r="F37" i="77"/>
  <c r="F44" i="77" s="1"/>
  <c r="AB38" i="40"/>
  <c r="U38" i="40"/>
  <c r="C7" i="43"/>
  <c r="E56" i="40"/>
  <c r="AZ21" i="3"/>
  <c r="AA40" i="40"/>
  <c r="S40" i="40"/>
  <c r="AC25" i="37"/>
  <c r="W25" i="37"/>
  <c r="AC27" i="34"/>
  <c r="AC47" i="34"/>
  <c r="W47" i="34"/>
  <c r="C4" i="4"/>
  <c r="B4" i="62" s="1"/>
  <c r="B71" i="72" s="1"/>
  <c r="I115" i="43"/>
  <c r="J115" i="43" s="1"/>
  <c r="K115" i="43" s="1"/>
  <c r="L115" i="43" s="1"/>
  <c r="M115" i="43" s="1"/>
  <c r="C106" i="43"/>
  <c r="U21" i="1"/>
  <c r="F65" i="78"/>
  <c r="F64" i="78"/>
  <c r="F51" i="78"/>
  <c r="F66" i="78"/>
  <c r="C27" i="78"/>
  <c r="F68" i="78"/>
  <c r="Q71" i="78"/>
  <c r="N59" i="78"/>
  <c r="F51" i="80"/>
  <c r="F68" i="80"/>
  <c r="C27" i="80"/>
  <c r="F66" i="80"/>
  <c r="F65" i="80"/>
  <c r="F64" i="80"/>
  <c r="Q71" i="80"/>
  <c r="N59" i="80"/>
  <c r="L58" i="80"/>
  <c r="Q73" i="80" s="1"/>
  <c r="I54" i="80"/>
  <c r="L57" i="80"/>
  <c r="L60" i="80"/>
  <c r="Q57" i="80" s="1"/>
  <c r="L56" i="80"/>
  <c r="J59" i="80"/>
  <c r="J60" i="80"/>
  <c r="Q48" i="80" s="1"/>
  <c r="J57" i="80"/>
  <c r="J55" i="80" s="1"/>
  <c r="J58" i="80" s="1"/>
  <c r="Q50" i="80" s="1"/>
  <c r="F65" i="79"/>
  <c r="F64" i="79"/>
  <c r="F68" i="79"/>
  <c r="F51" i="79"/>
  <c r="C27" i="79"/>
  <c r="F66" i="79"/>
  <c r="Q71" i="79"/>
  <c r="L57" i="79"/>
  <c r="J59" i="79"/>
  <c r="L60" i="79"/>
  <c r="Q66" i="79" s="1"/>
  <c r="J57" i="79"/>
  <c r="J55" i="79" s="1"/>
  <c r="J58" i="79" s="1"/>
  <c r="Q50" i="79" s="1"/>
  <c r="I54" i="79"/>
  <c r="L56" i="79"/>
  <c r="J60" i="79"/>
  <c r="Q48" i="79" s="1"/>
  <c r="L58" i="79"/>
  <c r="Q60" i="79" s="1"/>
  <c r="N59" i="79"/>
  <c r="F53" i="9"/>
  <c r="F32" i="80"/>
  <c r="F60" i="80" s="1"/>
  <c r="F28" i="80"/>
  <c r="C28" i="80" s="1"/>
  <c r="F32" i="79"/>
  <c r="F60" i="79" s="1"/>
  <c r="F28" i="79"/>
  <c r="C28" i="79" s="1"/>
  <c r="M18" i="79"/>
  <c r="F28" i="78"/>
  <c r="C28" i="78" s="1"/>
  <c r="M18" i="80"/>
  <c r="F32" i="78"/>
  <c r="F60" i="78" s="1"/>
  <c r="M18" i="78"/>
  <c r="G27" i="6"/>
  <c r="E20" i="6"/>
  <c r="G31" i="6"/>
  <c r="F7" i="12"/>
  <c r="K9" i="1"/>
  <c r="M11" i="1"/>
  <c r="K8" i="1"/>
  <c r="E7" i="12"/>
  <c r="D27" i="77"/>
  <c r="F27" i="77" s="1"/>
  <c r="M10" i="1"/>
  <c r="J59" i="78"/>
  <c r="L58" i="78"/>
  <c r="L56" i="78"/>
  <c r="J60" i="78"/>
  <c r="Q48" i="78" s="1"/>
  <c r="L60" i="78"/>
  <c r="L57" i="78"/>
  <c r="J57" i="78"/>
  <c r="J55" i="78" s="1"/>
  <c r="J58" i="78" s="1"/>
  <c r="Q50" i="78" s="1"/>
  <c r="I54" i="78"/>
  <c r="G9" i="1"/>
  <c r="H62" i="43"/>
  <c r="H61" i="43"/>
  <c r="H60" i="43"/>
  <c r="H59" i="43"/>
  <c r="H67" i="43"/>
  <c r="H66" i="43"/>
  <c r="H65" i="43"/>
  <c r="H64" i="43"/>
  <c r="H63" i="43"/>
  <c r="D22" i="43"/>
  <c r="E4" i="4"/>
  <c r="B5" i="62" s="1"/>
  <c r="B73" i="72" s="1"/>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4"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M17" i="15"/>
  <c r="F31" i="15"/>
  <c r="F59" i="67"/>
  <c r="F31" i="67"/>
  <c r="F59" i="15"/>
  <c r="M17" i="67"/>
  <c r="M29" i="80"/>
  <c r="F7" i="79"/>
  <c r="M29" i="79"/>
  <c r="F7" i="78"/>
  <c r="C16" i="67"/>
  <c r="F43" i="78"/>
  <c r="F7" i="80"/>
  <c r="F43" i="79"/>
  <c r="M29" i="78"/>
  <c r="F43" i="80"/>
  <c r="L46" i="79" l="1"/>
  <c r="U22" i="1"/>
  <c r="U23" i="1" s="1"/>
  <c r="L46" i="80"/>
  <c r="Q66" i="80"/>
  <c r="F71" i="79"/>
  <c r="F50" i="79"/>
  <c r="C49" i="79" s="1"/>
  <c r="C48" i="79" s="1"/>
  <c r="C60" i="79" s="1"/>
  <c r="C10" i="79"/>
  <c r="M7" i="79"/>
  <c r="J10" i="79" s="1"/>
  <c r="C6" i="79"/>
  <c r="F71" i="80"/>
  <c r="F50" i="80"/>
  <c r="C49" i="80" s="1"/>
  <c r="C48" i="80" s="1"/>
  <c r="C66" i="80" s="1"/>
  <c r="C6" i="80"/>
  <c r="M7" i="80"/>
  <c r="J6" i="80" s="1"/>
  <c r="C10" i="80"/>
  <c r="Q73" i="79"/>
  <c r="Q60" i="80"/>
  <c r="Q57" i="79"/>
  <c r="C48" i="68"/>
  <c r="L46" i="78"/>
  <c r="D7" i="12"/>
  <c r="K7" i="1"/>
  <c r="E27" i="6"/>
  <c r="E31" i="6" s="1"/>
  <c r="F71" i="78"/>
  <c r="F50" i="78"/>
  <c r="C49" i="78" s="1"/>
  <c r="C48" i="78" s="1"/>
  <c r="M7" i="78"/>
  <c r="J34" i="34"/>
  <c r="F34" i="34"/>
  <c r="H34" i="34"/>
  <c r="O10" i="1"/>
  <c r="P10" i="1" s="1"/>
  <c r="J6" i="79"/>
  <c r="O11" i="1"/>
  <c r="P11" i="1" s="1"/>
  <c r="Q73" i="78"/>
  <c r="Q60" i="78"/>
  <c r="Q57" i="78"/>
  <c r="Q66" i="78"/>
  <c r="C24" i="80"/>
  <c r="F24" i="78"/>
  <c r="C24" i="78" s="1"/>
  <c r="F24" i="79"/>
  <c r="C30" i="69"/>
  <c r="K4" i="4"/>
  <c r="B46" i="48" s="1"/>
  <c r="B4" i="72"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AE10" i="1"/>
  <c r="AE11" i="1"/>
  <c r="F7" i="15"/>
  <c r="F43" i="15"/>
  <c r="M29" i="15"/>
  <c r="U25" i="1" l="1"/>
  <c r="W25" i="1" s="1"/>
  <c r="U7" i="1" s="1"/>
  <c r="C5" i="79"/>
  <c r="C32" i="79" s="1"/>
  <c r="C60" i="80"/>
  <c r="C5" i="80"/>
  <c r="C32" i="80" s="1"/>
  <c r="J10" i="80"/>
  <c r="J5" i="80" s="1"/>
  <c r="J24" i="80" s="1"/>
  <c r="M7" i="15"/>
  <c r="J6" i="15" s="1"/>
  <c r="F50" i="15"/>
  <c r="C49" i="15" s="1"/>
  <c r="F71" i="15"/>
  <c r="K16" i="1"/>
  <c r="C38" i="79"/>
  <c r="C66" i="79"/>
  <c r="H16" i="1"/>
  <c r="G16" i="1"/>
  <c r="K20" i="6"/>
  <c r="K24" i="6"/>
  <c r="K26" i="6"/>
  <c r="M26" i="6" s="1"/>
  <c r="I26" i="6" s="1"/>
  <c r="S26" i="6" s="1"/>
  <c r="K19" i="6"/>
  <c r="K23" i="6"/>
  <c r="K21" i="6"/>
  <c r="K22" i="6"/>
  <c r="K25" i="6"/>
  <c r="M25" i="6" s="1"/>
  <c r="I25" i="6" s="1"/>
  <c r="S25" i="6" s="1"/>
  <c r="C66" i="78"/>
  <c r="C60" i="78"/>
  <c r="J6" i="78"/>
  <c r="J10" i="78"/>
  <c r="J5" i="79"/>
  <c r="J26" i="79" s="1"/>
  <c r="AB34" i="34"/>
  <c r="U34" i="34"/>
  <c r="AC34" i="34"/>
  <c r="W34" i="34"/>
  <c r="AA34" i="34"/>
  <c r="S34" i="34"/>
  <c r="C24" i="79"/>
  <c r="E37" i="43"/>
  <c r="AA7" i="36"/>
  <c r="R36" i="36" s="1"/>
  <c r="E36" i="36" s="1"/>
  <c r="E40" i="36" s="1"/>
  <c r="F40" i="36" s="1"/>
  <c r="AC11" i="37"/>
  <c r="W11" i="37"/>
  <c r="AB7" i="37"/>
  <c r="T42" i="37" s="1"/>
  <c r="G42" i="37" s="1"/>
  <c r="G46" i="37" s="1"/>
  <c r="H46" i="37" s="1"/>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69"/>
  <c r="D22" i="69" s="1"/>
  <c r="C44" i="69"/>
  <c r="D41" i="69"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C38" i="67"/>
  <c r="F6" i="15"/>
  <c r="C10" i="15" l="1"/>
  <c r="C6" i="15"/>
  <c r="J10" i="15"/>
  <c r="J5" i="15" s="1"/>
  <c r="C38" i="80"/>
  <c r="H26" i="6"/>
  <c r="J26" i="80"/>
  <c r="H25" i="6"/>
  <c r="R25" i="6" s="1"/>
  <c r="J18" i="80"/>
  <c r="S9" i="1"/>
  <c r="M22" i="6"/>
  <c r="I22" i="6" s="1"/>
  <c r="S10" i="1"/>
  <c r="M23" i="6"/>
  <c r="I23" i="6" s="1"/>
  <c r="S7" i="1"/>
  <c r="M20" i="6"/>
  <c r="I20" i="6" s="1"/>
  <c r="H10" i="40"/>
  <c r="J10" i="40"/>
  <c r="F10" i="39"/>
  <c r="F10" i="40"/>
  <c r="H10" i="39"/>
  <c r="J10" i="39"/>
  <c r="J18" i="79"/>
  <c r="S8" i="1"/>
  <c r="M21" i="6"/>
  <c r="I21" i="6" s="1"/>
  <c r="S6" i="1"/>
  <c r="M19" i="6"/>
  <c r="K27" i="6"/>
  <c r="S11" i="1"/>
  <c r="M24" i="6"/>
  <c r="I24" i="6" s="1"/>
  <c r="J24" i="79"/>
  <c r="J5" i="78"/>
  <c r="AA7" i="34"/>
  <c r="J24" i="67"/>
  <c r="J18" i="67"/>
  <c r="G36" i="36"/>
  <c r="R37" i="36"/>
  <c r="AB7" i="34"/>
  <c r="W7" i="21"/>
  <c r="AA7" i="21"/>
  <c r="R48" i="21" s="1"/>
  <c r="E48" i="21" s="1"/>
  <c r="E52" i="21" s="1"/>
  <c r="F52" i="21" s="1"/>
  <c r="R26" i="6"/>
  <c r="D30" i="6"/>
  <c r="D16" i="6"/>
  <c r="A7" i="51"/>
  <c r="B7" i="72" s="1"/>
  <c r="C4" i="52"/>
  <c r="B45" i="72" s="1"/>
  <c r="A10" i="51"/>
  <c r="B9" i="72" s="1"/>
  <c r="D27" i="6"/>
  <c r="D19" i="68"/>
  <c r="C10" i="68"/>
  <c r="B29" i="1"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78"/>
  <c r="C17" i="15"/>
  <c r="E6" i="76"/>
  <c r="C17" i="79"/>
  <c r="C17" i="80"/>
  <c r="C5" i="15" l="1"/>
  <c r="C32" i="15" s="1"/>
  <c r="J18" i="15"/>
  <c r="J24" i="15"/>
  <c r="S24" i="6"/>
  <c r="H24" i="6"/>
  <c r="R24" i="6" s="1"/>
  <c r="R11" i="1" s="1"/>
  <c r="E8" i="70"/>
  <c r="AQ8" i="1"/>
  <c r="T8" i="1"/>
  <c r="AR8" i="1"/>
  <c r="U10" i="39"/>
  <c r="AB10" i="39"/>
  <c r="S10" i="39"/>
  <c r="AA10" i="39"/>
  <c r="U10" i="40"/>
  <c r="AB10" i="40"/>
  <c r="AQ10" i="1"/>
  <c r="T10" i="1"/>
  <c r="E10" i="70"/>
  <c r="AR10" i="1"/>
  <c r="E11" i="70"/>
  <c r="T11" i="1"/>
  <c r="AQ11" i="1"/>
  <c r="AR11" i="1"/>
  <c r="I19" i="6"/>
  <c r="M27" i="6"/>
  <c r="S21" i="6"/>
  <c r="H21" i="6"/>
  <c r="R21" i="6" s="1"/>
  <c r="R8" i="1" s="1"/>
  <c r="W10" i="39"/>
  <c r="AC10" i="39"/>
  <c r="AA10" i="40"/>
  <c r="S10" i="40"/>
  <c r="W10" i="40"/>
  <c r="AC10" i="40"/>
  <c r="S20" i="6"/>
  <c r="H20" i="6"/>
  <c r="R20" i="6" s="1"/>
  <c r="R7" i="1" s="1"/>
  <c r="S23" i="6"/>
  <c r="H23" i="6"/>
  <c r="R23" i="6" s="1"/>
  <c r="R10" i="1" s="1"/>
  <c r="S22" i="6"/>
  <c r="H22" i="6"/>
  <c r="R22" i="6" s="1"/>
  <c r="R9" i="1" s="1"/>
  <c r="AQ6" i="1"/>
  <c r="E6" i="70"/>
  <c r="AR6" i="1"/>
  <c r="T6" i="1"/>
  <c r="E7" i="70"/>
  <c r="AQ7" i="1"/>
  <c r="T7" i="1"/>
  <c r="AR7" i="1"/>
  <c r="AR9" i="1"/>
  <c r="AQ9" i="1"/>
  <c r="E9" i="70"/>
  <c r="T9" i="1"/>
  <c r="J24" i="78"/>
  <c r="J18" i="78"/>
  <c r="J26" i="78"/>
  <c r="C18" i="12"/>
  <c r="C8" i="68"/>
  <c r="D31" i="6"/>
  <c r="I6" i="6" s="1"/>
  <c r="E2" i="76"/>
  <c r="B2" i="43"/>
  <c r="R49" i="21"/>
  <c r="C48" i="21"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H63" i="40"/>
  <c r="G65" i="40"/>
  <c r="H70" i="39"/>
  <c r="F35" i="79"/>
  <c r="F35" i="15"/>
  <c r="M21" i="67"/>
  <c r="M21" i="78"/>
  <c r="F35" i="67"/>
  <c r="F35" i="80"/>
  <c r="M21" i="15"/>
  <c r="M21" i="80"/>
  <c r="F35" i="78"/>
  <c r="B6" i="76"/>
  <c r="M21" i="79"/>
  <c r="C38" i="15" l="1"/>
  <c r="J20" i="78"/>
  <c r="C34" i="78"/>
  <c r="F63" i="78"/>
  <c r="C62" i="78" s="1"/>
  <c r="J20" i="79"/>
  <c r="F63" i="79"/>
  <c r="C62" i="79" s="1"/>
  <c r="C34" i="79"/>
  <c r="J20" i="80"/>
  <c r="C34" i="80"/>
  <c r="F63" i="80"/>
  <c r="C62" i="80" s="1"/>
  <c r="S19" i="6"/>
  <c r="S27" i="6" s="1"/>
  <c r="H19" i="6"/>
  <c r="I27" i="6"/>
  <c r="C11" i="39"/>
  <c r="I7" i="6"/>
  <c r="C11" i="34" s="1"/>
  <c r="I5" i="6"/>
  <c r="B2" i="76"/>
  <c r="B3" i="76" s="1"/>
  <c r="B3" i="43"/>
  <c r="C49" i="21"/>
  <c r="F63" i="67"/>
  <c r="C62" i="67" s="1"/>
  <c r="C34" i="67"/>
  <c r="J20" i="67"/>
  <c r="J20" i="15"/>
  <c r="F63" i="15"/>
  <c r="C62" i="15" s="1"/>
  <c r="C34" i="15"/>
  <c r="I63" i="40"/>
  <c r="H65" i="40"/>
  <c r="I70" i="39"/>
  <c r="H27" i="6" l="1"/>
  <c r="R19" i="6"/>
  <c r="H11" i="39"/>
  <c r="J11" i="39"/>
  <c r="F11" i="39"/>
  <c r="F11" i="34"/>
  <c r="H11" i="34"/>
  <c r="J11" i="34"/>
  <c r="J63" i="40"/>
  <c r="I65" i="40"/>
  <c r="J70" i="39"/>
  <c r="R27" i="6" l="1"/>
  <c r="R6" i="1"/>
  <c r="R16" i="1" s="1"/>
  <c r="W11" i="34"/>
  <c r="AC11" i="34"/>
  <c r="V49" i="34" s="1"/>
  <c r="I49" i="34" s="1"/>
  <c r="S11" i="34"/>
  <c r="AA11" i="34"/>
  <c r="R49" i="34" s="1"/>
  <c r="W11" i="39"/>
  <c r="AC11" i="39"/>
  <c r="U11" i="34"/>
  <c r="AB11" i="34"/>
  <c r="T49" i="34" s="1"/>
  <c r="G49" i="34" s="1"/>
  <c r="AA11" i="39"/>
  <c r="S11" i="39"/>
  <c r="AB11" i="39"/>
  <c r="U11" i="39"/>
  <c r="K63" i="40"/>
  <c r="J65" i="40"/>
  <c r="K70" i="39"/>
  <c r="G53" i="34" l="1"/>
  <c r="H53" i="34" s="1"/>
  <c r="G54" i="34"/>
  <c r="H54" i="34" s="1"/>
  <c r="E49" i="34"/>
  <c r="R50" i="34"/>
  <c r="I53" i="34"/>
  <c r="J53" i="34" s="1"/>
  <c r="L63" i="40"/>
  <c r="K65" i="40"/>
  <c r="L70" i="39"/>
  <c r="E2" i="70"/>
  <c r="C17" i="67"/>
  <c r="E54" i="34" l="1"/>
  <c r="F54" i="34" s="1"/>
  <c r="E53" i="34"/>
  <c r="F53" i="34" s="1"/>
  <c r="I54" i="34"/>
  <c r="J54" i="34" s="1"/>
  <c r="C50" i="34"/>
  <c r="C49" i="34"/>
  <c r="M63" i="40"/>
  <c r="L65" i="40"/>
  <c r="M70" i="39"/>
  <c r="D10" i="69"/>
  <c r="N63" i="40" l="1"/>
  <c r="M65" i="40"/>
  <c r="O70" i="39"/>
  <c r="N70" i="39"/>
  <c r="D19" i="69"/>
  <c r="C10" i="69"/>
  <c r="C8" i="69" s="1"/>
  <c r="C5" i="69" s="1"/>
  <c r="O63" i="40" l="1"/>
  <c r="O65" i="40" s="1"/>
  <c r="N65" i="40"/>
  <c r="C23" i="69"/>
  <c r="C19" i="69"/>
  <c r="C24" i="69" s="1"/>
  <c r="D37" i="69"/>
  <c r="C37" i="69" s="1"/>
  <c r="C14" i="67"/>
  <c r="AO11" i="1"/>
  <c r="B11" i="70" l="1"/>
  <c r="F7" i="40"/>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L51" i="67"/>
  <c r="L57" i="67" l="1"/>
  <c r="L60" i="67" s="1"/>
  <c r="L46" i="67" s="1"/>
  <c r="C80" i="67"/>
  <c r="C79" i="67" s="1"/>
  <c r="Q69" i="67"/>
  <c r="Q68" i="67" s="1"/>
  <c r="Q67" i="67"/>
  <c r="C59" i="67"/>
  <c r="C66" i="67"/>
  <c r="T16" i="1"/>
  <c r="Q66" i="67" l="1"/>
  <c r="Q57" i="67"/>
  <c r="C58" i="67"/>
  <c r="C67" i="67" s="1"/>
  <c r="AE6" i="1"/>
  <c r="AG6" i="1" l="1"/>
  <c r="L57" i="15"/>
  <c r="L60" i="15" s="1"/>
  <c r="M27" i="15"/>
  <c r="F41" i="67"/>
  <c r="F41" i="78"/>
  <c r="M27" i="67"/>
  <c r="J29" i="78" l="1"/>
  <c r="F69" i="78"/>
  <c r="J26" i="15"/>
  <c r="J26" i="67"/>
  <c r="J29" i="67" s="1"/>
  <c r="Q57" i="15"/>
  <c r="Q66" i="15"/>
  <c r="F69" i="67"/>
  <c r="C68" i="67" s="1"/>
  <c r="C71" i="67" s="1"/>
  <c r="C40" i="67"/>
  <c r="C83" i="67" s="1"/>
  <c r="C82" i="67" s="1"/>
  <c r="AO10" i="1"/>
  <c r="B10" i="70" l="1"/>
  <c r="C43" i="67"/>
  <c r="C45" i="67"/>
  <c r="C46" i="67" s="1"/>
  <c r="Q65" i="67"/>
  <c r="Q75" i="67" s="1"/>
  <c r="Q56" i="67"/>
  <c r="Q62" i="67" s="1"/>
  <c r="Q47" i="67"/>
  <c r="Q53" i="67" s="1"/>
  <c r="D2" i="67"/>
  <c r="B2" i="67" s="1"/>
  <c r="E2" i="69"/>
  <c r="AO6" i="1"/>
  <c r="B6" i="70" l="1"/>
  <c r="B3" i="67"/>
  <c r="D2" i="34"/>
  <c r="D2" i="35"/>
  <c r="D2" i="36"/>
  <c r="E2" i="68"/>
  <c r="D2" i="21"/>
  <c r="F20" i="31"/>
  <c r="D2" i="37"/>
  <c r="D2" i="33"/>
  <c r="B2" i="36" l="1"/>
  <c r="B3" i="36" s="1"/>
  <c r="B2" i="35"/>
  <c r="B3" i="35" s="1"/>
  <c r="B2" i="37"/>
  <c r="B3" i="37" s="1"/>
  <c r="B2" i="34"/>
  <c r="B2" i="21"/>
  <c r="B3" i="21" s="1"/>
  <c r="B3" i="34" l="1"/>
  <c r="R24" i="31" s="1"/>
  <c r="S24" i="31" l="1"/>
  <c r="R25" i="31"/>
  <c r="S25" i="31" s="1"/>
  <c r="H109" i="9"/>
  <c r="S22" i="31" l="1"/>
  <c r="H110" i="9"/>
  <c r="D18" i="53" s="1"/>
  <c r="B35" i="72" s="1"/>
  <c r="D124" i="9"/>
  <c r="D16" i="53"/>
  <c r="B34" i="72" s="1"/>
  <c r="C8" i="12" l="1"/>
  <c r="R22" i="31"/>
  <c r="B20" i="31"/>
  <c r="D10" i="52"/>
  <c r="H14" i="74"/>
  <c r="D17" i="53"/>
  <c r="B36" i="72" s="1"/>
  <c r="D125" i="9"/>
  <c r="D11" i="52" s="1"/>
  <c r="B21" i="31" l="1"/>
  <c r="C6" i="12"/>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0" i="68" l="1"/>
  <c r="H112" i="9"/>
  <c r="D21" i="53" s="1"/>
  <c r="B39" i="72" s="1"/>
  <c r="H111" i="9"/>
  <c r="D126" i="9" s="1"/>
  <c r="D59" i="9"/>
  <c r="M55" i="9" s="1"/>
  <c r="D19" i="53" l="1"/>
  <c r="B38" i="72" s="1"/>
  <c r="D20" i="53"/>
  <c r="B40" i="72" s="1"/>
  <c r="I14" i="74"/>
  <c r="B8" i="74" s="1"/>
  <c r="D127" i="9"/>
  <c r="D13" i="52" s="1"/>
  <c r="D12" i="52"/>
  <c r="D8" i="74" l="1"/>
  <c r="C8" i="74"/>
  <c r="AD3" i="71" l="1"/>
  <c r="P21" i="43" s="1"/>
  <c r="P22" i="43" l="1"/>
  <c r="P23" i="43"/>
  <c r="P24" i="43"/>
  <c r="B66" i="40" s="1"/>
  <c r="P25" i="43"/>
  <c r="B71" i="39" l="1"/>
  <c r="Q16" i="1"/>
  <c r="F27" i="68" l="1"/>
  <c r="F27" i="11"/>
  <c r="F27" i="69"/>
  <c r="F28" i="12"/>
  <c r="C47" i="11" l="1"/>
  <c r="D45" i="11" s="1"/>
  <c r="C47" i="69"/>
  <c r="D45" i="69" s="1"/>
  <c r="C29" i="69"/>
  <c r="D27" i="69" s="1"/>
  <c r="C28" i="69"/>
  <c r="C27" i="69" s="1"/>
  <c r="C47" i="68"/>
  <c r="D45" i="68" s="1"/>
  <c r="C31" i="69" l="1"/>
  <c r="F6" i="78"/>
  <c r="C6" i="78" l="1"/>
  <c r="C10" i="78"/>
  <c r="C5" i="78" l="1"/>
  <c r="C38" i="78" s="1"/>
  <c r="C32" i="78" l="1"/>
  <c r="J59" i="15" l="1"/>
  <c r="J60" i="15" s="1"/>
  <c r="Q48" i="15" l="1"/>
  <c r="L46" i="15"/>
  <c r="C48" i="15" l="1"/>
  <c r="C60" i="15" l="1"/>
  <c r="C66" i="15"/>
  <c r="F42" i="78"/>
  <c r="M9" i="1" l="1"/>
  <c r="M8" i="1"/>
  <c r="M7" i="1"/>
  <c r="C34" i="69"/>
  <c r="C16" i="79"/>
  <c r="C14" i="15"/>
  <c r="C16" i="15"/>
  <c r="C16" i="78"/>
  <c r="C16" i="80"/>
  <c r="C14" i="80"/>
  <c r="C14" i="78"/>
  <c r="C14" i="79"/>
  <c r="C15" i="79" l="1"/>
  <c r="C18" i="79"/>
  <c r="C15" i="80"/>
  <c r="C18" i="80"/>
  <c r="C18" i="15"/>
  <c r="C15" i="15"/>
  <c r="C15" i="78"/>
  <c r="C18" i="78"/>
  <c r="C38" i="69"/>
  <c r="C35" i="69"/>
  <c r="O8" i="1"/>
  <c r="P8" i="1" s="1"/>
  <c r="O9" i="1"/>
  <c r="P9" i="1" s="1"/>
  <c r="M16" i="1"/>
  <c r="L16" i="1" s="1"/>
  <c r="O7" i="1"/>
  <c r="N16" i="1"/>
  <c r="B21" i="1" s="1"/>
  <c r="B23" i="1" l="1"/>
  <c r="B24" i="1"/>
  <c r="C24" i="11"/>
  <c r="C44" i="68"/>
  <c r="D41" i="68" s="1"/>
  <c r="C44" i="11"/>
  <c r="D41" i="11" s="1"/>
  <c r="C24" i="68"/>
  <c r="C29" i="11"/>
  <c r="D27" i="11" s="1"/>
  <c r="C28" i="11"/>
  <c r="C27" i="11" s="1"/>
  <c r="C29" i="68"/>
  <c r="D27" i="68" s="1"/>
  <c r="C28" i="68"/>
  <c r="C27" i="68" s="1"/>
  <c r="C19" i="79"/>
  <c r="C20" i="79" s="1"/>
  <c r="C23" i="79" s="1"/>
  <c r="C19" i="80"/>
  <c r="C20" i="80" s="1"/>
  <c r="C26" i="80" s="1"/>
  <c r="O16" i="1"/>
  <c r="C33" i="69"/>
  <c r="C39" i="69" s="1"/>
  <c r="C43" i="69" s="1"/>
  <c r="C19" i="15"/>
  <c r="C20" i="15" s="1"/>
  <c r="C26" i="15" s="1"/>
  <c r="C19" i="78"/>
  <c r="C20" i="78" s="1"/>
  <c r="F34" i="11"/>
  <c r="F11" i="12"/>
  <c r="C14" i="12" s="1"/>
  <c r="F34" i="68"/>
  <c r="P7" i="1"/>
  <c r="P16" i="1" s="1"/>
  <c r="C11" i="12" s="1"/>
  <c r="J53" i="80" l="1"/>
  <c r="M59" i="79"/>
  <c r="L59" i="79" s="1"/>
  <c r="J53" i="78"/>
  <c r="M59" i="67"/>
  <c r="J53" i="15"/>
  <c r="M59" i="78"/>
  <c r="L59" i="78" s="1"/>
  <c r="M59" i="80"/>
  <c r="L59" i="80" s="1"/>
  <c r="J53" i="79"/>
  <c r="M59" i="15"/>
  <c r="L59" i="15" s="1"/>
  <c r="F50" i="69"/>
  <c r="C26" i="12"/>
  <c r="D25" i="12" s="1"/>
  <c r="F50" i="11"/>
  <c r="F50" i="68"/>
  <c r="C29" i="12"/>
  <c r="D28" i="12" s="1"/>
  <c r="C26" i="68"/>
  <c r="D22" i="68" s="1"/>
  <c r="C25" i="11"/>
  <c r="C23" i="11"/>
  <c r="C26" i="11"/>
  <c r="D22" i="11" s="1"/>
  <c r="C23" i="68"/>
  <c r="C25" i="68"/>
  <c r="C26" i="79"/>
  <c r="C29" i="79" s="1"/>
  <c r="C23" i="80"/>
  <c r="C29" i="80" s="1"/>
  <c r="C42" i="69"/>
  <c r="C41" i="69" s="1"/>
  <c r="C26" i="78"/>
  <c r="C23" i="78"/>
  <c r="C23" i="15"/>
  <c r="C29" i="15" s="1"/>
  <c r="C57" i="15" s="1"/>
  <c r="C46" i="69"/>
  <c r="C45" i="69" s="1"/>
  <c r="C37" i="68"/>
  <c r="C34" i="68"/>
  <c r="C36" i="68"/>
  <c r="C36" i="11"/>
  <c r="C37" i="11"/>
  <c r="C34" i="11"/>
  <c r="C12" i="12"/>
  <c r="C15" i="12"/>
  <c r="C22" i="11" l="1"/>
  <c r="C31" i="11" s="1"/>
  <c r="C22" i="68"/>
  <c r="C31" i="68" s="1"/>
  <c r="Q52" i="79"/>
  <c r="F1" i="79"/>
  <c r="Q61" i="78"/>
  <c r="Q74" i="78"/>
  <c r="Q74" i="79"/>
  <c r="Q61" i="79"/>
  <c r="Q74" i="15"/>
  <c r="Q61" i="15"/>
  <c r="Q74" i="80"/>
  <c r="Q61" i="80"/>
  <c r="L56" i="15"/>
  <c r="F1" i="15"/>
  <c r="Q52" i="15"/>
  <c r="Q52" i="78"/>
  <c r="F1" i="78"/>
  <c r="Q52" i="80"/>
  <c r="F1" i="80"/>
  <c r="C33" i="80"/>
  <c r="C31" i="80" s="1"/>
  <c r="C13" i="80"/>
  <c r="J19" i="80"/>
  <c r="J17" i="80" s="1"/>
  <c r="C57" i="80"/>
  <c r="J14" i="80"/>
  <c r="Q49" i="80"/>
  <c r="C36" i="80"/>
  <c r="J14" i="79"/>
  <c r="C33" i="79"/>
  <c r="C31" i="79" s="1"/>
  <c r="C57" i="79"/>
  <c r="C36" i="79"/>
  <c r="J19" i="79"/>
  <c r="J17" i="79" s="1"/>
  <c r="Q49" i="79"/>
  <c r="C13" i="79"/>
  <c r="C36" i="15"/>
  <c r="Q49" i="15"/>
  <c r="J19" i="15"/>
  <c r="J17" i="15" s="1"/>
  <c r="J14" i="15"/>
  <c r="J22" i="15" s="1"/>
  <c r="C13" i="15"/>
  <c r="C37" i="15" s="1"/>
  <c r="C33" i="15"/>
  <c r="C31" i="15" s="1"/>
  <c r="C29" i="78"/>
  <c r="C49" i="69"/>
  <c r="C51" i="69" s="1"/>
  <c r="C52" i="69" s="1"/>
  <c r="B2" i="69" s="1"/>
  <c r="B3" i="69" s="1"/>
  <c r="C16" i="12"/>
  <c r="C21" i="12" s="1"/>
  <c r="C22" i="12" s="1"/>
  <c r="C64" i="15"/>
  <c r="C61" i="15"/>
  <c r="C59" i="15" s="1"/>
  <c r="C35" i="11"/>
  <c r="C38" i="11"/>
  <c r="C35" i="68"/>
  <c r="C38" i="68"/>
  <c r="AE8" i="1"/>
  <c r="AE9" i="1"/>
  <c r="AE7" i="1"/>
  <c r="C75" i="79" l="1"/>
  <c r="C37" i="79"/>
  <c r="C30" i="79" s="1"/>
  <c r="C39" i="79" s="1"/>
  <c r="C56" i="79"/>
  <c r="C65" i="79" s="1"/>
  <c r="Q70" i="79"/>
  <c r="C64" i="79"/>
  <c r="C61" i="79"/>
  <c r="C59" i="79" s="1"/>
  <c r="J22" i="79"/>
  <c r="J13" i="79"/>
  <c r="J23" i="79" s="1"/>
  <c r="C61" i="80"/>
  <c r="C59" i="80" s="1"/>
  <c r="C64" i="80"/>
  <c r="C37" i="80"/>
  <c r="C30" i="80" s="1"/>
  <c r="C39" i="80" s="1"/>
  <c r="C56" i="80"/>
  <c r="C65" i="80" s="1"/>
  <c r="C75" i="80"/>
  <c r="Q70" i="80"/>
  <c r="J13" i="80"/>
  <c r="J23" i="80" s="1"/>
  <c r="J22" i="80"/>
  <c r="C75" i="15"/>
  <c r="C56" i="15"/>
  <c r="C65" i="15" s="1"/>
  <c r="C58" i="15" s="1"/>
  <c r="C67" i="15" s="1"/>
  <c r="Q70" i="15"/>
  <c r="J13" i="15"/>
  <c r="J23" i="15" s="1"/>
  <c r="J16" i="15" s="1"/>
  <c r="J25" i="15" s="1"/>
  <c r="C30" i="15"/>
  <c r="C39" i="15" s="1"/>
  <c r="J14" i="78"/>
  <c r="C33" i="78"/>
  <c r="C31" i="78" s="1"/>
  <c r="C13" i="78"/>
  <c r="C57" i="78"/>
  <c r="C36" i="78"/>
  <c r="Q49" i="78"/>
  <c r="J19" i="78"/>
  <c r="J17" i="78" s="1"/>
  <c r="C33" i="11"/>
  <c r="C42" i="11" s="1"/>
  <c r="C57" i="69"/>
  <c r="C56" i="69" s="1"/>
  <c r="C33" i="68"/>
  <c r="C39" i="68" s="1"/>
  <c r="C43" i="68" s="1"/>
  <c r="F41" i="15"/>
  <c r="F41" i="79"/>
  <c r="L51" i="79"/>
  <c r="F41" i="80"/>
  <c r="L51" i="80"/>
  <c r="J29" i="80" l="1"/>
  <c r="F69" i="80"/>
  <c r="J29" i="79"/>
  <c r="F69" i="79"/>
  <c r="J29" i="15"/>
  <c r="F69" i="15"/>
  <c r="C68" i="15"/>
  <c r="C71" i="15" s="1"/>
  <c r="C80" i="15"/>
  <c r="C79" i="15" s="1"/>
  <c r="C80" i="80"/>
  <c r="C79" i="80" s="1"/>
  <c r="C58" i="79"/>
  <c r="C67" i="79" s="1"/>
  <c r="C68" i="79" s="1"/>
  <c r="C71" i="79" s="1"/>
  <c r="J16" i="80"/>
  <c r="J25" i="80" s="1"/>
  <c r="J16" i="79"/>
  <c r="J25" i="79" s="1"/>
  <c r="Q67" i="79"/>
  <c r="Q67" i="80"/>
  <c r="Q69" i="79"/>
  <c r="Q68" i="79" s="1"/>
  <c r="C40" i="79"/>
  <c r="Q69" i="80"/>
  <c r="Q68" i="80" s="1"/>
  <c r="C40" i="80"/>
  <c r="C58" i="80"/>
  <c r="C67" i="80" s="1"/>
  <c r="C68" i="80" s="1"/>
  <c r="C80" i="79"/>
  <c r="C79" i="79" s="1"/>
  <c r="C39" i="11"/>
  <c r="C43" i="11" s="1"/>
  <c r="C41" i="11" s="1"/>
  <c r="C40" i="15"/>
  <c r="Q69" i="15"/>
  <c r="Q68" i="15" s="1"/>
  <c r="C37" i="78"/>
  <c r="C30" i="78" s="1"/>
  <c r="C39" i="78" s="1"/>
  <c r="Q70" i="78"/>
  <c r="C56" i="78"/>
  <c r="C65" i="78" s="1"/>
  <c r="C75" i="78"/>
  <c r="J13" i="78"/>
  <c r="J23" i="78" s="1"/>
  <c r="J22" i="78"/>
  <c r="C64" i="78"/>
  <c r="C61" i="78"/>
  <c r="C59" i="78" s="1"/>
  <c r="C42" i="68"/>
  <c r="C41" i="68" s="1"/>
  <c r="C46" i="68"/>
  <c r="C45" i="68" s="1"/>
  <c r="L51" i="15"/>
  <c r="L51" i="78"/>
  <c r="C46" i="15" l="1"/>
  <c r="Q65" i="80"/>
  <c r="Q75" i="80" s="1"/>
  <c r="C43" i="80"/>
  <c r="B2" i="80"/>
  <c r="Q47" i="80"/>
  <c r="Q53" i="80" s="1"/>
  <c r="Q56" i="80"/>
  <c r="Q62" i="80" s="1"/>
  <c r="C83" i="80"/>
  <c r="C82" i="80" s="1"/>
  <c r="Q47" i="79"/>
  <c r="Q53" i="79" s="1"/>
  <c r="B2" i="79"/>
  <c r="Q65" i="79"/>
  <c r="Q75" i="79" s="1"/>
  <c r="Q56" i="79"/>
  <c r="Q62" i="79" s="1"/>
  <c r="C43" i="79"/>
  <c r="C83" i="79"/>
  <c r="C82" i="79" s="1"/>
  <c r="C46" i="79"/>
  <c r="C71" i="80"/>
  <c r="C46" i="80"/>
  <c r="Q56" i="15"/>
  <c r="Q62" i="15" s="1"/>
  <c r="C83" i="15"/>
  <c r="C82" i="15" s="1"/>
  <c r="B2" i="15"/>
  <c r="D8" i="12" s="1"/>
  <c r="C46" i="11"/>
  <c r="C45" i="11" s="1"/>
  <c r="Q67" i="15"/>
  <c r="Q65" i="15"/>
  <c r="Q75" i="15" s="1"/>
  <c r="Q47" i="15"/>
  <c r="Q53" i="15" s="1"/>
  <c r="C43" i="15"/>
  <c r="C58" i="78"/>
  <c r="C67" i="78" s="1"/>
  <c r="C68" i="78" s="1"/>
  <c r="C71" i="78" s="1"/>
  <c r="Q67" i="78"/>
  <c r="C49" i="68"/>
  <c r="C51" i="68" s="1"/>
  <c r="C52" i="68" s="1"/>
  <c r="B2" i="68" s="1"/>
  <c r="C40" i="78"/>
  <c r="Q69" i="78"/>
  <c r="Q68" i="78" s="1"/>
  <c r="J16" i="78"/>
  <c r="J25" i="78" s="1"/>
  <c r="C80" i="78"/>
  <c r="C79" i="78" s="1"/>
  <c r="C49" i="11"/>
  <c r="C51" i="11" s="1"/>
  <c r="C52" i="11" s="1"/>
  <c r="B2" i="11" s="1"/>
  <c r="B3" i="11" s="1"/>
  <c r="AO8" i="1"/>
  <c r="AO7" i="1"/>
  <c r="C19" i="9"/>
  <c r="E8" i="12" l="1"/>
  <c r="B3" i="79"/>
  <c r="F8" i="12"/>
  <c r="B3" i="80"/>
  <c r="F6" i="12" s="1"/>
  <c r="B7" i="70"/>
  <c r="B8" i="70"/>
  <c r="B3" i="15"/>
  <c r="D6" i="12" s="1"/>
  <c r="C43" i="78"/>
  <c r="Q47" i="78"/>
  <c r="Q53" i="78" s="1"/>
  <c r="C83" i="78"/>
  <c r="C82" i="78" s="1"/>
  <c r="C46" i="78"/>
  <c r="B2" i="78"/>
  <c r="Q56" i="78"/>
  <c r="Q62" i="78" s="1"/>
  <c r="Q65" i="78"/>
  <c r="Q75" i="78" s="1"/>
  <c r="C56" i="11"/>
  <c r="C57" i="11" s="1"/>
  <c r="C57" i="68"/>
  <c r="C56" i="68" s="1"/>
  <c r="C102" i="9"/>
  <c r="C21" i="9"/>
  <c r="B3" i="68"/>
  <c r="D35" i="9"/>
  <c r="C20" i="9"/>
  <c r="AO9" i="1"/>
  <c r="D34" i="9"/>
  <c r="E6" i="12" l="1"/>
  <c r="U27" i="1"/>
  <c r="D30" i="77"/>
  <c r="B9" i="70"/>
  <c r="B2" i="70" s="1"/>
  <c r="B3" i="70" s="1"/>
  <c r="C4" i="12"/>
  <c r="C23" i="12" s="1"/>
  <c r="B3" i="78"/>
  <c r="C103" i="9"/>
  <c r="C31" i="12" l="1"/>
  <c r="C27" i="12"/>
  <c r="C25" i="12" s="1"/>
  <c r="C30" i="12"/>
  <c r="C28" i="12" s="1"/>
  <c r="C32" i="12" l="1"/>
  <c r="B2" i="12" s="1"/>
  <c r="B3" i="12" s="1"/>
  <c r="D20" i="9"/>
  <c r="D19" i="9"/>
  <c r="D21" i="9" l="1"/>
  <c r="G19" i="9"/>
  <c r="C32" i="9" s="1"/>
  <c r="D102" i="9"/>
  <c r="D22" i="9"/>
  <c r="D103" i="9"/>
  <c r="G20" i="9"/>
  <c r="G21" i="9" l="1"/>
  <c r="H118" i="9"/>
  <c r="C35" i="9"/>
  <c r="F118" i="9" s="1"/>
  <c r="F119" i="9" l="1"/>
  <c r="F5" i="52" s="1"/>
  <c r="B53" i="72" s="1"/>
  <c r="F4" i="52"/>
  <c r="B51" i="72" s="1"/>
  <c r="G118" i="9"/>
  <c r="C34" i="9"/>
  <c r="D118" i="9" s="1"/>
  <c r="I118" i="9"/>
  <c r="D14" i="74"/>
  <c r="C104" i="9"/>
  <c r="H101" i="9"/>
  <c r="H4" i="52"/>
  <c r="H119" i="9"/>
  <c r="H5" i="52" s="1"/>
  <c r="D119" i="9" l="1"/>
  <c r="D5" i="52" s="1"/>
  <c r="B49" i="72" s="1"/>
  <c r="D4" i="52"/>
  <c r="B47" i="72" s="1"/>
  <c r="I4" i="52"/>
  <c r="H102" i="9"/>
  <c r="D7" i="53" s="1"/>
  <c r="B21" i="72" s="1"/>
  <c r="E118" i="9"/>
  <c r="C105" i="9"/>
  <c r="D45" i="9"/>
  <c r="M48" i="9"/>
  <c r="H107" i="9"/>
  <c r="D5" i="53"/>
  <c r="F14" i="74"/>
  <c r="E14" i="74"/>
  <c r="G4" i="52"/>
  <c r="B52" i="72" s="1"/>
  <c r="B20" i="72" l="1"/>
  <c r="D6" i="53"/>
  <c r="B22" i="72" s="1"/>
  <c r="D13" i="53"/>
  <c r="M49" i="9"/>
  <c r="H108" i="9"/>
  <c r="D15" i="53" s="1"/>
  <c r="B31" i="72" s="1"/>
  <c r="D122" i="9"/>
  <c r="D53" i="9"/>
  <c r="C93" i="9"/>
  <c r="C86" i="9" s="1"/>
  <c r="D52" i="9"/>
  <c r="C78" i="9"/>
  <c r="C73" i="9" s="1"/>
  <c r="C72" i="9"/>
  <c r="C85" i="9"/>
  <c r="C64" i="9"/>
  <c r="C63" i="9" s="1"/>
  <c r="C67" i="9" s="1"/>
  <c r="C68" i="9" s="1"/>
  <c r="D54" i="9" s="1"/>
  <c r="D55" i="9"/>
  <c r="M53" i="9" s="1"/>
  <c r="E4" i="52"/>
  <c r="B48" i="72" s="1"/>
  <c r="C95" i="9" l="1"/>
  <c r="C96" i="9" s="1"/>
  <c r="E96" i="9" s="1"/>
  <c r="E97" i="9" s="1"/>
  <c r="G14" i="74"/>
  <c r="D8" i="52"/>
  <c r="D123" i="9"/>
  <c r="D9" i="52" s="1"/>
  <c r="L66" i="9"/>
  <c r="M66" i="9" s="1"/>
  <c r="L63" i="9"/>
  <c r="M63" i="9" s="1"/>
  <c r="L68" i="9"/>
  <c r="M68" i="9" s="1"/>
  <c r="L64" i="9"/>
  <c r="M64" i="9" s="1"/>
  <c r="L65" i="9"/>
  <c r="M65" i="9" s="1"/>
  <c r="L67" i="9"/>
  <c r="M67" i="9" s="1"/>
  <c r="C79" i="9"/>
  <c r="B30" i="72"/>
  <c r="D14" i="53"/>
  <c r="B32" i="72" s="1"/>
  <c r="C97" i="9" l="1"/>
  <c r="D58" i="9" s="1"/>
  <c r="D56" i="9" s="1"/>
  <c r="M54" i="9" s="1"/>
  <c r="N57" i="9" s="1"/>
  <c r="N59" i="9" s="1"/>
  <c r="N60" i="9" s="1"/>
  <c r="M69" i="9"/>
  <c r="N69" i="9" s="1"/>
  <c r="C80" i="9"/>
  <c r="E80" i="9" s="1"/>
  <c r="E81" i="9" s="1"/>
  <c r="N58" i="9" l="1"/>
  <c r="N61" i="9"/>
  <c r="P57" i="9"/>
  <c r="C81" i="9"/>
  <c r="G20" i="74" l="1"/>
  <c r="E20" i="74"/>
  <c r="F20" i="74"/>
  <c r="G19" i="74" l="1"/>
  <c r="E19" i="74"/>
  <c r="F19" i="74"/>
  <c r="G17" i="74" l="1"/>
  <c r="E17" i="74"/>
  <c r="F17" i="74"/>
  <c r="E15" i="74" l="1"/>
  <c r="F15" i="74"/>
  <c r="B5" i="74"/>
  <c r="D5" i="74" l="1"/>
  <c r="C5" i="74"/>
  <c r="G15" i="74"/>
  <c r="B6" i="74" s="1"/>
  <c r="D6" i="74" l="1"/>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<sst xmlns="http://schemas.openxmlformats.org/spreadsheetml/2006/main" count="8865" uniqueCount="3237">
  <si>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</si>
  <si>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</si>
  <si>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</si>
  <si>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</si>
  <si>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</si>
  <si>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</si>
  <si>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</si>
  <si>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</si>
  <si>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</si>
  <si>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</si>
  <si>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</si>
  <si>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</si>
  <si>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</si>
  <si>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</si>
  <si>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</si>
  <si>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</si>
  <si>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</si>
  <si>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</si>
  <si>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</si>
  <si>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</si>
  <si>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</si>
  <si>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</si>
  <si>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</si>
  <si>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</si>
  <si>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</si>
  <si>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</si>
  <si>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</si>
  <si>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</si>
  <si>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</si>
  <si>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</si>
  <si>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</si>
  <si>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</si>
  <si>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</si>
  <si>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</si>
  <si>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</si>
  <si>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</si>
  <si>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</si>
  <si>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</si>
  <si>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</si>
  <si>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</si>
  <si>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</si>
  <si>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</si>
  <si>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</si>
  <si>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</si>
  <si>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</si>
  <si>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</si>
  <si>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</si>
  <si>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</si>
  <si>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</si>
  <si>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</si>
  <si>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</si>
  <si>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</si>
  <si>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</si>
  <si>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</si>
  <si>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</si>
  <si>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</si>
  <si>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</si>
  <si>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</si>
  <si>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</si>
  <si>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</si>
  <si>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</si>
  <si>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</si>
  <si>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</si>
  <si>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</si>
  <si>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</si>
  <si>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</si>
  <si>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</si>
  <si>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</si>
  <si>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</si>
  <si>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</si>
  <si>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</si>
  <si>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</si>
  <si>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</si>
  <si>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</si>
  <si>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</si>
  <si>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</si>
  <si>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</si>
  <si>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</si>
  <si>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</si>
  <si>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</si>
  <si>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</si>
  <si>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</si>
  <si>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</si>
  <si>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</si>
  <si>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</si>
  <si>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</si>
  <si>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</si>
  <si>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</si>
  <si>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</si>
  <si>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</si>
  <si>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</si>
  <si>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</si>
  <si>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</si>
  <si>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</si>
  <si>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</si>
  <si>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</si>
  <si>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</si>
  <si>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</si>
  <si>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</si>
  <si>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</si>
  <si>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</si>
  <si>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</si>
  <si>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</si>
  <si>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</si>
  <si>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</si>
  <si>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</si>
  <si>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</si>
  <si>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</si>
  <si>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</si>
  <si>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</si>
  <si>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</si>
  <si>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</si>
  <si>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</si>
  <si>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</si>
  <si>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</si>
  <si>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</si>
  <si>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</si>
  <si>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</si>
  <si>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</si>
  <si>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</si>
  <si>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</si>
  <si>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</si>
  <si>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</si>
  <si>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</si>
  <si>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</si>
  <si>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</si>
  <si>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</si>
  <si>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</si>
  <si>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</si>
  <si>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</si>
  <si>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</si>
  <si>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</si>
  <si>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</si>
  <si>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</si>
  <si>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</si>
  <si>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</si>
  <si>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</si>
  <si>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</si>
  <si>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</si>
  <si>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</si>
  <si>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</si>
  <si>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</si>
  <si>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</si>
  <si>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</si>
  <si>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</si>
  <si>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</si>
  <si>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</si>
  <si>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</si>
  <si>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</si>
  <si>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</si>
  <si>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</si>
  <si>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</si>
  <si>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</si>
  <si>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</si>
  <si>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</si>
  <si>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</si>
  <si>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</si>
  <si>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</si>
  <si>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</si>
  <si>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</si>
  <si>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</si>
  <si>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</si>
  <si>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</si>
  <si>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</si>
  <si>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</si>
  <si>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</si>
  <si>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</si>
  <si>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</si>
  <si>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</si>
  <si>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</si>
  <si>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</si>
  <si>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</si>
  <si>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</si>
  <si>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</si>
  <si>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</si>
  <si>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</si>
  <si>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</si>
  <si>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</si>
  <si>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</si>
  <si>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</si>
  <si>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</si>
  <si>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</si>
  <si>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</si>
  <si>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</si>
  <si>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</si>
  <si>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</si>
  <si>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</si>
  <si>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</si>
  <si>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</si>
  <si>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</si>
  <si>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</si>
  <si>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</si>
  <si>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</si>
  <si>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</si>
  <si>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</si>
  <si>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</si>
  <si>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</si>
  <si>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</si>
  <si>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</si>
  <si>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</si>
  <si>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</si>
  <si>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</si>
  <si>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</si>
  <si>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</si>
  <si>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</si>
  <si>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</si>
  <si>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</si>
  <si>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</si>
  <si>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</si>
  <si>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</si>
  <si>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</si>
  <si>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</si>
  <si>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</si>
  <si>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</si>
  <si>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</si>
  <si>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</si>
  <si>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</si>
  <si>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</si>
  <si>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</si>
  <si>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</si>
  <si>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</si>
  <si>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</si>
  <si>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</si>
  <si>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</si>
  <si>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</si>
  <si>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</si>
  <si>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</si>
  <si>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</si>
  <si>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</si>
  <si>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</si>
  <si>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</si>
  <si>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</si>
  <si>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</si>
  <si>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</si>
  <si>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</si>
  <si>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</si>
  <si>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</si>
  <si>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</si>
  <si>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</si>
  <si>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</si>
  <si>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</si>
  <si>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</si>
  <si>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</si>
  <si>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</si>
  <si>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</si>
  <si>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</si>
  <si>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</si>
  <si>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</si>
  <si>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</si>
  <si>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</si>
  <si>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</si>
  <si>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</si>
  <si>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</si>
  <si>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</si>
  <si>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</si>
  <si>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</si>
  <si>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</si>
  <si>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</si>
  <si>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</si>
  <si>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</si>
  <si>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</si>
  <si>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</si>
  <si>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</si>
  <si>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</si>
  <si>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</si>
  <si>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</si>
  <si>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</si>
  <si>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</si>
  <si>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</si>
  <si>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</si>
  <si>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</si>
  <si>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</si>
  <si>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</si>
  <si>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</si>
  <si>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</si>
  <si>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</si>
  <si>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</si>
  <si>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</si>
  <si>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</si>
  <si>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</si>
  <si>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</si>
  <si>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</si>
  <si>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</si>
  <si>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</si>
  <si>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</si>
  <si>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</si>
  <si>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</si>
  <si>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</si>
  <si>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</si>
  <si>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</si>
  <si>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</si>
  <si>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</si>
  <si>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</si>
  <si>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</si>
  <si>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</si>
  <si>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</si>
  <si>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</si>
  <si>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</si>
  <si>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</si>
  <si>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</si>
  <si>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</si>
  <si>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</si>
  <si>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</si>
  <si>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</si>
  <si>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</si>
  <si>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</si>
  <si>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</si>
  <si>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</si>
  <si>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</si>
  <si>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</si>
  <si>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</si>
  <si>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</si>
  <si>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</si>
  <si>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</si>
  <si>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</si>
  <si>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</si>
  <si>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</si>
  <si>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</si>
  <si>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</si>
  <si>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</si>
  <si>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</si>
  <si>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</si>
  <si>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</si>
  <si>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</si>
  <si>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</si>
  <si>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</si>
  <si>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</si>
  <si>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</si>
  <si>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</si>
  <si>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</si>
  <si>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</si>
  <si>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</si>
  <si>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</si>
  <si>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</si>
  <si>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</si>
  <si>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</si>
  <si>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</si>
  <si>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</si>
  <si>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</si>
  <si>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</si>
  <si>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</si>
  <si>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</si>
  <si>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</si>
  <si>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</si>
  <si>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</si>
  <si>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</si>
  <si>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</si>
  <si>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</si>
  <si>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</si>
  <si>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</si>
  <si>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</si>
  <si>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</si>
  <si>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</si>
  <si>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</si>
  <si>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</si>
  <si>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</si>
  <si>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</si>
  <si>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</si>
  <si>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</si>
  <si>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</si>
  <si>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</si>
  <si>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</si>
  <si>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</si>
  <si>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</si>
  <si>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</si>
  <si>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</si>
  <si>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</si>
  <si>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</si>
  <si>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</si>
  <si>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</si>
  <si>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</si>
  <si>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</si>
  <si>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</si>
  <si>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</si>
  <si>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</si>
  <si>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</si>
  <si>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</si>
  <si>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</si>
  <si>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</si>
  <si>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</si>
  <si>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</si>
  <si>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</si>
  <si>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</si>
  <si>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</si>
  <si>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</si>
  <si>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</si>
  <si>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</si>
  <si>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</si>
  <si>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</si>
  <si>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</si>
  <si>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</si>
  <si>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</si>
  <si>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</si>
  <si>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</si>
  <si>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</si>
  <si>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</si>
  <si>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</si>
  <si>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</si>
  <si>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</si>
  <si>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</si>
  <si>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</si>
  <si>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</si>
  <si>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</si>
  <si>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</si>
  <si>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</si>
  <si>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</si>
  <si>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</si>
  <si>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</si>
  <si>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</si>
  <si>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</si>
  <si>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</si>
  <si>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</si>
  <si>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</si>
  <si>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</si>
  <si>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</si>
  <si>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</si>
  <si>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</si>
  <si>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</si>
  <si>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</si>
  <si>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</si>
  <si>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</si>
  <si>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</si>
  <si>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</si>
  <si>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</si>
  <si>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</si>
  <si>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</si>
  <si>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</si>
  <si>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</si>
  <si>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</si>
  <si>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</si>
  <si>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</si>
  <si>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</si>
  <si>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</si>
  <si>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</si>
  <si>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</si>
  <si>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</si>
  <si>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</si>
  <si>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</si>
  <si>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</si>
  <si>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</si>
  <si>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</si>
  <si>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</si>
  <si>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</si>
  <si>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</si>
  <si>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</si>
  <si>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</si>
  <si>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</si>
  <si>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</si>
  <si>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</si>
  <si>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</si>
  <si>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</si>
  <si>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</si>
  <si>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</si>
  <si>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</si>
  <si>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</si>
  <si>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</si>
  <si>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</si>
  <si>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</si>
  <si>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</si>
  <si>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</si>
  <si>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</si>
  <si>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</si>
  <si>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</si>
  <si>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</si>
  <si>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</si>
  <si>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</si>
  <si>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</si>
  <si>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</si>
  <si>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</si>
  <si>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</si>
  <si>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</si>
  <si>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</si>
  <si>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</si>
  <si>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</si>
  <si>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</si>
  <si>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</si>
  <si>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</si>
  <si>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</si>
  <si>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</si>
  <si>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</si>
  <si>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</si>
  <si>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</si>
  <si>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</si>
  <si>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</si>
  <si>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</si>
  <si>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</si>
  <si>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</si>
  <si>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</si>
  <si>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</si>
  <si>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</si>
  <si>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</si>
  <si>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</si>
  <si>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</si>
  <si>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</si>
  <si>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</si>
  <si>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</si>
  <si>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</si>
  <si>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</si>
  <si>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</si>
  <si>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</si>
  <si>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</si>
  <si>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</si>
  <si>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</si>
  <si>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</si>
  <si>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</si>
  <si>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</si>
  <si>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</si>
  <si>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</si>
  <si>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</si>
  <si>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</si>
  <si>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</si>
  <si>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</si>
  <si>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</si>
  <si>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</si>
  <si>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</si>
  <si>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</si>
  <si>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</si>
  <si>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</si>
  <si>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</si>
  <si>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</si>
  <si>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</si>
  <si>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</si>
  <si>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</si>
  <si>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</si>
  <si>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</si>
  <si>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</si>
  <si>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</si>
  <si>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</si>
  <si>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</si>
  <si>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</si>
  <si>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</si>
  <si>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</si>
  <si>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</si>
  <si>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</si>
  <si>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</si>
  <si>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</si>
  <si>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</si>
  <si>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</si>
  <si>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</si>
  <si>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</si>
  <si>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</si>
  <si>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</si>
  <si>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</si>
  <si>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</si>
  <si>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</si>
  <si>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</si>
  <si>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</si>
  <si>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</si>
  <si>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</si>
  <si>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</si>
  <si>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</si>
  <si>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</si>
  <si>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</si>
  <si>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</si>
  <si>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</si>
  <si>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</si>
  <si>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</si>
  <si>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</si>
  <si>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</si>
  <si>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</si>
  <si>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</si>
  <si>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</si>
  <si>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</si>
  <si>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</si>
  <si>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</si>
  <si>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</si>
  <si>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</si>
  <si>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</si>
  <si>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</si>
  <si>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</si>
  <si>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</si>
  <si>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</si>
  <si>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</si>
  <si>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</si>
  <si>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</si>
  <si>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</si>
  <si>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</si>
  <si>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</si>
  <si>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</si>
  <si>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</si>
  <si>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</si>
  <si>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</si>
  <si>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</si>
  <si>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</si>
  <si>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</si>
  <si>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</si>
  <si>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</si>
  <si>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</si>
  <si>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</si>
  <si>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</si>
  <si>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</si>
  <si>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</si>
  <si>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</si>
  <si>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</si>
  <si>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</si>
  <si>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</si>
  <si>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</si>
  <si>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</si>
  <si>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</si>
  <si>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</si>
  <si>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</si>
  <si>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</si>
  <si>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</si>
  <si>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</si>
  <si>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</si>
  <si>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</si>
  <si>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</si>
  <si>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</si>
  <si>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</si>
  <si>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</si>
  <si>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</si>
  <si>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</si>
  <si>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</si>
  <si>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</si>
  <si>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</si>
  <si>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</si>
  <si>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</si>
  <si>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</si>
  <si>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</si>
  <si>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</si>
  <si>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</si>
  <si>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</si>
  <si>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</si>
  <si>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</si>
  <si>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</si>
  <si>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</si>
  <si>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</si>
  <si>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</si>
  <si>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</si>
  <si>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</si>
  <si>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</si>
  <si>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</si>
  <si>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</si>
  <si>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</si>
  <si>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</si>
  <si>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</si>
  <si>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</si>
  <si>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</si>
  <si>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</si>
  <si>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</si>
  <si>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</si>
  <si>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</si>
  <si>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</si>
  <si>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</si>
  <si>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</si>
  <si>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</si>
  <si>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</si>
  <si>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</si>
  <si>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</si>
  <si>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</si>
  <si>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</si>
  <si>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</si>
  <si>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</si>
  <si>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</si>
  <si>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</si>
  <si>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</si>
  <si>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</si>
  <si>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</si>
  <si>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</si>
  <si>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</si>
  <si>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</si>
  <si>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</si>
  <si>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</si>
  <si>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</si>
  <si>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</si>
  <si>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</si>
  <si>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</si>
  <si>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</si>
  <si>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</si>
  <si>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</si>
  <si>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</si>
  <si>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</si>
  <si>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</si>
  <si>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</si>
  <si>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</si>
  <si>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</si>
  <si>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</si>
  <si>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</si>
  <si>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</si>
  <si>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</si>
  <si>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</si>
  <si>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</si>
  <si>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</si>
  <si>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</si>
  <si>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</si>
  <si>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</si>
  <si>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</si>
  <si>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</si>
  <si>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</si>
  <si>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</si>
  <si>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</si>
  <si>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</si>
  <si>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</si>
  <si>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</si>
  <si>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</si>
  <si>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</si>
  <si>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</si>
  <si>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</si>
  <si>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</si>
  <si>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</si>
  <si>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</si>
  <si>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</si>
  <si>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</si>
  <si>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</si>
  <si>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</si>
  <si>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</si>
  <si>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</si>
  <si>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</si>
  <si>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</si>
  <si>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</si>
  <si>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</si>
  <si>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</si>
  <si>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</si>
  <si>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</si>
  <si>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</si>
  <si>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</si>
  <si>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</si>
  <si>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</si>
  <si>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</si>
  <si>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</si>
  <si>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</si>
  <si>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</si>
  <si>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</si>
  <si>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</si>
  <si>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</si>
  <si>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</si>
  <si>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</si>
  <si>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</si>
  <si>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</si>
  <si>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</si>
  <si>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</si>
  <si>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</si>
  <si>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</si>
  <si>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</si>
  <si>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</si>
  <si>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</si>
  <si>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</si>
  <si>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</si>
  <si>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</si>
  <si>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</si>
  <si>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</si>
  <si>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</si>
  <si>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</si>
  <si>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</si>
  <si>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</si>
  <si>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</si>
  <si>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</si>
  <si>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</si>
  <si>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</si>
  <si>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</si>
  <si>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</si>
  <si>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</si>
  <si>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</si>
  <si>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</si>
  <si>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</si>
  <si>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</si>
  <si>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</si>
  <si>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</si>
  <si>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</si>
  <si>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</si>
  <si>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</si>
  <si>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</si>
  <si>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</si>
  <si>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</si>
  <si>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</si>
  <si>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</si>
  <si>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</si>
  <si>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</si>
  <si>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</si>
  <si>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</si>
  <si>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</si>
  <si>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</si>
  <si>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</si>
  <si>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</si>
  <si>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</si>
  <si>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</si>
  <si>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</si>
  <si>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</si>
  <si>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</si>
  <si>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</si>
  <si>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</si>
  <si>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</si>
  <si>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</si>
  <si>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</si>
  <si>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</si>
  <si>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</si>
  <si>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</si>
  <si>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</si>
  <si>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</si>
  <si>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</si>
  <si>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</si>
  <si>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</si>
  <si>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</si>
  <si>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</si>
  <si>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</si>
  <si>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</si>
  <si>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</si>
  <si>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</si>
  <si>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</si>
  <si>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</si>
  <si>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</si>
  <si>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</si>
  <si>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</si>
  <si>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</si>
  <si>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</si>
  <si>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</si>
  <si>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</si>
  <si>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</si>
  <si>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</si>
  <si>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</si>
  <si>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</si>
  <si>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</si>
  <si>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</si>
  <si>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</si>
  <si>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</si>
  <si>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</si>
  <si>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</si>
  <si>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</si>
  <si>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</si>
  <si>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</si>
  <si>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</si>
  <si>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</si>
  <si>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</si>
  <si>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</si>
  <si>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</si>
  <si>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</si>
  <si>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</si>
  <si>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</si>
  <si>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</si>
  <si>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</si>
  <si>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</si>
  <si>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</si>
  <si>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</si>
  <si>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</si>
  <si>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</si>
  <si>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</si>
  <si>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</si>
  <si>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</si>
  <si>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</si>
  <si>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</si>
  <si>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</si>
  <si>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</si>
  <si>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</si>
  <si>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</si>
  <si>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</si>
  <si>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</si>
  <si>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</si>
  <si>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</si>
  <si>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</si>
  <si>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</si>
  <si>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</si>
  <si>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</si>
  <si>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</si>
  <si>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</si>
  <si>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</si>
  <si>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</si>
  <si>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</si>
  <si>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</si>
  <si>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</si>
  <si>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</si>
  <si>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</si>
  <si>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</si>
  <si>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</si>
  <si>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</si>
  <si>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</si>
  <si>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</si>
  <si>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</si>
  <si>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</si>
  <si>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</si>
  <si>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</si>
  <si>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</si>
  <si>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</si>
  <si>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</si>
  <si>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</si>
  <si>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</si>
  <si>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</si>
  <si>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</si>
  <si>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</si>
  <si>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</si>
  <si>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</si>
  <si>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</si>
  <si>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</si>
  <si>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</si>
  <si>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</si>
  <si>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</si>
  <si>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</si>
  <si>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</si>
  <si>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</si>
  <si>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</si>
  <si>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</si>
  <si>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</si>
  <si>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</si>
  <si>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</si>
  <si>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</si>
  <si>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</si>
  <si>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</si>
  <si>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</si>
  <si>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</si>
  <si>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</si>
  <si>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</si>
  <si>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</si>
  <si>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</si>
  <si>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</si>
  <si>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</si>
  <si>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</si>
  <si>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</si>
  <si>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</si>
  <si>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</si>
  <si>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</si>
  <si>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</si>
  <si>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</si>
  <si>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</si>
  <si>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</si>
  <si>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</si>
  <si>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</si>
  <si>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</si>
  <si>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</si>
  <si>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</si>
  <si>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</si>
  <si>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</si>
  <si>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</si>
  <si>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</si>
  <si>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</si>
  <si>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</si>
  <si>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</si>
  <si>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</si>
  <si>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</si>
  <si>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</si>
  <si>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</si>
  <si>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</si>
  <si>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</si>
  <si>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</si>
  <si>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</si>
  <si>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</si>
  <si>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</si>
  <si>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</si>
  <si>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</si>
  <si>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</si>
  <si>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</si>
  <si>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</si>
  <si>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</si>
  <si>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</si>
  <si>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</si>
  <si>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</si>
  <si>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</si>
  <si>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</si>
  <si>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</si>
  <si>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</si>
  <si>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</si>
  <si>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</si>
  <si>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</si>
  <si>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</si>
  <si>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</si>
  <si>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</si>
  <si>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</si>
  <si>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</si>
  <si>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</si>
  <si>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</si>
  <si>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</si>
  <si>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</si>
  <si>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</si>
  <si>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</si>
  <si>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</si>
  <si>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</si>
  <si>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</si>
  <si>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</si>
  <si>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</si>
  <si>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</si>
  <si>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</si>
  <si>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</si>
  <si>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</si>
  <si>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</si>
  <si>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</si>
  <si>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</si>
  <si>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</si>
  <si>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</si>
  <si>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</si>
  <si>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</si>
  <si>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</si>
  <si>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</si>
  <si>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</si>
  <si>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</si>
  <si>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</si>
  <si>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</si>
  <si>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</si>
  <si>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</si>
  <si>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</si>
  <si>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</si>
  <si>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</si>
  <si>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</si>
  <si>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</si>
  <si>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</si>
  <si>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</si>
  <si>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</si>
  <si>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</si>
  <si>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</si>
  <si>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</si>
  <si>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</si>
  <si>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</si>
  <si>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</si>
  <si>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</si>
  <si>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</si>
  <si>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</si>
  <si>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</si>
  <si>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</si>
  <si>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</si>
  <si>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</si>
  <si>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</si>
  <si>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</si>
  <si>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</si>
  <si>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</si>
  <si>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</si>
  <si>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</si>
  <si>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</si>
  <si>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</si>
  <si>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</si>
  <si>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</si>
  <si>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</si>
  <si>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</si>
  <si>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</si>
  <si>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</si>
  <si>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</si>
  <si>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</si>
  <si>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</si>
  <si>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</si>
  <si>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</si>
  <si>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</si>
  <si>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</si>
  <si>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</si>
  <si>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</si>
  <si>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</si>
  <si>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</si>
  <si>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</si>
  <si>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</si>
  <si>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</si>
  <si>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</si>
  <si>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</si>
  <si>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</si>
  <si>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</si>
  <si>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</si>
  <si>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</si>
  <si>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</si>
  <si>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</si>
  <si>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</si>
  <si>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</si>
  <si>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</si>
  <si>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</si>
  <si>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</si>
  <si>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</si>
  <si>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</si>
  <si>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</si>
  <si>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</si>
  <si>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</si>
  <si>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</si>
  <si>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</si>
  <si>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</si>
  <si>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</si>
  <si>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</si>
  <si>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</si>
  <si>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</si>
  <si>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</si>
  <si>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</si>
  <si>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</si>
  <si>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</si>
  <si>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</si>
  <si>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</si>
  <si>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</si>
  <si>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</si>
  <si>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</si>
  <si>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</si>
  <si>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</si>
  <si>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</si>
  <si>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</si>
  <si>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</si>
  <si>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</si>
  <si>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</si>
  <si>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</si>
  <si>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</si>
  <si>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</si>
  <si>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</si>
  <si>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</si>
  <si>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</si>
  <si>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</si>
  <si>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</si>
  <si>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</si>
  <si>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</si>
  <si>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</si>
  <si>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</si>
  <si>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</si>
  <si>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</si>
  <si>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</si>
  <si>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</si>
  <si>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</si>
  <si>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</si>
  <si>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</si>
  <si>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</si>
  <si>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</si>
  <si>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</si>
  <si>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</si>
  <si>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</si>
  <si>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</si>
  <si>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</si>
  <si>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</si>
  <si>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</si>
  <si>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</si>
  <si>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</si>
  <si>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</si>
  <si>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</si>
  <si>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</si>
  <si>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</si>
  <si>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</si>
  <si>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</si>
  <si>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</si>
  <si>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</si>
  <si>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</si>
  <si>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</si>
  <si>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</si>
  <si>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</si>
  <si>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</si>
  <si>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</si>
  <si>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</si>
  <si>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</si>
  <si>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</si>
  <si>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</si>
  <si>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</si>
  <si>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</si>
  <si>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</si>
  <si>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</si>
  <si>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</si>
  <si>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</si>
  <si>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</si>
  <si>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</si>
  <si>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</si>
  <si>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</si>
  <si>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</si>
  <si>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</si>
  <si>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</si>
  <si>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</si>
  <si>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</si>
  <si>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</si>
  <si>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</si>
  <si>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</si>
  <si>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</si>
  <si>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</si>
  <si>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</si>
  <si>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</si>
  <si>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</si>
  <si>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</si>
  <si>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</si>
  <si>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</si>
  <si>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</si>
  <si>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</si>
  <si>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</si>
  <si>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</si>
  <si>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</si>
  <si>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</si>
  <si>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</si>
  <si>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</si>
  <si>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</si>
  <si>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</si>
  <si>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</si>
  <si>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</si>
  <si>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</si>
  <si>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</si>
  <si>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</si>
  <si>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</si>
  <si>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</si>
  <si>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</si>
  <si>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</si>
  <si>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</si>
  <si>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</si>
  <si>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</si>
  <si>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</si>
  <si>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</si>
  <si>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</si>
  <si>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</si>
  <si>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</si>
  <si>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</si>
  <si>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</si>
  <si>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</si>
  <si>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</si>
  <si>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</si>
  <si>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</si>
  <si>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</si>
  <si>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</si>
  <si>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</si>
  <si>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</si>
  <si>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</si>
  <si>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</si>
  <si>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</si>
  <si>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</si>
  <si>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</si>
  <si>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</si>
  <si>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</si>
  <si>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</si>
  <si>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</si>
  <si>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</si>
  <si>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</si>
  <si>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</si>
  <si>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</si>
  <si>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</si>
  <si>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</si>
  <si>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</si>
  <si>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</si>
  <si>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</si>
  <si>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</si>
  <si>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</si>
  <si>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</si>
  <si>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</si>
  <si>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</si>
  <si>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</si>
  <si>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</si>
  <si>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</si>
  <si>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</si>
  <si>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</si>
  <si>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</si>
  <si>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</si>
  <si>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</si>
  <si>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</si>
  <si>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</si>
  <si>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</si>
  <si>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</si>
  <si>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</si>
  <si>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</si>
  <si>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</si>
  <si>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</si>
  <si>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</si>
  <si>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</si>
  <si>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</si>
  <si>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</si>
  <si>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</si>
  <si>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</si>
  <si>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</si>
  <si>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</si>
  <si>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</si>
  <si>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</si>
  <si>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</si>
  <si>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</si>
  <si>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</si>
  <si>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</si>
  <si>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</si>
  <si>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</si>
  <si>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</si>
  <si>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</si>
  <si>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</si>
  <si>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</si>
  <si>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</si>
  <si>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</si>
  <si>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</si>
  <si>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</si>
  <si>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</si>
  <si>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</si>
  <si>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</si>
  <si>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</si>
  <si>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</si>
  <si>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</si>
  <si>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</si>
  <si>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</si>
  <si>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</si>
  <si>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</si>
  <si>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</si>
  <si>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</si>
  <si>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</si>
  <si>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</si>
  <si>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</si>
  <si>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</si>
  <si>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</si>
  <si>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</si>
  <si>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</si>
  <si>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</si>
  <si>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</si>
  <si>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</si>
  <si>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</si>
  <si>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</si>
  <si>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</si>
  <si>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</si>
  <si>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</si>
  <si>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</si>
  <si>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</si>
  <si>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</si>
  <si>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</si>
  <si>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</si>
  <si>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</si>
  <si>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</si>
  <si>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</si>
  <si>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</si>
  <si>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</si>
  <si>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</si>
  <si>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</si>
  <si>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</si>
  <si>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</si>
  <si>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</si>
  <si>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</si>
  <si>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</si>
  <si>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</si>
  <si>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</si>
  <si>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</si>
  <si>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</si>
  <si>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</si>
  <si>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</si>
  <si>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</si>
  <si>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</si>
  <si>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</si>
  <si>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</si>
  <si>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</si>
  <si>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</si>
  <si>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</si>
  <si>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</si>
  <si>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</si>
  <si>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</si>
  <si>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</si>
  <si>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</si>
  <si>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</si>
  <si>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</si>
  <si>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</si>
  <si>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</si>
  <si>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</si>
  <si>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</si>
  <si>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</si>
  <si>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</si>
  <si>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</si>
  <si>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</si>
  <si>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</si>
  <si>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</si>
  <si>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</si>
  <si>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</si>
  <si>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</si>
  <si>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</si>
  <si>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</si>
  <si>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</si>
  <si>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</si>
  <si>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</si>
  <si>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</si>
  <si>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</si>
  <si>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</si>
  <si>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</si>
  <si>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</si>
  <si>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</si>
  <si>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</si>
  <si>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</si>
  <si>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</si>
  <si>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</si>
  <si>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</si>
  <si>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</si>
  <si>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</si>
  <si>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</si>
  <si>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</si>
  <si>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</si>
  <si>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</si>
  <si>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</si>
  <si>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</si>
  <si>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</si>
  <si>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</si>
  <si>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</si>
  <si>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</si>
  <si>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</si>
  <si>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</si>
  <si>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</si>
  <si>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</si>
  <si>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</si>
  <si>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</si>
  <si>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</si>
  <si>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</si>
  <si>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</si>
  <si>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</si>
  <si>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</si>
  <si>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</si>
  <si>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</si>
  <si>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</si>
  <si>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</si>
  <si>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</si>
  <si>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</si>
  <si>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</si>
  <si>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</si>
  <si>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</si>
  <si>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</si>
  <si>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</si>
  <si>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</si>
  <si>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</si>
  <si>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</si>
  <si>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</si>
  <si>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</si>
  <si>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</si>
  <si>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</si>
  <si>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</si>
  <si>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</si>
  <si>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</si>
  <si>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</si>
  <si>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</si>
  <si>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</si>
  <si>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</si>
  <si>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</si>
  <si>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</si>
  <si>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</si>
  <si>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</si>
  <si>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</si>
  <si>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</si>
  <si>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</si>
  <si>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</si>
  <si>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</si>
  <si>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</si>
  <si>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</si>
  <si>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</si>
  <si>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</si>
  <si>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</si>
  <si>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</si>
  <si>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</si>
  <si>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</si>
  <si>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</si>
  <si>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</si>
  <si>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</si>
  <si>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</si>
  <si>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</si>
  <si>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</si>
  <si>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</si>
  <si>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</si>
  <si>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</si>
  <si>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</si>
  <si>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</si>
  <si>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</si>
  <si>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</si>
  <si>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</si>
  <si>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</si>
  <si>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</si>
  <si>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</si>
  <si>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</si>
  <si>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</si>
  <si>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</si>
  <si>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</si>
  <si>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</si>
  <si>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</si>
  <si>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</si>
  <si>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</si>
  <si>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</si>
  <si>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</si>
  <si>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</si>
  <si>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</si>
  <si>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</si>
  <si>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</si>
  <si>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</si>
  <si>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</si>
  <si>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</si>
  <si>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</si>
  <si>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</si>
  <si>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</si>
  <si>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</si>
  <si>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</si>
  <si>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</si>
  <si>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</si>
  <si>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</si>
  <si>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</si>
  <si>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</si>
  <si>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</si>
  <si>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</si>
  <si>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</si>
  <si>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</si>
  <si>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</si>
  <si>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</si>
  <si>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</si>
  <si>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</si>
  <si>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</si>
  <si>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</si>
  <si>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</si>
  <si>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</si>
  <si>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</si>
  <si>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</si>
  <si>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</si>
  <si>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</si>
  <si>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</si>
  <si>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</si>
  <si>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</si>
  <si>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</si>
  <si>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</si>
  <si>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</si>
  <si>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</si>
  <si>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</si>
  <si>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</si>
  <si>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</si>
  <si>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</si>
  <si>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</si>
  <si>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</si>
  <si>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</si>
  <si>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</si>
  <si>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</si>
  <si>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</si>
  <si>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</si>
  <si>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</si>
  <si>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</si>
  <si>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</si>
  <si>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</si>
  <si>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</si>
  <si>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</si>
  <si>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</si>
  <si>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</si>
  <si>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</si>
  <si>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</si>
  <si>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</si>
  <si>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</si>
  <si>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</si>
  <si>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</si>
  <si>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</si>
  <si>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</si>
  <si>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</si>
  <si>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</si>
  <si>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</si>
  <si>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</si>
  <si>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</si>
  <si>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</si>
  <si>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</si>
  <si>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</si>
  <si>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</si>
  <si>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</si>
  <si>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</si>
  <si>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</si>
  <si>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</si>
  <si>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</si>
  <si>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</si>
  <si>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</si>
  <si>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</si>
  <si>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</si>
  <si>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</si>
  <si>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</si>
  <si>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</si>
  <si>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</si>
  <si>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</si>
  <si>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</si>
  <si>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</si>
  <si>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</si>
  <si>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</si>
  <si>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</si>
  <si>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</si>
  <si>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</si>
  <si>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</si>
  <si>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</si>
  <si>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</si>
  <si>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</si>
  <si>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</si>
  <si>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</si>
  <si>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</si>
  <si>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</si>
  <si>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</si>
  <si>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</si>
  <si>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</si>
  <si>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</si>
  <si>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</si>
  <si>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</si>
  <si>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</si>
  <si>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</si>
  <si>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</si>
  <si>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</si>
  <si>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</si>
  <si>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</si>
  <si>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</si>
  <si>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</si>
  <si>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</si>
  <si>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</si>
  <si>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</si>
  <si>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</si>
  <si>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</si>
  <si>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</si>
  <si>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</si>
  <si>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</si>
  <si>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</si>
  <si>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</si>
  <si>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</si>
  <si>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</si>
  <si>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</si>
  <si>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</si>
  <si>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</si>
  <si>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</si>
  <si>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</si>
  <si>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</si>
  <si>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</si>
  <si>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</si>
  <si>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</si>
  <si>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</si>
  <si>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</si>
  <si>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</si>
  <si>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</si>
  <si>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</si>
  <si>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</si>
  <si>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</si>
  <si>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</si>
  <si>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</si>
  <si>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</si>
  <si>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</si>
  <si>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</si>
  <si>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</si>
  <si>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</si>
  <si>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</si>
  <si>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</si>
  <si>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</si>
  <si>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</si>
  <si>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</si>
  <si>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</si>
  <si>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</si>
  <si>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</si>
  <si>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</si>
  <si>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</si>
  <si>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</si>
  <si>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</si>
  <si>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</si>
  <si>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</si>
  <si>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</si>
  <si>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</si>
  <si>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</si>
  <si>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</si>
  <si>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</si>
  <si>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</si>
  <si>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</si>
  <si>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</si>
  <si>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</si>
  <si>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</si>
  <si>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</si>
  <si>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</si>
  <si>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</si>
  <si>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</si>
  <si>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</si>
  <si>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</si>
  <si>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</si>
  <si>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</si>
  <si>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</si>
  <si>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</si>
  <si>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</si>
  <si>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</si>
  <si>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</si>
  <si>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</si>
  <si>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</si>
  <si>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</si>
  <si>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</si>
  <si>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</si>
  <si>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</si>
  <si>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</si>
  <si>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</si>
  <si>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</si>
  <si>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</si>
  <si>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</si>
  <si>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</si>
  <si>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</si>
  <si>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</si>
  <si>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</si>
  <si>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</si>
  <si>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</si>
  <si>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</si>
  <si>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</si>
  <si>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</si>
  <si>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</si>
  <si>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</si>
  <si>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</si>
  <si>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</si>
  <si>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</si>
  <si>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</si>
  <si>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</si>
  <si>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</si>
  <si>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</si>
  <si>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</si>
  <si>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</si>
  <si>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</si>
  <si>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</si>
  <si>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</si>
  <si>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</si>
  <si>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</si>
  <si>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</si>
  <si>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</si>
  <si>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</si>
  <si>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</si>
  <si>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</si>
  <si>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</si>
  <si>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</si>
  <si>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</si>
  <si>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</si>
  <si>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</si>
  <si>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</si>
  <si>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</si>
  <si>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</si>
  <si>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</si>
  <si>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</si>
  <si>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</si>
  <si>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</si>
  <si>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</si>
  <si>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</si>
  <si>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</si>
  <si>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</si>
  <si>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</si>
  <si>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</si>
  <si>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</si>
  <si>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</si>
  <si>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</si>
  <si>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</si>
  <si>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</si>
  <si>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</si>
  <si>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</si>
  <si>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</si>
  <si>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</si>
  <si>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</si>
  <si>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</si>
  <si>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</si>
  <si>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</si>
  <si>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</si>
  <si>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</si>
  <si>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</si>
  <si>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</si>
  <si>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</si>
  <si>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</si>
  <si>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</si>
  <si>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</si>
  <si>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</si>
  <si>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</si>
  <si>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</si>
  <si>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</si>
  <si>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</si>
  <si>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</si>
  <si>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</si>
  <si>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</si>
  <si>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</si>
  <si>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</si>
  <si>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</si>
  <si>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</si>
  <si>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</si>
  <si>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</si>
  <si>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</si>
  <si>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</si>
  <si>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</si>
  <si>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</si>
  <si>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</si>
  <si>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</si>
  <si>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</si>
  <si>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</si>
  <si>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</si>
  <si>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</si>
  <si>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</si>
  <si>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</si>
  <si>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</si>
  <si>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</si>
  <si>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</si>
  <si>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</si>
  <si>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</si>
  <si>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</si>
  <si>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</si>
  <si>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</si>
  <si>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</si>
  <si>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</si>
  <si>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</si>
  <si>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</si>
  <si>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</si>
  <si>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</si>
  <si>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</si>
  <si>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</si>
  <si>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</si>
  <si>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</si>
  <si>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</si>
  <si>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</si>
  <si>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</si>
  <si>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</si>
  <si>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</si>
  <si>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</si>
  <si>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</si>
  <si>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</si>
  <si>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</si>
  <si>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</si>
  <si>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</si>
  <si>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</si>
  <si>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</si>
  <si>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</si>
  <si>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</si>
  <si>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</si>
  <si>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</si>
  <si>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</si>
  <si>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</si>
  <si>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</si>
  <si>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</si>
  <si>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</si>
  <si>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</si>
  <si>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</si>
  <si>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</si>
  <si>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</si>
  <si>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</si>
  <si>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</si>
  <si>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</si>
  <si>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</si>
  <si>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</si>
  <si>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</si>
  <si>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</si>
  <si>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</si>
  <si>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</si>
  <si>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</si>
  <si>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</si>
  <si>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</si>
  <si>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</si>
  <si>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</si>
  <si>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</si>
  <si>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</si>
  <si>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</si>
  <si>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</si>
  <si>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</si>
  <si>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</si>
  <si>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</si>
  <si>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</si>
  <si>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</si>
  <si>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</si>
  <si>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</si>
  <si>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</si>
  <si>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</si>
  <si>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</si>
  <si>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</si>
  <si>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</si>
  <si>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</si>
  <si>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</si>
  <si>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</si>
  <si>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</si>
  <si>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</si>
  <si>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</si>
  <si>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</si>
  <si>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</si>
  <si>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</si>
  <si>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</si>
  <si>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</si>
  <si>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</si>
  <si>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</si>
  <si>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</si>
  <si>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</si>
  <si>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</si>
  <si>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</si>
  <si>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</si>
  <si>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</si>
  <si>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</si>
  <si>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</si>
  <si>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</si>
  <si>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</si>
  <si>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</si>
  <si>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</si>
  <si>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</si>
  <si>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</si>
  <si>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</si>
  <si>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</si>
  <si>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</si>
  <si>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</si>
  <si>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</si>
  <si>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</si>
  <si>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</si>
  <si>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</si>
  <si>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</si>
  <si>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</si>
  <si>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</si>
  <si>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</si>
  <si>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</si>
  <si>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</si>
  <si>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</si>
  <si>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</si>
  <si>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</si>
  <si>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</si>
  <si>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</si>
  <si>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</si>
  <si>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</si>
  <si>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</si>
  <si>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</si>
  <si>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</si>
  <si>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</si>
  <si>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</si>
  <si>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</si>
  <si>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</si>
  <si>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</si>
  <si>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</si>
  <si>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</si>
  <si>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</si>
  <si>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</si>
  <si>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</si>
  <si>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</si>
  <si>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</si>
  <si>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</si>
  <si>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</si>
  <si>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</si>
  <si>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</si>
  <si>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</si>
  <si>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</si>
  <si>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</si>
  <si>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</si>
  <si>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</si>
  <si>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</si>
  <si>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</si>
  <si>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</si>
  <si>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</si>
  <si>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</si>
  <si>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</si>
  <si>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</si>
  <si>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</si>
  <si>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</si>
  <si>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</si>
  <si>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</si>
  <si>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</si>
  <si>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</si>
  <si>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</si>
  <si>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</si>
  <si>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</si>
  <si>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</si>
  <si>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</si>
  <si>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</si>
  <si>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</si>
  <si>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</si>
  <si>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</si>
  <si>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</si>
  <si>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</si>
  <si>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</si>
  <si>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</si>
  <si>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</si>
  <si>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</si>
  <si>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</si>
  <si>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</si>
  <si>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</si>
  <si>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</si>
  <si>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</si>
  <si>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</si>
  <si>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</si>
  <si>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</si>
  <si>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</si>
  <si>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</si>
  <si>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</si>
  <si>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</si>
  <si>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</si>
  <si>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</si>
  <si>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</si>
  <si>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</si>
  <si>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</si>
  <si>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</si>
  <si>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</si>
  <si>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</si>
  <si>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</si>
  <si>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</si>
  <si>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</si>
  <si>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</si>
  <si>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</si>
  <si>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</si>
  <si>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</si>
  <si>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</si>
  <si>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</si>
  <si>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</si>
  <si>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</si>
  <si>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</si>
  <si>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</si>
  <si>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</si>
  <si>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</si>
  <si>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</si>
  <si>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</si>
  <si>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</si>
  <si>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</si>
  <si>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</si>
  <si>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</si>
  <si>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</si>
  <si>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</si>
  <si>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</si>
  <si>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</si>
  <si>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</si>
  <si>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</si>
  <si>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</si>
  <si>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</si>
  <si>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</si>
  <si>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</si>
  <si>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</si>
  <si>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</si>
  <si>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</si>
  <si>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</si>
  <si>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</si>
  <si>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</si>
  <si>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</si>
  <si>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</si>
  <si>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</si>
  <si>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</si>
  <si>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</si>
  <si>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</si>
  <si>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</si>
  <si>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</si>
  <si>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</si>
  <si>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</si>
  <si>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</si>
  <si>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</si>
  <si>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</si>
  <si>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</si>
  <si>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</si>
  <si>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</si>
  <si>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</si>
  <si>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</si>
  <si>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</si>
  <si>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</si>
  <si>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</si>
  <si>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</si>
  <si>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</si>
  <si>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</si>
  <si>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</si>
  <si>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</si>
  <si>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</si>
  <si>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</si>
  <si>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</si>
  <si>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</si>
  <si>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</si>
  <si>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</si>
  <si>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</si>
  <si>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</si>
  <si>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</si>
  <si>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</si>
  <si>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</si>
  <si>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</si>
  <si>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</si>
  <si>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</si>
  <si>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</si>
  <si>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</si>
  <si>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</si>
  <si>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</si>
  <si>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</si>
  <si>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</si>
  <si>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</si>
  <si>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</si>
  <si>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</si>
  <si>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</si>
  <si>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</si>
  <si>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</si>
  <si>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</si>
  <si>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</si>
  <si>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</si>
  <si>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</si>
  <si>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</si>
  <si>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</si>
  <si>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</si>
  <si>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</si>
  <si>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</si>
  <si>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</si>
  <si>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</si>
  <si>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</si>
  <si>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</si>
  <si>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</si>
  <si>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</si>
  <si>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</si>
  <si>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</si>
  <si>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</si>
  <si>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</si>
  <si>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</si>
  <si>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</si>
  <si>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</si>
  <si>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</si>
  <si>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</si>
  <si>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</si>
  <si>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</si>
  <si>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</si>
  <si>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</si>
  <si>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</si>
  <si>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</si>
  <si>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</si>
  <si>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</si>
  <si>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</si>
  <si>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</si>
  <si>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</si>
  <si>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</si>
  <si>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</si>
  <si>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</si>
  <si>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</si>
  <si>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</si>
  <si>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</si>
  <si>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</si>
  <si>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</si>
  <si>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</si>
  <si>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</si>
  <si>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</si>
  <si>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</si>
  <si>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</si>
  <si>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</si>
  <si>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</si>
  <si>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</si>
  <si>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</si>
  <si>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</si>
  <si>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</si>
  <si>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</si>
  <si>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</si>
  <si>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</si>
  <si>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</si>
  <si>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</si>
  <si>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</si>
  <si>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</si>
  <si>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</si>
  <si>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</si>
  <si>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</si>
  <si>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</si>
  <si>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</si>
  <si>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</si>
  <si>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</si>
  <si>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</si>
  <si>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</si>
  <si>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</si>
  <si>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</si>
  <si>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</si>
  <si>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</si>
  <si>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</si>
  <si>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</si>
  <si>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</si>
  <si>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</si>
  <si>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</si>
  <si>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</si>
  <si>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</si>
  <si>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</si>
  <si>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</si>
  <si>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</si>
  <si>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</si>
  <si>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</si>
  <si>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</si>
  <si>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</si>
  <si>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</si>
  <si>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</si>
  <si>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</si>
  <si>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</si>
  <si>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</si>
  <si>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</si>
  <si>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</si>
  <si>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</si>
  <si>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</si>
  <si>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</si>
  <si>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</si>
  <si>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</si>
  <si>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</si>
  <si>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</si>
  <si>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</si>
  <si>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</si>
  <si>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</si>
  <si>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</si>
  <si>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</si>
  <si>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</si>
  <si>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</si>
  <si>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</si>
  <si>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</si>
  <si>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</si>
  <si>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</si>
  <si>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</si>
  <si>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</si>
  <si>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</si>
  <si>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</si>
  <si>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</si>
  <si>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</si>
  <si>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</si>
  <si>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</si>
  <si>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</si>
  <si>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</si>
  <si>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</si>
  <si>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</si>
  <si>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</si>
  <si>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</si>
  <si>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</si>
  <si>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</si>
  <si>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</si>
  <si>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</si>
  <si>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</si>
  <si>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</si>
  <si>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</si>
  <si>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</si>
  <si>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</si>
  <si>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</si>
  <si>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</si>
  <si>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</si>
  <si>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</si>
  <si>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</si>
  <si>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</si>
  <si>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</si>
  <si>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</si>
  <si>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</si>
  <si>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</si>
  <si>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</si>
  <si>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</si>
  <si>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</si>
  <si>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</si>
  <si>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</si>
  <si>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</si>
  <si>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</si>
  <si>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</si>
  <si>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</si>
  <si>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</si>
  <si>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</si>
  <si>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</si>
  <si>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</si>
  <si>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</si>
  <si>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</si>
  <si>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</si>
  <si>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</si>
  <si>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</si>
  <si>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</si>
  <si>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</si>
  <si>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</si>
  <si>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</si>
  <si>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</si>
  <si>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</si>
  <si>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</si>
  <si>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</si>
  <si>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</si>
  <si>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</si>
  <si>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</si>
  <si>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</si>
  <si>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</si>
  <si>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</si>
  <si>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</si>
  <si>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</si>
  <si>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</si>
  <si>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</si>
  <si>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</si>
  <si>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</si>
  <si>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</si>
  <si>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</si>
  <si>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</si>
  <si>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</si>
  <si>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</si>
  <si>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</si>
  <si>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</si>
  <si>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</si>
  <si>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</si>
  <si>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</si>
  <si>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</si>
  <si>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</si>
  <si>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</si>
  <si>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</si>
  <si>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</si>
  <si>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</si>
  <si>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</si>
  <si>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</si>
  <si>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</si>
  <si>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</si>
  <si>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</si>
  <si>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</si>
  <si>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</si>
  <si>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</si>
  <si>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</si>
  <si>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</si>
  <si>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</si>
  <si>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</si>
  <si>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</si>
  <si>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</si>
  <si>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</si>
  <si>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</si>
  <si>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</si>
  <si>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</si>
  <si>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</si>
  <si>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</si>
  <si>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</si>
  <si>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</si>
  <si>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</si>
  <si>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</si>
  <si>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</si>
  <si>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</si>
  <si>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</si>
  <si>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</si>
  <si>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</si>
  <si>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</si>
  <si>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</si>
  <si>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</si>
  <si>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</si>
  <si>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</si>
  <si>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</si>
  <si>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</si>
  <si>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</si>
  <si>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</si>
  <si>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</si>
  <si>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</si>
  <si>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</si>
  <si>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</si>
  <si>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</si>
  <si>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</si>
  <si>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</si>
  <si>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</si>
  <si>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</si>
  <si>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</si>
  <si>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</si>
  <si>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</si>
  <si>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</si>
  <si>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</si>
  <si>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</si>
  <si>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</si>
  <si>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</si>
  <si>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</si>
  <si>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</si>
  <si>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</si>
  <si>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</si>
  <si>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</si>
  <si>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</si>
  <si>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</si>
  <si>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</si>
  <si>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</si>
  <si>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</si>
  <si>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</si>
  <si>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</si>
  <si>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</si>
  <si>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</si>
  <si>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</si>
  <si>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</si>
  <si>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</si>
  <si>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</si>
  <si>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</si>
  <si>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</si>
  <si>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</si>
  <si>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</si>
  <si>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</si>
  <si>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</si>
  <si>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</si>
  <si>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</si>
  <si>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</si>
  <si>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</si>
  <si>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</si>
  <si>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</si>
  <si>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</si>
  <si>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</si>
  <si>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</si>
  <si>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</si>
  <si>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</si>
  <si>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</si>
  <si>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</si>
  <si>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</si>
  <si>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</si>
  <si>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</si>
  <si>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</si>
  <si>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</si>
  <si>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</si>
  <si>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</si>
  <si>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</si>
  <si>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</si>
  <si>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</si>
  <si>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</si>
  <si>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</si>
  <si>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</si>
  <si>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</si>
  <si>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</si>
  <si>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</si>
  <si>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</si>
  <si>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</si>
  <si>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</si>
  <si>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</si>
  <si>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</si>
  <si>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</si>
  <si>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</si>
  <si>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</si>
  <si>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</si>
  <si>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</si>
  <si>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</si>
  <si>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</si>
  <si>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</si>
  <si>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</si>
  <si>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</si>
  <si>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</si>
  <si>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</si>
  <si>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</si>
  <si>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</si>
  <si>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</si>
  <si>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</si>
  <si>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</si>
  <si>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</si>
  <si>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</si>
  <si>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</si>
  <si>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</si>
  <si>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</si>
  <si>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</si>
  <si>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</si>
  <si>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</si>
  <si>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</si>
  <si>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</si>
  <si>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</si>
  <si>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</si>
  <si>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</si>
  <si>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</si>
  <si>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</si>
  <si>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</si>
  <si>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</si>
  <si>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</si>
  <si>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</si>
  <si>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</si>
  <si>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</si>
  <si>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</si>
  <si>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</si>
  <si>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</si>
  <si>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</si>
  <si>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</si>
  <si>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</si>
  <si>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</si>
  <si>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</si>
  <si>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</si>
  <si>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</si>
  <si>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</si>
  <si>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</si>
  <si>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</si>
  <si>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</si>
  <si>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</si>
  <si>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</si>
  <si>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</si>
  <si>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</si>
  <si>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</si>
  <si>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</si>
  <si>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</si>
  <si>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</si>
  <si>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</si>
  <si>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</si>
  <si>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</si>
  <si>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</si>
  <si>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</si>
  <si>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</si>
  <si>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</si>
  <si>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</si>
  <si>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</si>
  <si>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</si>
  <si>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</si>
  <si>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</si>
  <si>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</si>
  <si>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</si>
  <si>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</si>
  <si>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</si>
  <si>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</si>
  <si>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</si>
  <si>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</si>
  <si>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</si>
  <si>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</si>
  <si>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</si>
  <si>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</si>
  <si>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</si>
  <si>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</si>
  <si>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</si>
  <si>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</si>
  <si>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</si>
  <si>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</si>
  <si>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</si>
  <si>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</si>
  <si>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</si>
  <si>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</si>
  <si>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</si>
  <si>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</si>
  <si>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</si>
  <si>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</si>
  <si>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</si>
  <si>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</si>
  <si>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</si>
  <si>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</si>
  <si>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</si>
  <si>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</si>
  <si>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</si>
  <si>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</si>
  <si>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</si>
  <si>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</si>
  <si>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</si>
  <si>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</si>
  <si>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</si>
  <si>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</si>
  <si>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</si>
  <si>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</si>
  <si>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</si>
  <si>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</si>
  <si>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</si>
  <si>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</si>
  <si>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</si>
  <si>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</si>
  <si>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</si>
  <si>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</si>
  <si>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</si>
  <si>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</si>
  <si>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</si>
  <si>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</si>
  <si>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</si>
  <si>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</si>
  <si>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</si>
  <si>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</si>
  <si>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</si>
  <si>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</si>
  <si>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</si>
  <si>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</si>
  <si>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</si>
  <si>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</si>
  <si>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</si>
  <si>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</si>
  <si>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</si>
  <si>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</si>
  <si>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</si>
  <si>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</si>
  <si>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</si>
  <si>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</si>
  <si>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</si>
  <si>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</si>
  <si>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</si>
  <si>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</si>
  <si>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</si>
  <si>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</si>
  <si>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</si>
  <si>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</si>
  <si>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</si>
  <si>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</si>
  <si>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</si>
  <si>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</si>
  <si>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</si>
  <si>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</si>
  <si>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</si>
  <si>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</si>
  <si>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</si>
  <si>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</si>
  <si>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</si>
  <si>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</si>
  <si>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</si>
  <si>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</si>
  <si>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</si>
  <si>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</si>
  <si>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</si>
  <si>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</si>
  <si>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</si>
  <si>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</si>
  <si>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</si>
  <si>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</si>
  <si>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</si>
  <si>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</si>
  <si>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</si>
  <si>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</si>
  <si>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</si>
  <si>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</si>
  <si>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</si>
  <si>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</si>
  <si>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</si>
  <si>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</si>
  <si>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</si>
  <si>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</si>
  <si>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</si>
  <si>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</si>
  <si>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</si>
  <si>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</si>
  <si>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</si>
  <si>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</si>
  <si>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</si>
  <si>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</si>
  <si>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</si>
  <si>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</si>
  <si>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</si>
  <si>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</si>
  <si>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</si>
  <si>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</si>
  <si>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</si>
  <si>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</si>
  <si>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</si>
  <si>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</si>
  <si>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</si>
  <si>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</si>
  <si>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</si>
  <si>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</si>
  <si>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</si>
  <si>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</si>
  <si>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</si>
  <si>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</si>
  <si>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</si>
  <si>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</si>
  <si>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</si>
  <si>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</si>
  <si>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</si>
  <si>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</si>
  <si>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</si>
  <si>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</si>
  <si>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</si>
  <si>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</si>
  <si>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</si>
  <si>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</si>
  <si>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</si>
  <si>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</si>
  <si>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</si>
  <si>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</si>
  <si>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</si>
  <si>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</si>
  <si>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</si>
  <si>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</si>
  <si>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</si>
  <si>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</si>
  <si>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</si>
  <si>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</si>
  <si>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</si>
  <si>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</si>
  <si>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</si>
  <si>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</si>
  <si>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</si>
  <si>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</si>
  <si>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</si>
  <si>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</si>
  <si>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</si>
  <si>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</si>
  <si>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</si>
  <si>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</si>
  <si>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</si>
  <si>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</si>
  <si>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</si>
  <si>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</si>
  <si>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</si>
  <si>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</si>
  <si>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</si>
  <si>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</si>
  <si>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</si>
  <si>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</si>
  <si>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</si>
  <si>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</si>
  <si>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</si>
  <si>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</si>
  <si>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</si>
  <si>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</si>
  <si>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</si>
  <si>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</si>
  <si>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</si>
  <si>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</si>
  <si>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</si>
  <si>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</si>
  <si>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</si>
  <si>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</si>
  <si>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</si>
  <si>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</si>
  <si>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</si>
  <si>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</si>
  <si>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</si>
  <si>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</si>
  <si>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</si>
  <si>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</si>
  <si>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</si>
  <si>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</si>
  <si>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</si>
  <si>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</si>
  <si>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</si>
  <si>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</si>
  <si>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</si>
  <si>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</si>
  <si>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</si>
  <si>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</si>
  <si>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</si>
  <si>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</si>
  <si>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</si>
  <si>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</si>
  <si>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</si>
  <si>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</si>
  <si>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</si>
  <si>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</si>
  <si>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</si>
  <si>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</si>
  <si>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</si>
  <si>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</si>
  <si>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</si>
  <si>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</si>
  <si>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</si>
  <si>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</si>
  <si>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</si>
  <si>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</si>
  <si>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</si>
  <si>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</si>
  <si>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</si>
  <si>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</si>
  <si>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</si>
  <si>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</si>
  <si>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</si>
  <si>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</si>
  <si>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</si>
  <si>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</si>
  <si>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</si>
  <si>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</si>
  <si>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</si>
  <si>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</si>
  <si>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</si>
  <si>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</si>
  <si>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</si>
  <si>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</si>
  <si>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</si>
  <si>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</si>
  <si>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</si>
  <si>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</si>
  <si>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</si>
  <si>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</si>
  <si>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</si>
  <si>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</si>
  <si>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</si>
  <si>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</si>
  <si>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</si>
  <si>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</si>
  <si>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</si>
  <si>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</si>
  <si>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</si>
  <si>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</si>
  <si>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</si>
  <si>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</si>
  <si>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</si>
  <si>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</si>
  <si>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</si>
  <si>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</si>
  <si>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</si>
  <si>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</si>
  <si>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</si>
  <si>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</si>
  <si>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</si>
  <si>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</si>
  <si>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</si>
  <si>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</si>
  <si>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</si>
  <si>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</si>
  <si>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</si>
  <si>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</si>
  <si>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</si>
  <si>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</si>
  <si>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</si>
  <si>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</si>
  <si>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</si>
  <si>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</si>
  <si>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</si>
  <si>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</si>
  <si>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</si>
  <si>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</si>
  <si>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</si>
  <si>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</si>
  <si>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</si>
  <si>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</si>
  <si>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</si>
  <si>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</si>
  <si>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</si>
  <si>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</si>
  <si>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</si>
  <si>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</si>
  <si>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</si>
  <si>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</si>
  <si>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</si>
  <si>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</si>
  <si>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</si>
  <si>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</si>
  <si>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</si>
  <si>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</si>
  <si>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</si>
  <si>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</si>
  <si>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</si>
  <si>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</si>
  <si>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</si>
  <si>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</si>
  <si>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</si>
  <si>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</si>
  <si>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</si>
  <si>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</si>
  <si>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</si>
  <si>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</si>
  <si>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</si>
  <si>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</si>
  <si>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</si>
  <si>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</si>
  <si>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</si>
  <si>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</si>
  <si>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</si>
  <si>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</si>
  <si>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</si>
  <si>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</si>
  <si>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</si>
  <si>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</si>
  <si>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</si>
  <si>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</si>
  <si>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</si>
  <si>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</si>
  <si>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</si>
  <si>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</si>
  <si>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</si>
  <si>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</si>
  <si>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</si>
  <si>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</si>
  <si>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</si>
  <si>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</si>
  <si>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</si>
  <si>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</si>
  <si>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</si>
  <si>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</si>
  <si>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</si>
  <si>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</si>
  <si>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</si>
  <si>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</si>
  <si>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</si>
  <si>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</si>
  <si>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</si>
  <si>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</si>
  <si>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</si>
  <si>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</si>
  <si>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</si>
  <si>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</si>
  <si>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</si>
  <si>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</si>
  <si>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</si>
  <si>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</si>
  <si>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</si>
  <si>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</si>
  <si>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</si>
  <si>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</si>
  <si>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</si>
  <si>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</si>
  <si>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</si>
  <si>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</si>
  <si>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</si>
  <si>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</si>
  <si>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</si>
  <si>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</si>
  <si>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</si>
  <si>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</si>
  <si>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</si>
  <si>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</si>
  <si>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</si>
  <si>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</si>
  <si>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</si>
  <si>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</si>
  <si>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</si>
  <si>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</si>
  <si>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</si>
  <si>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</si>
  <si>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</si>
  <si>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</si>
  <si>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</si>
  <si>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</si>
  <si>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</si>
  <si>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</si>
  <si>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</si>
  <si>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</si>
  <si>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</si>
  <si>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</si>
  <si>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</si>
  <si>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</si>
  <si>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</si>
  <si>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</si>
  <si>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</si>
  <si>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</si>
  <si>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</si>
  <si>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</si>
  <si>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</si>
  <si>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</si>
  <si>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</si>
  <si>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</si>
  <si>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</si>
  <si>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</si>
  <si>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</si>
  <si>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</si>
  <si>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</si>
  <si>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</si>
  <si>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</si>
  <si>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</si>
  <si>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</si>
  <si>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</si>
  <si>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</si>
  <si>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</si>
  <si>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</si>
  <si>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</si>
  <si>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</si>
  <si>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</si>
  <si>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</si>
  <si>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</si>
  <si>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</si>
  <si>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</si>
  <si>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</si>
  <si>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</si>
  <si>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</si>
  <si>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</si>
  <si>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</si>
  <si>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</si>
  <si>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</si>
  <si>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</si>
  <si>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</si>
  <si>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</si>
  <si>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</si>
  <si>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</si>
  <si>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</si>
  <si>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</si>
  <si>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</si>
  <si>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</si>
  <si>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</si>
  <si>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</si>
  <si>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</si>
  <si>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</si>
  <si>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</si>
  <si>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</si>
  <si>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</si>
  <si>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</si>
  <si>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</si>
  <si>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</si>
  <si>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</si>
  <si>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</si>
  <si>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</si>
  <si>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</si>
  <si>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</si>
  <si>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</si>
  <si>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</si>
  <si>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</si>
  <si>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</si>
  <si>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</si>
  <si>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</si>
  <si>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</si>
  <si>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</si>
  <si>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</si>
  <si>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</si>
  <si>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</si>
  <si>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</si>
  <si>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</si>
  <si>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</si>
  <si>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</si>
  <si>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</si>
  <si>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</si>
  <si>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</si>
  <si>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</si>
  <si>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</si>
  <si>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</si>
  <si>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</si>
  <si>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</si>
  <si>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</si>
  <si>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</si>
  <si>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</si>
  <si>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</si>
  <si>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</si>
  <si>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</si>
  <si>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</si>
  <si>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</si>
  <si>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</si>
  <si>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</si>
  <si>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</si>
  <si>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</si>
  <si>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</si>
  <si>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</si>
  <si>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</si>
  <si>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</si>
  <si>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</si>
  <si>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</si>
  <si>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</si>
  <si>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</si>
  <si>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</si>
  <si>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</si>
  <si>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</si>
  <si>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</si>
  <si>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</si>
  <si>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</si>
  <si>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</si>
  <si>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</si>
  <si>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</si>
  <si>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</si>
  <si>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</si>
  <si>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</si>
  <si>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</si>
  <si>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</si>
  <si>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</si>
  <si>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</si>
  <si>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</si>
  <si>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</si>
  <si>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</si>
  <si>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</si>
  <si>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</si>
  <si>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</si>
  <si>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</si>
  <si>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</si>
  <si>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</si>
  <si>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</si>
  <si>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</si>
  <si>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</si>
  <si>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</si>
  <si>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</si>
  <si>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</si>
  <si>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</si>
  <si>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</si>
  <si>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</si>
  <si>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</si>
  <si>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</si>
  <si>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</si>
  <si>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</si>
  <si>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</si>
  <si>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</si>
  <si>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</si>
  <si>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</si>
  <si>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</si>
  <si>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</si>
  <si>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</si>
  <si>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</si>
  <si>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</si>
  <si>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</si>
  <si>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</si>
  <si>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</si>
  <si>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</si>
  <si>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</si>
  <si>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</si>
  <si>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</si>
  <si>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</si>
  <si>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</si>
  <si>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</si>
  <si>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</si>
  <si>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</si>
  <si>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</si>
  <si>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</si>
  <si>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</si>
  <si>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</si>
  <si>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</si>
  <si>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</si>
  <si>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</si>
  <si>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</si>
  <si>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</si>
  <si>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</si>
  <si>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</si>
  <si>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</si>
  <si>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</si>
  <si>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</si>
  <si>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</si>
  <si>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</si>
  <si>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</si>
  <si>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</si>
  <si>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</si>
  <si>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</si>
  <si>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</si>
  <si>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</si>
  <si>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</si>
  <si>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</si>
  <si>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</si>
  <si>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</si>
  <si>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</si>
  <si>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</si>
  <si>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</si>
  <si>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</si>
  <si>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</si>
  <si>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</si>
  <si>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</si>
  <si>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</si>
  <si>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</si>
  <si>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</si>
  <si>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</si>
  <si>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</si>
  <si>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</si>
  <si>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</si>
  <si>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</si>
  <si>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</si>
  <si>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</si>
  <si>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</si>
  <si>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</si>
  <si>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</si>
  <si>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</si>
  <si>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</si>
  <si>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</si>
  <si>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</si>
  <si>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</si>
  <si>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</si>
  <si>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</si>
  <si>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</si>
  <si>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</si>
  <si>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</si>
  <si>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</si>
  <si>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</si>
  <si>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</si>
  <si>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</si>
  <si>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</si>
  <si>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</si>
  <si>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</si>
  <si>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</si>
  <si>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</si>
  <si>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</si>
  <si>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</si>
  <si>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</si>
  <si>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</si>
  <si>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</si>
  <si>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</si>
  <si>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</si>
  <si>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</si>
  <si>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吴薇</t>
  </si>
  <si>
    <t>抵押</t>
  </si>
  <si>
    <t>房地产抵押价值</t>
  </si>
  <si>
    <t>北京市</t>
  </si>
  <si>
    <t>企业</t>
  </si>
  <si>
    <t>出让</t>
  </si>
  <si>
    <t>是</t>
  </si>
  <si>
    <t>地上</t>
  </si>
  <si>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</si>
  <si>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</si>
  <si>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</si>
  <si>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</si>
  <si>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</si>
  <si>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</si>
  <si>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</si>
  <si>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</si>
  <si>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地下商业</t>
  </si>
  <si>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</si>
  <si>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</si>
  <si>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</si>
  <si>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</si>
  <si>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</si>
  <si>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</si>
  <si>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</si>
  <si>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</si>
  <si>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</si>
  <si>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</si>
  <si>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</si>
  <si>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</si>
  <si>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</si>
  <si>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</si>
  <si>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</si>
  <si>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</si>
  <si>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</si>
  <si>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</si>
  <si>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</si>
  <si>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</si>
  <si>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</si>
  <si>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</si>
  <si>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</si>
  <si>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</si>
  <si>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</si>
  <si>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</si>
  <si>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</si>
  <si>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</si>
  <si>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</si>
  <si>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</si>
  <si>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</si>
  <si>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</si>
  <si>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</si>
  <si>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</si>
  <si>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</si>
  <si>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</si>
  <si>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</si>
  <si>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</si>
  <si>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</si>
  <si>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</si>
  <si>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</si>
  <si>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</si>
  <si>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</si>
  <si>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</si>
  <si>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</si>
  <si>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</si>
  <si>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</si>
  <si>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</si>
  <si>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</si>
  <si>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</si>
  <si>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</si>
  <si>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</si>
  <si>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</si>
  <si>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</si>
  <si>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</si>
  <si>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</si>
  <si>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</si>
  <si>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</si>
  <si>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</si>
  <si>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</si>
  <si>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</si>
  <si>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</si>
  <si>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</si>
  <si>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</si>
  <si>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</si>
  <si>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</si>
  <si>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</si>
  <si>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</si>
  <si>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</si>
  <si>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</si>
  <si>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</si>
  <si>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</si>
  <si>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</si>
  <si>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</si>
  <si>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</si>
  <si>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</si>
  <si>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</si>
  <si>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</si>
  <si>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</si>
  <si>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</si>
  <si>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</si>
  <si>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</si>
  <si>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</si>
  <si>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</si>
  <si>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</si>
  <si>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</si>
  <si>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</si>
  <si>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</si>
  <si>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</si>
  <si>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</si>
  <si>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</si>
  <si>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</si>
  <si>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</si>
  <si>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</si>
  <si>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</si>
  <si>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</si>
  <si>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</si>
  <si>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</si>
  <si>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</si>
  <si>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</si>
  <si>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</si>
  <si>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</si>
  <si>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</si>
  <si>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</si>
  <si>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</si>
  <si>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</si>
  <si>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</si>
  <si>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</si>
  <si>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</si>
  <si>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收益法车库</t>
  </si>
  <si>
    <t>车位数</t>
    <phoneticPr fontId="143" type="noConversion"/>
  </si>
  <si>
    <t>收益法仓储</t>
  </si>
  <si>
    <t>成本比率</t>
  </si>
  <si>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</si>
  <si>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</si>
  <si>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t>万科大都会</t>
    <phoneticPr fontId="3" type="noConversion"/>
  </si>
  <si>
    <t>复地中心</t>
    <phoneticPr fontId="3" type="noConversion"/>
  </si>
  <si>
    <t>万元/个</t>
    <phoneticPr fontId="3" type="noConversion"/>
  </si>
  <si>
    <t>高区</t>
    <phoneticPr fontId="3" type="noConversion"/>
  </si>
  <si>
    <t>中区</t>
    <phoneticPr fontId="3" type="noConversion"/>
  </si>
  <si>
    <t>低区</t>
    <phoneticPr fontId="3" type="noConversion"/>
  </si>
  <si>
    <t>精装修</t>
  </si>
  <si>
    <t>标准写字楼</t>
  </si>
  <si>
    <t>中区</t>
  </si>
  <si>
    <t>100-200</t>
    <phoneticPr fontId="3" type="noConversion"/>
  </si>
  <si>
    <t>200-300</t>
    <phoneticPr fontId="3" type="noConversion"/>
  </si>
  <si>
    <t>300-400</t>
    <phoneticPr fontId="3" type="noConversion"/>
  </si>
  <si>
    <t>400-500</t>
    <phoneticPr fontId="3" type="noConversion"/>
  </si>
  <si>
    <t>150-280</t>
    <phoneticPr fontId="3" type="noConversion"/>
  </si>
  <si>
    <t>80-140</t>
    <phoneticPr fontId="3" type="noConversion"/>
  </si>
  <si>
    <t>已包含在土地取得成本中</t>
  </si>
  <si>
    <t>楼号</t>
    <phoneticPr fontId="143" type="noConversion"/>
  </si>
  <si>
    <t>用途</t>
    <phoneticPr fontId="143" type="noConversion"/>
  </si>
  <si>
    <t>楼层</t>
    <phoneticPr fontId="143" type="noConversion"/>
  </si>
  <si>
    <t>规划建筑面积（平方米）</t>
    <phoneticPr fontId="143" type="noConversion"/>
  </si>
  <si>
    <t>地下室</t>
    <phoneticPr fontId="143" type="noConversion"/>
  </si>
  <si>
    <t>办公</t>
    <phoneticPr fontId="143" type="noConversion"/>
  </si>
  <si>
    <t>商业</t>
    <phoneticPr fontId="143" type="noConversion"/>
  </si>
  <si>
    <t>设备机房</t>
    <phoneticPr fontId="143" type="noConversion"/>
  </si>
  <si>
    <r>
      <t>地上3</t>
    </r>
    <r>
      <rPr>
        <sz val="11"/>
        <color theme="1"/>
        <rFont val="宋体"/>
        <family val="3"/>
        <charset val="134"/>
        <scheme val="minor"/>
      </rPr>
      <t>7层</t>
    </r>
    <phoneticPr fontId="143" type="noConversion"/>
  </si>
  <si>
    <t>地上4层</t>
    <phoneticPr fontId="143" type="noConversion"/>
  </si>
  <si>
    <t>地下4层</t>
    <phoneticPr fontId="143" type="noConversion"/>
  </si>
  <si>
    <t>总计</t>
    <phoneticPr fontId="143" type="noConversion"/>
  </si>
  <si>
    <t>办公</t>
    <phoneticPr fontId="7" type="noConversion"/>
  </si>
  <si>
    <t>商业</t>
    <phoneticPr fontId="7" type="noConversion"/>
  </si>
  <si>
    <t>地下车库</t>
    <phoneticPr fontId="7" type="noConversion"/>
  </si>
  <si>
    <t>地下仓储</t>
  </si>
  <si>
    <t>地下仓储</t>
    <phoneticPr fontId="7" type="noConversion"/>
  </si>
  <si>
    <t>地下1层</t>
    <phoneticPr fontId="3" type="noConversion"/>
  </si>
  <si>
    <t>收益法商业</t>
  </si>
  <si>
    <r>
      <rPr>
        <sz val="11"/>
        <rFont val="宋体"/>
        <family val="3"/>
        <charset val="134"/>
      </rPr>
      <t>周边</t>
    </r>
    <r>
      <rPr>
        <sz val="11"/>
        <rFont val="Arial"/>
        <family val="2"/>
      </rPr>
      <t>2</t>
    </r>
    <r>
      <rPr>
        <sz val="11"/>
        <rFont val="宋体"/>
        <family val="3"/>
        <charset val="134"/>
      </rPr>
      <t>公里范围内有兆雄超市等住宅配套商业，人流量一般，商业繁华度一般。</t>
    </r>
    <phoneticPr fontId="31" type="noConversion"/>
  </si>
  <si>
    <t>周边办公楼项目数量一般，入驻率一般，办公集聚程度一般。</t>
    <phoneticPr fontId="31" type="noConversion"/>
  </si>
  <si>
    <r>
      <rPr>
        <sz val="11"/>
        <rFont val="宋体"/>
        <family val="3"/>
        <charset val="134"/>
      </rPr>
      <t>周边有</t>
    </r>
    <r>
      <rPr>
        <sz val="11"/>
        <rFont val="Arial"/>
        <family val="2"/>
      </rP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r>
      <rPr>
        <sz val="11"/>
        <rFont val="宋体"/>
        <family val="3"/>
        <charset val="134"/>
      </rPr>
      <t>等，路网密集程度较好，交通便捷度较好。</t>
    </r>
    <phoneticPr fontId="31" type="noConversion"/>
  </si>
  <si>
    <t>较一致</t>
    <phoneticPr fontId="31" type="noConversion"/>
  </si>
  <si>
    <t>周边有蓝调庄园、坝河水系等自然及人文设施，环境状况较好。</t>
    <phoneticPr fontId="31" type="noConversion"/>
  </si>
  <si>
    <t>周边有购物（兆雄超市）、学校（楼梓庄中心小学）、有意愿（北京市社区卫生服务），公共配套设施较好。</t>
    <phoneticPr fontId="31" type="noConversion"/>
  </si>
  <si>
    <t>七通</t>
    <phoneticPr fontId="31" type="noConversion"/>
  </si>
  <si>
    <t>地上办公</t>
    <phoneticPr fontId="25" type="noConversion"/>
  </si>
  <si>
    <t>地下办公</t>
    <phoneticPr fontId="25" type="noConversion"/>
  </si>
  <si>
    <t>地上</t>
    <phoneticPr fontId="25" type="noConversion"/>
  </si>
  <si>
    <t>地下</t>
    <phoneticPr fontId="25" type="noConversion"/>
  </si>
  <si>
    <t>周边办公楼项目数量一般，入驻率一般，办公集聚程度一般。</t>
    <phoneticPr fontId="32" type="noConversion"/>
  </si>
  <si>
    <t>周边道路状况较好、公共交通通达情况较好、停车较便捷，综合评价交通便捷度较好。</t>
    <phoneticPr fontId="32" type="noConversion"/>
  </si>
  <si>
    <t>区域内银行、购物场所、医院、学校、餐饮等，公共配套设施齐备情况较好。</t>
    <phoneticPr fontId="32" type="noConversion"/>
  </si>
  <si>
    <t>七通</t>
    <phoneticPr fontId="32" type="noConversion"/>
  </si>
  <si>
    <t>周边有大型绿化、公园等，自然及人文环境较好；综合评价环境质量较好。</t>
    <phoneticPr fontId="32" type="noConversion"/>
  </si>
  <si>
    <t>城市主干道－滨河北路</t>
    <phoneticPr fontId="32" type="noConversion"/>
  </si>
  <si>
    <t>城市主干道－滨河中路</t>
    <phoneticPr fontId="32" type="noConversion"/>
  </si>
  <si>
    <t>城市主干道－新华西街</t>
    <phoneticPr fontId="32" type="noConversion"/>
  </si>
  <si>
    <t>办公</t>
    <phoneticPr fontId="32" type="noConversion"/>
  </si>
  <si>
    <t>40-50（含）</t>
  </si>
  <si>
    <t>北京市通州区通燕高速出口与013县道交叉口</t>
    <phoneticPr fontId="32" type="noConversion"/>
  </si>
  <si>
    <t>北京市通州区新华东街与滨河中路交叉口东南100米</t>
    <phoneticPr fontId="32" type="noConversion"/>
  </si>
  <si>
    <t>郑燚</t>
  </si>
  <si>
    <t>华远好天地中心</t>
  </si>
  <si>
    <t>较差</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</si>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</sst>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180" fontId="50" fillId="0" borderId="1" xfId="0" applyNumberFormat="1" applyFont="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99" fillId="0" borderId="1" xfId="0" applyFont="1" applyBorder="1">
      <alignment vertical="center"/>
    </xf>
    <xf numFmtId="0" fontId="0" fillId="0" borderId="1" xfId="0" applyBorder="1">
      <alignment vertical="center"/>
    </xf>
    <xf numFmtId="49" fontId="98" fillId="0" borderId="22"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5&#22312;&#24314;&#23545;&#20844;&#20107;&#19994;&#37096;&#8212;&#30005;&#31639;&#34920;-&#25151;&#22320;&#20135;-&#39033;&#30446;-&#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05&#22312;&#24314;&#23545;&#20844;&#20107;&#19994;&#37096;&#8212;&#30005;&#31639;&#34920;-&#25151;&#22320;&#20135;-&#39033;&#30446;-&#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26376;&#20272;&#20215;&#23545;&#35937;2-05&#22312;&#24314;&#23545;&#20844;&#20107;&#19994;&#37096;&#8212;&#30005;&#31639;&#34920;-&#25151;&#22320;&#20135;-&#39033;&#30446;-&#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26376;&#20272;&#20215;&#23545;&#35937;2-05&#22312;&#24314;&#23545;&#20844;&#20107;&#19994;&#37096;&#8212;&#30005;&#31639;&#34920;-&#25151;&#22320;&#20135;-&#39033;&#30446;-&#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26376;&#20272;&#20215;&#23545;&#35937;3-08D&#29616;&#25151;&#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26376;&#20272;&#20215;&#23545;&#35937;4-03&#22303;&#22320;&#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26376;&#20272;&#20215;&#23545;&#35937;5-08&#37096;&#20998;&#29616;&#25151;&#23545;&#20844;&#20107;&#19994;&#37096;&#8212;&#30005;&#31639;&#34920;-&#25151;&#22320;&#20135;-&#39033;&#3044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26376;&#20272;&#20215;&#23545;&#35937;6-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
          <cell r="E23">
            <v>1</v>
          </cell>
          <cell r="F23">
            <v>10</v>
          </cell>
        </row>
        <row r="24">
          <cell r="E24">
            <v>0.65</v>
          </cell>
        </row>
        <row r="25">
          <cell r="E25">
            <v>0.6</v>
          </cell>
        </row>
        <row r="26">
          <cell r="E26">
            <v>0.55000000000000004</v>
          </cell>
        </row>
      </sheetData>
      <sheetData sheetId="15">
        <row r="6">
          <cell r="I6">
            <v>5.5E-2</v>
          </cell>
        </row>
        <row r="28">
          <cell r="B28">
            <v>200</v>
          </cell>
        </row>
        <row r="34">
          <cell r="B34">
            <v>0.05</v>
          </cell>
        </row>
        <row r="35">
          <cell r="B35">
            <v>200</v>
          </cell>
        </row>
        <row r="36">
          <cell r="B36">
            <v>1.4999999999999999E-2</v>
          </cell>
        </row>
        <row r="37">
          <cell r="B37">
            <v>0.02</v>
          </cell>
        </row>
        <row r="38">
          <cell r="B38">
            <v>0.02</v>
          </cell>
        </row>
        <row r="42">
          <cell r="B42">
            <v>0.05</v>
          </cell>
        </row>
      </sheetData>
      <sheetData sheetId="16" refreshError="1"/>
      <sheetData sheetId="17" refreshError="1"/>
      <sheetData sheetId="18" refreshError="1"/>
      <sheetData sheetId="19" refreshError="1"/>
      <sheetData sheetId="20" refreshError="1"/>
      <sheetData sheetId="21">
        <row r="11">
          <cell r="K11">
            <v>1</v>
          </cell>
        </row>
        <row r="32">
          <cell r="K32">
            <v>1</v>
          </cell>
        </row>
      </sheetData>
      <sheetData sheetId="22" refreshError="1"/>
      <sheetData sheetId="23">
        <row r="11">
          <cell r="K11">
            <v>1</v>
          </cell>
        </row>
        <row r="27">
          <cell r="K27">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0.05</v>
          </cell>
          <cell r="I6">
            <v>5.5E-2</v>
          </cell>
          <cell r="J6">
            <v>8.5000000000000006E-2</v>
          </cell>
          <cell r="Q6">
            <v>0.25</v>
          </cell>
        </row>
        <row r="7">
          <cell r="H7">
            <v>5.5E-2</v>
          </cell>
          <cell r="I7">
            <v>0.06</v>
          </cell>
          <cell r="J7">
            <v>8.5000000000000006E-2</v>
          </cell>
          <cell r="V7">
            <v>2.5000000000000001E-2</v>
          </cell>
          <cell r="W7">
            <v>0.1</v>
          </cell>
          <cell r="AK7">
            <v>1.4999999999999999E-2</v>
          </cell>
          <cell r="AL7">
            <v>2E-3</v>
          </cell>
        </row>
        <row r="8">
          <cell r="H8">
            <v>4.5000000000000005E-2</v>
          </cell>
          <cell r="I8">
            <v>0.05</v>
          </cell>
          <cell r="J8">
            <v>8.5000000000000006E-2</v>
          </cell>
          <cell r="Q8">
            <v>0.1</v>
          </cell>
          <cell r="U8">
            <v>1.5</v>
          </cell>
          <cell r="V8">
            <v>1.4999999999999999E-2</v>
          </cell>
        </row>
        <row r="9">
          <cell r="H9">
            <v>4.5000000000000005E-2</v>
          </cell>
          <cell r="I9">
            <v>0.05</v>
          </cell>
          <cell r="Q9">
            <v>0.05</v>
          </cell>
          <cell r="U9">
            <v>1.6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B47">
            <v>0.93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118787.11</v>
          </cell>
          <cell r="G14">
            <v>289557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118787.11</v>
          </cell>
          <cell r="C14">
            <v>8949.2199999999993</v>
          </cell>
          <cell r="D14">
            <v>290443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08D商业"/>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4182.99</v>
          </cell>
          <cell r="C14">
            <v>409.58</v>
          </cell>
          <cell r="D14">
            <v>17758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案例"/>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220053.4</v>
          </cell>
          <cell r="C14">
            <v>16193.67</v>
          </cell>
          <cell r="D14">
            <v>450792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08商业"/>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15747.05</v>
          </cell>
          <cell r="C14">
            <v>1541.89</v>
          </cell>
          <cell r="D14">
            <v>74436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面积表及结果"/>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45722.84</v>
          </cell>
          <cell r="C14">
            <v>4360.1000000000004</v>
          </cell>
          <cell r="D14">
            <v>227305</v>
          </cell>
        </row>
        <row r="15">
          <cell r="B15">
            <v>13906.25</v>
          </cell>
          <cell r="C15">
            <v>1326.09</v>
          </cell>
          <cell r="D15">
            <v>53950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北京市出让国有建设用地使用权及在建建筑物房地产抵押价值预评估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郑燚（注册号：1120070131)、吴薇（注册号：1419970001)</v>
      </c>
    </row>
    <row r="5" spans="1:2" s="1585" customFormat="1" ht="16.2" thickBot="1">
      <c r="A5" s="1592" t="s">
        <v>1223</v>
      </c>
      <c r="B5" s="1593" t="str">
        <f>'预评函-封皮'!B49</f>
        <v>康正预评字号</v>
      </c>
    </row>
    <row r="6" spans="1:2" s="1588" customFormat="1" ht="16.2" thickTop="1">
      <c r="A6" s="1586" t="s">
        <v>1224</v>
      </c>
      <c r="B6" s="1587" t="str">
        <f>'预评函-1'!A4</f>
        <v>受贵公司委托，我公司对北京市出让国有建设用地使用权及在建建筑物房地产抵押价值进行了预评估。</v>
      </c>
    </row>
    <row r="7" spans="1:2" s="1591" customFormat="1">
      <c r="A7" s="1589" t="s">
        <v>1264</v>
      </c>
      <c r="B7" s="1590" t="str">
        <f>'预评函-1'!A7</f>
        <v>估价对象为北京市出让国有建设用地使用权及在建建筑物房地产，为所有。根据《国有土地使用证》[]，估价对象（分摊）出让国有建设用地使用权面积为11023.92平方米，建筑面积为126370.2平方米。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2018年8月20日（评估专业人员实地查勘之日）</v>
      </c>
    </row>
    <row r="13" spans="1:2" s="1591" customFormat="1">
      <c r="A13" s="1589" t="s">
        <v>1227</v>
      </c>
      <c r="B13" s="1590"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272710</v>
      </c>
    </row>
    <row r="21" spans="1:2" s="1591" customFormat="1">
      <c r="A21" s="1589" t="s">
        <v>1235</v>
      </c>
      <c r="B21" s="1590">
        <f ca="1">'预评函-2'!D7</f>
        <v>21580</v>
      </c>
    </row>
    <row r="22" spans="1:2" s="1591" customFormat="1">
      <c r="A22" s="1589" t="s">
        <v>1236</v>
      </c>
      <c r="B22" s="1590" t="str">
        <f ca="1">'预评函-2'!D6</f>
        <v>贰拾柒亿贰仟柒佰壹拾万元整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272710</v>
      </c>
    </row>
    <row r="31" spans="1:2" s="1591" customFormat="1">
      <c r="A31" s="1589" t="s">
        <v>1274</v>
      </c>
      <c r="B31" s="1590">
        <f ca="1">'预评函-2'!D15</f>
        <v>21580</v>
      </c>
    </row>
    <row r="32" spans="1:2" s="1591" customFormat="1">
      <c r="A32" s="1589" t="s">
        <v>1241</v>
      </c>
      <c r="B32" s="1590" t="str">
        <f ca="1">'预评函-2'!D14</f>
        <v>贰拾柒亿贰仟柒佰壹拾万元整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北京市出让国有建设用地使用权及在建建筑物房地产</v>
      </c>
    </row>
    <row r="42" spans="1:2" s="1591" customFormat="1" ht="31.2">
      <c r="A42" s="1589" t="s">
        <v>1288</v>
      </c>
      <c r="B42" s="1590" t="str">
        <f>'预评函-3'!B2</f>
        <v>建筑面积</v>
      </c>
    </row>
    <row r="43" spans="1:2" s="1591" customFormat="1">
      <c r="A43" s="1589" t="s">
        <v>1289</v>
      </c>
      <c r="B43" s="1590">
        <f>'预评函-3'!B4</f>
        <v>126370.20000000001</v>
      </c>
    </row>
    <row r="44" spans="1:2" s="1591" customFormat="1" ht="31.2">
      <c r="A44" s="1589" t="s">
        <v>1273</v>
      </c>
      <c r="B44" s="1590" t="str">
        <f>'预评函-3'!C2</f>
        <v>(分摊)土地面积</v>
      </c>
    </row>
    <row r="45" spans="1:2" s="1591" customFormat="1">
      <c r="A45" s="1589" t="s">
        <v>1245</v>
      </c>
      <c r="B45" s="1590">
        <f>'预评函-3'!C4</f>
        <v>11023.92</v>
      </c>
    </row>
    <row r="46" spans="1:2" s="1591" customFormat="1">
      <c r="A46" s="1589" t="s">
        <v>1271</v>
      </c>
      <c r="B46" s="1590" t="str">
        <f>'预评函-3'!D2</f>
        <v>出让国有建设用地使用权价值</v>
      </c>
    </row>
    <row r="47" spans="1:2" s="1591" customFormat="1">
      <c r="A47" s="1589" t="s">
        <v>1246</v>
      </c>
      <c r="B47" s="1590">
        <f ca="1">'预评函-3'!D4</f>
        <v>264801</v>
      </c>
    </row>
    <row r="48" spans="1:2" s="1591" customFormat="1">
      <c r="A48" s="1589" t="s">
        <v>1247</v>
      </c>
      <c r="B48" s="1590">
        <f ca="1">'预评函-3'!E4</f>
        <v>20954</v>
      </c>
    </row>
    <row r="49" spans="1:2" s="1591" customFormat="1">
      <c r="A49" s="1589" t="s">
        <v>1248</v>
      </c>
      <c r="B49" s="1590" t="str">
        <f ca="1">'预评函-3'!D5</f>
        <v>贰拾陆亿肆仟捌佰零壹万元整</v>
      </c>
    </row>
    <row r="50" spans="1:2" s="1591" customFormat="1">
      <c r="A50" s="1589" t="s">
        <v>1272</v>
      </c>
      <c r="B50" s="1590" t="str">
        <f>'预评函-3'!F2</f>
        <v>在建建筑物价值</v>
      </c>
    </row>
    <row r="51" spans="1:2" s="1591" customFormat="1">
      <c r="A51" s="1589" t="s">
        <v>1249</v>
      </c>
      <c r="B51" s="1590">
        <f ca="1">'预评函-3'!F4</f>
        <v>7909</v>
      </c>
    </row>
    <row r="52" spans="1:2" s="1591" customFormat="1">
      <c r="A52" s="1589" t="s">
        <v>1250</v>
      </c>
      <c r="B52" s="1590">
        <f ca="1">'预评函-3'!G4</f>
        <v>626</v>
      </c>
    </row>
    <row r="53" spans="1:2" s="1591" customFormat="1">
      <c r="A53" s="1589" t="s">
        <v>1278</v>
      </c>
      <c r="B53" s="1590" t="str">
        <f ca="1">'预评函-3'!F5</f>
        <v>柒仟玖佰零玖万元整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t="str">
        <f>'预评函-4'!A4</f>
        <v>郑燚</v>
      </c>
    </row>
    <row r="71" spans="1:2">
      <c r="A71" s="1589" t="s">
        <v>1261</v>
      </c>
      <c r="B71" s="1590">
        <f ca="1">'预评函-4'!B4</f>
        <v>1120070131</v>
      </c>
    </row>
    <row r="72" spans="1:2">
      <c r="A72" s="1589" t="s">
        <v>1262</v>
      </c>
      <c r="B72" s="1598" t="str">
        <f>'预评函-4'!A5</f>
        <v>吴薇</v>
      </c>
    </row>
    <row r="73" spans="1:2" s="1585" customFormat="1" ht="16.2" thickBot="1">
      <c r="A73" s="1592" t="s">
        <v>1263</v>
      </c>
      <c r="B73" s="1593">
        <f ca="1">'预评函-4'!B5</f>
        <v>1419970001</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3209</v>
      </c>
      <c r="C17" s="2013"/>
    </row>
    <row r="18" spans="1:3">
      <c r="A18" s="2012" t="s">
        <v>1768</v>
      </c>
      <c r="B18" s="2012"/>
      <c r="C18" s="2013"/>
    </row>
    <row r="19" spans="1:3">
      <c r="A19" s="2012" t="s">
        <v>1769</v>
      </c>
      <c r="B19" s="2012" t="s">
        <v>3169</v>
      </c>
      <c r="C19" s="2013"/>
    </row>
    <row r="20" spans="1:3">
      <c r="A20" s="2012" t="s">
        <v>1770</v>
      </c>
      <c r="B20" s="2012" t="s">
        <v>3171</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864</v>
      </c>
      <c r="C54" s="2017" t="s">
        <v>1281</v>
      </c>
    </row>
    <row r="55" spans="1:4">
      <c r="A55" s="3028"/>
      <c r="B55" s="2020" t="s">
        <v>865</v>
      </c>
      <c r="C55" s="2017" t="s">
        <v>1282</v>
      </c>
    </row>
    <row r="56" spans="1:4">
      <c r="A56" s="3028"/>
      <c r="B56" s="2020" t="s">
        <v>866</v>
      </c>
      <c r="C56" s="2017" t="s">
        <v>1286</v>
      </c>
    </row>
    <row r="57" spans="1:4">
      <c r="A57" s="30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8671875" style="2030" customWidth="1"/>
    <col min="2" max="3" width="11.44140625" style="2030" customWidth="1"/>
    <col min="4" max="4" width="11.33203125" style="2030" customWidth="1"/>
    <col min="5"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1777</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1778</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1779</v>
      </c>
      <c r="B3" s="2034">
        <v>43332</v>
      </c>
      <c r="C3" s="2035" t="s">
        <v>1780</v>
      </c>
      <c r="D3" s="2034">
        <f>B3</f>
        <v>43332</v>
      </c>
      <c r="E3" s="2024"/>
      <c r="F3" s="2024"/>
      <c r="G3" s="2024"/>
      <c r="H3" s="2024"/>
      <c r="I3" s="2024"/>
      <c r="J3" s="2024"/>
      <c r="K3" s="2025"/>
      <c r="L3" s="2026"/>
      <c r="M3" s="2026"/>
      <c r="N3" s="2027"/>
      <c r="O3" s="2028"/>
      <c r="P3" s="2027"/>
      <c r="Q3" s="2027"/>
      <c r="R3" s="2027"/>
      <c r="S3" s="2029"/>
    </row>
    <row r="4" spans="1:19" ht="18" customHeight="1" thickBot="1">
      <c r="A4" s="2036" t="s">
        <v>1781</v>
      </c>
      <c r="B4" s="2037" t="s">
        <v>3233</v>
      </c>
      <c r="C4" s="1037">
        <f ca="1">SUMIF(注册房地产估价师,B4,估价师及机构信息!B3:B24)</f>
        <v>1120070131</v>
      </c>
      <c r="D4" s="2037" t="s">
        <v>3043</v>
      </c>
      <c r="E4" s="1038">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1782</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1783</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1784</v>
      </c>
      <c r="B7" s="2051"/>
      <c r="C7" s="2048"/>
      <c r="D7" s="2049"/>
      <c r="E7" s="2032"/>
      <c r="F7" s="2040"/>
      <c r="G7" s="2040"/>
      <c r="H7" s="2040"/>
      <c r="I7" s="2040"/>
      <c r="J7" s="2040"/>
      <c r="K7" s="2052"/>
      <c r="L7" s="2026"/>
      <c r="M7" s="2026"/>
      <c r="N7" s="2027"/>
      <c r="O7" s="2028"/>
      <c r="P7" s="2027"/>
      <c r="Q7" s="2027"/>
      <c r="R7" s="2027"/>
    </row>
    <row r="8" spans="1:19" ht="18" customHeight="1">
      <c r="A8" s="2046" t="s">
        <v>1785</v>
      </c>
      <c r="B8" s="2053" t="s">
        <v>3044</v>
      </c>
      <c r="C8" s="2054"/>
      <c r="D8" s="3032" t="s">
        <v>1786</v>
      </c>
      <c r="E8" s="2055" t="s">
        <v>3045</v>
      </c>
      <c r="F8" s="2056"/>
      <c r="G8" s="2024"/>
      <c r="H8" s="2024"/>
      <c r="I8" s="2024"/>
      <c r="J8" s="2040"/>
      <c r="K8" s="2041"/>
      <c r="L8" s="2026"/>
      <c r="M8" s="2026"/>
      <c r="N8" s="2027"/>
      <c r="O8" s="2028"/>
      <c r="P8" s="2027"/>
      <c r="Q8" s="2027"/>
      <c r="R8" s="2027"/>
    </row>
    <row r="9" spans="1:19" ht="18" customHeight="1" thickBot="1">
      <c r="A9" s="2038" t="s">
        <v>1787</v>
      </c>
      <c r="B9" s="2057" t="s">
        <v>3045</v>
      </c>
      <c r="C9" s="2058"/>
      <c r="D9" s="3033"/>
      <c r="E9" s="2057" t="s">
        <v>70</v>
      </c>
      <c r="F9" s="2059"/>
      <c r="G9" s="2060"/>
      <c r="H9" s="2060"/>
      <c r="I9" s="2060"/>
      <c r="J9" s="2040"/>
      <c r="K9" s="2052"/>
      <c r="L9" s="2026"/>
      <c r="M9" s="2026"/>
      <c r="N9" s="2027"/>
      <c r="O9" s="2028"/>
      <c r="P9" s="2027"/>
      <c r="Q9" s="2027"/>
      <c r="R9" s="2027"/>
    </row>
    <row r="10" spans="1:19" ht="18" customHeight="1" thickTop="1">
      <c r="A10" s="2061" t="s">
        <v>1788</v>
      </c>
      <c r="B10" s="2062" t="s">
        <v>3046</v>
      </c>
      <c r="C10" s="2063"/>
      <c r="D10" s="2045"/>
      <c r="E10" s="2064" t="s">
        <v>1789</v>
      </c>
      <c r="F10" s="2065"/>
      <c r="G10" s="2066"/>
      <c r="H10" s="2067"/>
      <c r="I10" s="2045"/>
      <c r="J10" s="2040"/>
      <c r="K10" s="2052"/>
      <c r="L10" s="2026"/>
      <c r="M10" s="2026"/>
      <c r="N10" s="2027"/>
      <c r="O10" s="2028"/>
      <c r="P10" s="2027"/>
      <c r="Q10" s="2027"/>
      <c r="R10" s="2027"/>
    </row>
    <row r="11" spans="1:19" ht="18" customHeight="1">
      <c r="A11" s="2068" t="s">
        <v>1790</v>
      </c>
      <c r="B11" s="2069" t="s">
        <v>3047</v>
      </c>
      <c r="C11" s="2070"/>
      <c r="D11" s="2071"/>
      <c r="E11" s="2040"/>
      <c r="F11" s="2040"/>
      <c r="G11" s="2040"/>
      <c r="H11" s="2040"/>
      <c r="I11" s="2040"/>
      <c r="J11" s="2040"/>
      <c r="K11" s="2052"/>
      <c r="L11" s="2026"/>
      <c r="M11" s="2026"/>
      <c r="N11" s="2027"/>
      <c r="O11" s="2028"/>
      <c r="P11" s="2027"/>
      <c r="Q11" s="2027"/>
      <c r="R11" s="2027"/>
    </row>
    <row r="12" spans="1:19" ht="18" customHeight="1">
      <c r="A12" s="2072" t="s">
        <v>1791</v>
      </c>
      <c r="B12" s="2069" t="s">
        <v>3048</v>
      </c>
      <c r="C12" s="2073" t="s">
        <v>1792</v>
      </c>
      <c r="D12" s="2074" t="s">
        <v>1793</v>
      </c>
      <c r="E12" s="2074" t="s">
        <v>1794</v>
      </c>
      <c r="F12" s="2074" t="s">
        <v>1795</v>
      </c>
      <c r="G12" s="2074" t="s">
        <v>1796</v>
      </c>
      <c r="H12" s="2074" t="s">
        <v>1797</v>
      </c>
      <c r="I12" s="2074" t="s">
        <v>1798</v>
      </c>
      <c r="J12" s="2040"/>
      <c r="K12" s="2052"/>
      <c r="L12" s="2026"/>
      <c r="M12" s="2026"/>
      <c r="N12" s="2027"/>
      <c r="O12" s="2028"/>
      <c r="P12" s="2027"/>
      <c r="Q12" s="2027"/>
      <c r="R12" s="2027"/>
    </row>
    <row r="13" spans="1:19" ht="18" customHeight="1">
      <c r="A13" s="2075"/>
      <c r="B13" s="2076"/>
      <c r="C13" s="2077" t="s">
        <v>1799</v>
      </c>
      <c r="D13" s="2078"/>
      <c r="E13" s="2078">
        <v>55229</v>
      </c>
      <c r="F13" s="2078">
        <v>58882</v>
      </c>
      <c r="G13" s="2078">
        <v>58882</v>
      </c>
      <c r="H13" s="2078">
        <v>58882</v>
      </c>
      <c r="I13" s="1047"/>
      <c r="J13" s="2040"/>
      <c r="K13" s="2052"/>
      <c r="L13" s="2026"/>
      <c r="M13" s="2026"/>
      <c r="N13" s="2027"/>
      <c r="O13" s="2028"/>
      <c r="P13" s="2027"/>
      <c r="Q13" s="2027"/>
      <c r="R13" s="2027"/>
    </row>
    <row r="14" spans="1:19" ht="18" customHeight="1">
      <c r="A14" s="2075"/>
      <c r="B14" s="2076"/>
      <c r="C14" s="2077" t="s">
        <v>1800</v>
      </c>
      <c r="D14" s="1050"/>
      <c r="E14" s="1050">
        <v>40</v>
      </c>
      <c r="F14" s="1050">
        <v>50</v>
      </c>
      <c r="G14" s="1050">
        <v>50</v>
      </c>
      <c r="H14" s="1050">
        <v>50</v>
      </c>
      <c r="I14" s="1050"/>
      <c r="J14" s="2040"/>
      <c r="K14" s="2079"/>
      <c r="L14" s="2026"/>
      <c r="M14" s="2026"/>
      <c r="N14" s="2027"/>
      <c r="O14" s="2028"/>
      <c r="P14" s="2027"/>
      <c r="Q14" s="2027"/>
      <c r="R14" s="2027"/>
    </row>
    <row r="15" spans="1:19" ht="18" customHeight="1">
      <c r="A15" s="2061"/>
      <c r="B15" s="2080"/>
      <c r="C15" s="2077" t="s">
        <v>1801</v>
      </c>
      <c r="D15" s="1049" t="str">
        <f>IF(B12="出让",IF(D13="","",ROUNDDOWN(MIN((D13-$D$3)/365,D14),2)),D14)</f>
        <v/>
      </c>
      <c r="E15" s="1049">
        <f>IF(B12="出让",IF(E13="","",ROUNDDOWN(MIN((E13-$D$3)/365,E14),2)),E14)</f>
        <v>32.590000000000003</v>
      </c>
      <c r="F15" s="1049">
        <f>IF(B12="出让",IF(F13="","",ROUNDDOWN(MIN((F13-$D$3)/365,F14),2)),F14)</f>
        <v>42.6</v>
      </c>
      <c r="G15" s="1049">
        <f>IF(B12="出让",IF(G13="","",ROUNDDOWN(MIN((G13-$D$3)/365,G14),2)),G14)</f>
        <v>42.6</v>
      </c>
      <c r="H15" s="1049">
        <f>IF(B12="出让",IF(H13="","",ROUNDDOWN(MIN((H13-$D$3)/365,H14),2)),H14)</f>
        <v>42.6</v>
      </c>
      <c r="I15" s="1049" t="str">
        <f>IF(B12="出让",IF(I13="","",ROUNDDOWN(MIN((I13-$D$3)/365,I14),2)),I14)</f>
        <v/>
      </c>
      <c r="J15" s="2040"/>
      <c r="K15" s="2081"/>
      <c r="L15" s="2082"/>
      <c r="M15" s="2082"/>
      <c r="N15" s="2083"/>
      <c r="O15" s="2082"/>
      <c r="P15" s="2083"/>
      <c r="Q15" s="2027"/>
      <c r="R15" s="2027"/>
    </row>
    <row r="16" spans="1:19" ht="30.75" customHeight="1">
      <c r="A16" s="2064" t="s">
        <v>1802</v>
      </c>
      <c r="B16" s="3039"/>
      <c r="C16" s="3040"/>
      <c r="D16" s="3041"/>
      <c r="E16" s="2084" t="s">
        <v>1803</v>
      </c>
      <c r="F16" s="3042"/>
      <c r="G16" s="3043"/>
      <c r="H16" s="3043"/>
      <c r="I16" s="3044"/>
      <c r="J16" s="2027"/>
      <c r="K16" s="2081"/>
      <c r="L16" s="2082"/>
      <c r="M16" s="2082"/>
      <c r="N16" s="2083"/>
      <c r="O16" s="2082"/>
      <c r="P16" s="2083"/>
      <c r="Q16" s="2027"/>
      <c r="R16" s="2027"/>
    </row>
    <row r="17" spans="1:22" ht="18" customHeight="1">
      <c r="A17" s="2085" t="s">
        <v>1804</v>
      </c>
      <c r="B17" s="2033" t="s">
        <v>1805</v>
      </c>
      <c r="C17" s="1054">
        <f>'数据-汇总表'!E3</f>
        <v>126370.20000000001</v>
      </c>
      <c r="D17" s="2086" t="s">
        <v>1806</v>
      </c>
      <c r="E17" s="3045" t="s">
        <v>1807</v>
      </c>
      <c r="F17" s="3046"/>
      <c r="G17" s="3046"/>
      <c r="H17" s="3046"/>
      <c r="I17" s="3047"/>
      <c r="J17" s="2027"/>
      <c r="K17" s="2087"/>
      <c r="L17" s="2082"/>
      <c r="M17" s="2082"/>
      <c r="N17" s="2083"/>
      <c r="O17" s="2082"/>
      <c r="P17" s="2083"/>
      <c r="Q17" s="2027"/>
      <c r="R17" s="2027"/>
      <c r="S17" s="2027"/>
      <c r="T17" s="2027"/>
      <c r="U17" s="2027"/>
      <c r="V17" s="2027"/>
    </row>
    <row r="18" spans="1:22" ht="36" customHeight="1" thickBot="1">
      <c r="A18" s="2088" t="s">
        <v>1808</v>
      </c>
      <c r="B18" s="2036" t="s">
        <v>1809</v>
      </c>
      <c r="C18" s="1443">
        <f>'数据-汇总表'!D3</f>
        <v>11023.92</v>
      </c>
      <c r="D18" s="2089" t="s">
        <v>1806</v>
      </c>
      <c r="E18" s="3048" t="s">
        <v>1810</v>
      </c>
      <c r="F18" s="3049"/>
      <c r="G18" s="3049"/>
      <c r="H18" s="3049"/>
      <c r="I18" s="3050"/>
      <c r="J18" s="2027"/>
      <c r="K18" s="2087"/>
      <c r="L18" s="2082"/>
      <c r="M18" s="2082"/>
      <c r="N18" s="2083"/>
      <c r="O18" s="2082"/>
      <c r="P18" s="2083"/>
      <c r="Q18" s="2027"/>
      <c r="R18" s="2027"/>
      <c r="S18" s="2027"/>
      <c r="T18" s="2027"/>
      <c r="U18" s="2027"/>
      <c r="V18" s="2027"/>
    </row>
    <row r="19" spans="1:22" ht="37.5" customHeight="1" thickTop="1" thickBot="1">
      <c r="A19" s="371" t="s">
        <v>1811</v>
      </c>
      <c r="B19" s="350" t="s">
        <v>1812</v>
      </c>
      <c r="C19" s="2090"/>
      <c r="D19" s="2091" t="s">
        <v>1813</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1814</v>
      </c>
      <c r="B20" s="3035" t="s">
        <v>1815</v>
      </c>
      <c r="C20" s="3036"/>
      <c r="D20" s="3037" t="s">
        <v>1816</v>
      </c>
      <c r="E20" s="3038"/>
      <c r="F20" s="2096" t="s">
        <v>1817</v>
      </c>
      <c r="G20" s="2040"/>
      <c r="H20" s="2040"/>
      <c r="I20" s="2040"/>
      <c r="J20" s="2040"/>
      <c r="K20" s="3034"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1819</v>
      </c>
      <c r="C21" s="2098" t="s">
        <v>1820</v>
      </c>
      <c r="D21" s="2099" t="s">
        <v>1821</v>
      </c>
      <c r="E21" s="2100" t="s">
        <v>1820</v>
      </c>
      <c r="F21" s="2101"/>
      <c r="G21" s="2040"/>
      <c r="H21" s="2040"/>
      <c r="I21" s="2040"/>
      <c r="J21" s="2040"/>
      <c r="K21" s="30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1822</v>
      </c>
      <c r="C22" s="2098" t="s">
        <v>1823</v>
      </c>
      <c r="D22" s="2024"/>
      <c r="E22" s="2024"/>
      <c r="F22" s="2103"/>
      <c r="G22" s="2040"/>
      <c r="H22" s="2040"/>
      <c r="I22" s="2040"/>
      <c r="J22" s="2040"/>
      <c r="K22" s="30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1824</v>
      </c>
      <c r="B23" s="181" t="s">
        <v>1825</v>
      </c>
      <c r="C23" s="2105"/>
      <c r="D23" s="2106" t="s">
        <v>1825</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1826</v>
      </c>
      <c r="C24" s="2110"/>
      <c r="D24" s="2104" t="s">
        <v>1826</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1827</v>
      </c>
      <c r="C25" s="2110"/>
      <c r="D25" s="2104" t="s">
        <v>1827</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1828</v>
      </c>
      <c r="C26" s="2114"/>
      <c r="D26" s="2115" t="s">
        <v>1829</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2" t="s">
        <v>1830</v>
      </c>
      <c r="B27" s="2061" t="s">
        <v>1831</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2"/>
      <c r="B28" s="2033" t="s">
        <v>1832</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2"/>
      <c r="B29" s="2033" t="s">
        <v>1833</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3"/>
      <c r="B30" s="2033" t="s">
        <v>1834</v>
      </c>
      <c r="C30" s="3054"/>
      <c r="D30" s="305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6" t="s">
        <v>1835</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1836</v>
      </c>
      <c r="B34" s="2132"/>
      <c r="C34" s="2132"/>
      <c r="D34" s="2132"/>
      <c r="E34" s="2132"/>
      <c r="F34" s="2132"/>
      <c r="G34" s="2132"/>
      <c r="H34" s="2132"/>
      <c r="I34" s="2040"/>
      <c r="J34" s="2040"/>
      <c r="K34" s="1793">
        <f>COUNTIF(B34:H34,"——")</f>
        <v>0</v>
      </c>
      <c r="L34" s="2073" t="s">
        <v>1837</v>
      </c>
      <c r="M34" s="2073" t="s">
        <v>1838</v>
      </c>
      <c r="N34" s="2073" t="s">
        <v>1839</v>
      </c>
      <c r="O34" s="2073" t="s">
        <v>1840</v>
      </c>
      <c r="P34" s="2073" t="s">
        <v>1841</v>
      </c>
      <c r="Q34" s="2073" t="s">
        <v>1842</v>
      </c>
      <c r="R34" s="2073" t="s">
        <v>1843</v>
      </c>
      <c r="S34" s="3051" t="s">
        <v>1844</v>
      </c>
      <c r="T34" s="2133" t="str">
        <f>NUMBERSTRING(7-K34,1)&amp;"通"</f>
        <v>七通</v>
      </c>
      <c r="U34" s="2027"/>
      <c r="V34" s="2027"/>
    </row>
    <row r="35" spans="1:22" ht="18" customHeight="1">
      <c r="A35" s="2134"/>
      <c r="B35" s="3058" t="s">
        <v>1845</v>
      </c>
      <c r="C35" s="3058"/>
      <c r="D35" s="3058"/>
      <c r="E35" s="3058"/>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7"/>
      <c r="V35" s="2027"/>
    </row>
    <row r="36" spans="1:22" ht="18" customHeight="1">
      <c r="A36" s="2136"/>
      <c r="B36" s="2135" t="s">
        <v>1846</v>
      </c>
      <c r="C36" s="2135" t="s">
        <v>1847</v>
      </c>
      <c r="D36" s="2135" t="s">
        <v>1848</v>
      </c>
      <c r="E36" s="2135" t="s">
        <v>1849</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1850</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1851</v>
      </c>
      <c r="B38" s="2141" t="s">
        <v>431</v>
      </c>
      <c r="C38" s="2141" t="s">
        <v>431</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1853</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1854</v>
      </c>
      <c r="B42" s="1793" t="s">
        <v>1855</v>
      </c>
      <c r="C42" s="1793" t="s">
        <v>1856</v>
      </c>
      <c r="D42" s="1793" t="s">
        <v>1857</v>
      </c>
      <c r="E42" s="1793" t="s">
        <v>1858</v>
      </c>
      <c r="F42" s="1793" t="s">
        <v>1859</v>
      </c>
      <c r="G42" s="1793" t="s">
        <v>1860</v>
      </c>
      <c r="H42" s="1793" t="s">
        <v>1861</v>
      </c>
      <c r="I42" s="1793" t="s">
        <v>1862</v>
      </c>
      <c r="J42" s="2151" t="s">
        <v>1863</v>
      </c>
      <c r="K42" s="2074" t="s">
        <v>1864</v>
      </c>
      <c r="L42" s="2074" t="s">
        <v>1865</v>
      </c>
      <c r="M42" s="2074" t="s">
        <v>1866</v>
      </c>
      <c r="N42" s="1793" t="s">
        <v>1867</v>
      </c>
      <c r="O42" s="1793" t="s">
        <v>1868</v>
      </c>
      <c r="P42" s="1793" t="s">
        <v>1869</v>
      </c>
      <c r="Q42" s="2073" t="s">
        <v>1870</v>
      </c>
      <c r="R42" s="2073" t="s">
        <v>1871</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0" width="10.77734375" style="2158" customWidth="1"/>
    <col min="21"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hidden="1" customWidth="1"/>
    <col min="31" max="31" width="9.77734375" style="2158" hidden="1" customWidth="1"/>
    <col min="32" max="39" width="9.44140625" style="2158" hidden="1" customWidth="1"/>
    <col min="40"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1872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2969">
        <v>11023.921</v>
      </c>
      <c r="B3" s="13">
        <f>IF(C3="否",G5-AT5,G5)</f>
        <v>126370.20000000001</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4" t="s">
        <v>1881</v>
      </c>
      <c r="B5" s="1801"/>
      <c r="C5" s="1801"/>
      <c r="D5" s="1804"/>
      <c r="E5" s="15" t="s">
        <v>1</v>
      </c>
      <c r="F5" s="15">
        <f>SUM(F13:F587)</f>
        <v>0</v>
      </c>
      <c r="G5" s="15">
        <f>SUM(G13:G587)</f>
        <v>126370.20000000001</v>
      </c>
      <c r="H5" s="15">
        <f t="shared" ref="H5:AT5" si="0">SUM(H13:H656)</f>
        <v>122040.1</v>
      </c>
      <c r="I5" s="15">
        <f t="shared" si="0"/>
        <v>73762</v>
      </c>
      <c r="J5" s="15">
        <f t="shared" si="0"/>
        <v>0</v>
      </c>
      <c r="K5" s="15">
        <f t="shared" si="0"/>
        <v>14664</v>
      </c>
      <c r="L5" s="15">
        <f t="shared" si="0"/>
        <v>0</v>
      </c>
      <c r="M5" s="15">
        <f t="shared" si="0"/>
        <v>30569.3</v>
      </c>
      <c r="N5" s="15">
        <f t="shared" si="0"/>
        <v>0</v>
      </c>
      <c r="O5" s="15">
        <f t="shared" si="0"/>
        <v>1651.1</v>
      </c>
      <c r="P5" s="15">
        <f t="shared" si="0"/>
        <v>0</v>
      </c>
      <c r="Q5" s="15">
        <f t="shared" si="0"/>
        <v>260.8</v>
      </c>
      <c r="R5" s="15">
        <f t="shared" si="0"/>
        <v>0</v>
      </c>
      <c r="S5" s="15">
        <f t="shared" si="0"/>
        <v>1132.9000000000001</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4330.1000000000004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4330.1000000000004</v>
      </c>
      <c r="AO5" s="15">
        <f t="shared" si="0"/>
        <v>0</v>
      </c>
      <c r="AP5" s="15">
        <f t="shared" si="0"/>
        <v>0</v>
      </c>
      <c r="AQ5" s="15">
        <f t="shared" si="0"/>
        <v>0</v>
      </c>
      <c r="AR5" s="15">
        <f t="shared" si="0"/>
        <v>0</v>
      </c>
      <c r="AS5" s="15">
        <f t="shared" si="0"/>
        <v>0</v>
      </c>
      <c r="AT5" s="15">
        <f t="shared" si="0"/>
        <v>0</v>
      </c>
      <c r="AU5" s="1800"/>
      <c r="AV5" s="14" t="s">
        <v>1881</v>
      </c>
      <c r="AW5" s="1801"/>
      <c r="AX5" s="1801"/>
      <c r="AY5" s="16" t="s">
        <v>3</v>
      </c>
      <c r="AZ5" s="17">
        <f t="shared" ref="AZ5:BT5" si="1">SUM(AZ13:AZ656)</f>
        <v>126370.20000000001</v>
      </c>
      <c r="BA5" s="17">
        <f t="shared" si="1"/>
        <v>122040.1</v>
      </c>
      <c r="BB5" s="17">
        <f t="shared" si="1"/>
        <v>73762</v>
      </c>
      <c r="BC5" s="17">
        <f t="shared" si="1"/>
        <v>14664</v>
      </c>
      <c r="BD5" s="17">
        <f t="shared" si="1"/>
        <v>30569.3</v>
      </c>
      <c r="BE5" s="17">
        <f t="shared" si="1"/>
        <v>1651.1</v>
      </c>
      <c r="BF5" s="17">
        <f t="shared" si="1"/>
        <v>260.8</v>
      </c>
      <c r="BG5" s="17">
        <f t="shared" si="1"/>
        <v>1132.9000000000001</v>
      </c>
      <c r="BH5" s="17">
        <f t="shared" si="1"/>
        <v>0</v>
      </c>
      <c r="BI5" s="17">
        <f t="shared" si="1"/>
        <v>0</v>
      </c>
      <c r="BJ5" s="17">
        <f t="shared" si="1"/>
        <v>0</v>
      </c>
      <c r="BK5" s="17">
        <f t="shared" si="1"/>
        <v>0</v>
      </c>
      <c r="BL5" s="17">
        <f t="shared" si="1"/>
        <v>4330.1000000000004</v>
      </c>
      <c r="BM5" s="17">
        <f t="shared" si="1"/>
        <v>0</v>
      </c>
      <c r="BN5" s="17">
        <f t="shared" si="1"/>
        <v>0</v>
      </c>
      <c r="BO5" s="17">
        <f t="shared" si="1"/>
        <v>0</v>
      </c>
      <c r="BP5" s="17">
        <f t="shared" si="1"/>
        <v>0</v>
      </c>
      <c r="BQ5" s="17">
        <f t="shared" si="1"/>
        <v>0</v>
      </c>
      <c r="BR5" s="17">
        <f t="shared" si="1"/>
        <v>4330.1000000000004</v>
      </c>
      <c r="BS5" s="17">
        <f t="shared" si="1"/>
        <v>0</v>
      </c>
      <c r="BT5" s="18">
        <f t="shared" si="1"/>
        <v>0</v>
      </c>
    </row>
    <row r="6" spans="1:72" s="2176" customFormat="1" ht="13.2">
      <c r="A6" s="14" t="s">
        <v>1882</v>
      </c>
      <c r="B6" s="2173"/>
      <c r="C6" s="2173"/>
      <c r="D6" s="2174"/>
      <c r="E6" s="15">
        <f>H6+AC6+AT6</f>
        <v>11023.93</v>
      </c>
      <c r="F6" s="15" t="s">
        <v>1</v>
      </c>
      <c r="G6" s="15" t="s">
        <v>2</v>
      </c>
      <c r="H6" s="19">
        <f>SUMIF(I$12:AB$12,"总值",I6:AB6)</f>
        <v>10646.19</v>
      </c>
      <c r="I6" s="15">
        <f t="shared" ref="I6:AB6" si="2">ROUND($A$3*I5/$B$3,2)</f>
        <v>6434.64</v>
      </c>
      <c r="J6" s="15">
        <f t="shared" si="2"/>
        <v>0</v>
      </c>
      <c r="K6" s="15">
        <f t="shared" si="2"/>
        <v>1279.22</v>
      </c>
      <c r="L6" s="15">
        <f t="shared" si="2"/>
        <v>0</v>
      </c>
      <c r="M6" s="15">
        <f t="shared" si="2"/>
        <v>2666.72</v>
      </c>
      <c r="N6" s="15">
        <f t="shared" si="2"/>
        <v>0</v>
      </c>
      <c r="O6" s="15">
        <f t="shared" si="2"/>
        <v>144.03</v>
      </c>
      <c r="P6" s="15">
        <f t="shared" si="2"/>
        <v>0</v>
      </c>
      <c r="Q6" s="15">
        <f t="shared" si="2"/>
        <v>22.75</v>
      </c>
      <c r="R6" s="15">
        <f t="shared" si="2"/>
        <v>0</v>
      </c>
      <c r="S6" s="15">
        <f t="shared" si="2"/>
        <v>98.83</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377.74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377.74</v>
      </c>
      <c r="AO6" s="15">
        <f t="shared" si="3"/>
        <v>0</v>
      </c>
      <c r="AP6" s="15">
        <f t="shared" si="3"/>
        <v>0</v>
      </c>
      <c r="AQ6" s="15">
        <f t="shared" si="3"/>
        <v>0</v>
      </c>
      <c r="AR6" s="15">
        <f t="shared" si="3"/>
        <v>0</v>
      </c>
      <c r="AS6" s="15">
        <f t="shared" si="3"/>
        <v>0</v>
      </c>
      <c r="AT6" s="19">
        <f>IF(C3="是",ROUND($A$3*AT5/$B$3,2),0)</f>
        <v>0</v>
      </c>
      <c r="AU6" s="2175"/>
      <c r="AV6" s="14" t="s">
        <v>1882</v>
      </c>
      <c r="AW6" s="2173"/>
      <c r="AX6" s="2173"/>
      <c r="AY6" s="20">
        <f>IF(AY3&gt;0,AY3,ROUND($A$3*AZ5/$B$3,2))</f>
        <v>11023.92</v>
      </c>
      <c r="AZ6" s="15" t="s">
        <v>3</v>
      </c>
      <c r="BA6" s="15">
        <f>ROUND($AY$6*BA5/$AZ$5,2)</f>
        <v>10646.18</v>
      </c>
      <c r="BB6" s="15">
        <f>ROUND($AY$6*BB5/$AZ$5,2)</f>
        <v>6434.64</v>
      </c>
      <c r="BC6" s="15">
        <f t="shared" ref="BC6:BH6" si="4">ROUND($AY$6*BC5/$AZ$5,2)</f>
        <v>1279.22</v>
      </c>
      <c r="BD6" s="15">
        <f t="shared" si="4"/>
        <v>2666.72</v>
      </c>
      <c r="BE6" s="15">
        <f t="shared" si="4"/>
        <v>144.03</v>
      </c>
      <c r="BF6" s="15">
        <f t="shared" si="4"/>
        <v>22.75</v>
      </c>
      <c r="BG6" s="15">
        <f t="shared" si="4"/>
        <v>98.83</v>
      </c>
      <c r="BH6" s="15">
        <f t="shared" si="4"/>
        <v>0</v>
      </c>
      <c r="BI6" s="15">
        <f t="shared" ref="BI6:BT6" si="5">ROUND($AY$6*BI5/$AZ$5,2)</f>
        <v>0</v>
      </c>
      <c r="BJ6" s="15">
        <f t="shared" si="5"/>
        <v>0</v>
      </c>
      <c r="BK6" s="15">
        <f t="shared" si="5"/>
        <v>0</v>
      </c>
      <c r="BL6" s="15">
        <f t="shared" si="5"/>
        <v>377.74</v>
      </c>
      <c r="BM6" s="15">
        <f t="shared" si="5"/>
        <v>0</v>
      </c>
      <c r="BN6" s="15">
        <f t="shared" si="5"/>
        <v>0</v>
      </c>
      <c r="BO6" s="15">
        <f t="shared" si="5"/>
        <v>0</v>
      </c>
      <c r="BP6" s="15">
        <f t="shared" si="5"/>
        <v>0</v>
      </c>
      <c r="BQ6" s="15">
        <f t="shared" si="5"/>
        <v>0</v>
      </c>
      <c r="BR6" s="15">
        <f t="shared" si="5"/>
        <v>377.74</v>
      </c>
      <c r="BS6" s="15">
        <f t="shared" si="5"/>
        <v>0</v>
      </c>
      <c r="BT6" s="21">
        <f t="shared" si="5"/>
        <v>0</v>
      </c>
    </row>
    <row r="7" spans="1:72" s="2166" customFormat="1" ht="25.2">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1890</v>
      </c>
      <c r="AV7" s="22" t="s">
        <v>1891</v>
      </c>
      <c r="AW7" s="2165" t="s">
        <v>1892</v>
      </c>
      <c r="AX7" s="22" t="s">
        <v>1885</v>
      </c>
      <c r="AY7" s="1801"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6"/>
      <c r="K8" s="1816"/>
      <c r="L8" s="1816"/>
      <c r="M8" s="1816"/>
      <c r="N8" s="1816"/>
      <c r="O8" s="1816"/>
      <c r="P8" s="1816"/>
      <c r="Q8" s="1816"/>
      <c r="R8" s="1816"/>
      <c r="S8" s="1816"/>
      <c r="T8" s="1816"/>
      <c r="U8" s="1816"/>
      <c r="V8" s="2185"/>
      <c r="W8" s="1816"/>
      <c r="X8" s="1816"/>
      <c r="Y8" s="1816"/>
      <c r="Z8" s="1816"/>
      <c r="AA8" s="2185"/>
      <c r="AB8" s="2186"/>
      <c r="AC8" s="981" t="s">
        <v>1896</v>
      </c>
      <c r="AD8" s="2187"/>
      <c r="AE8" s="2179"/>
      <c r="AF8" s="1816"/>
      <c r="AG8" s="1816"/>
      <c r="AH8" s="1816"/>
      <c r="AI8" s="1816"/>
      <c r="AJ8" s="1816"/>
      <c r="AK8" s="1816"/>
      <c r="AL8" s="1816"/>
      <c r="AM8" s="1816"/>
      <c r="AN8" s="1816"/>
      <c r="AO8" s="1816"/>
      <c r="AP8" s="1816"/>
      <c r="AQ8" s="1816"/>
      <c r="AR8" s="1816"/>
      <c r="AS8" s="1816"/>
      <c r="AT8" s="1291" t="s">
        <v>1897</v>
      </c>
      <c r="AU8" s="2181" t="s">
        <v>1898</v>
      </c>
      <c r="AV8" s="1291"/>
      <c r="AW8" s="2164"/>
      <c r="AX8" s="1291"/>
      <c r="AY8" s="2165" t="s">
        <v>1899</v>
      </c>
      <c r="AZ8" s="1815" t="s">
        <v>1900</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3.2">
      <c r="A9" s="2181"/>
      <c r="B9" s="2181"/>
      <c r="C9" s="2181"/>
      <c r="D9" s="2181"/>
      <c r="E9" s="2181"/>
      <c r="F9" s="2181"/>
      <c r="G9" s="1291"/>
      <c r="H9" s="2189" t="s">
        <v>1901</v>
      </c>
      <c r="I9" s="2190" t="s">
        <v>3050</v>
      </c>
      <c r="J9" s="981"/>
      <c r="K9" s="2190" t="s">
        <v>3050</v>
      </c>
      <c r="L9" s="981"/>
      <c r="M9" s="2190" t="s">
        <v>3051</v>
      </c>
      <c r="N9" s="981"/>
      <c r="O9" s="2190" t="s">
        <v>3051</v>
      </c>
      <c r="P9" s="981"/>
      <c r="Q9" s="2190" t="s">
        <v>3051</v>
      </c>
      <c r="R9" s="981"/>
      <c r="S9" s="2190" t="s">
        <v>3051</v>
      </c>
      <c r="T9" s="981"/>
      <c r="U9" s="2190"/>
      <c r="V9" s="981"/>
      <c r="W9" s="2190"/>
      <c r="X9" s="2191"/>
      <c r="Y9" s="2190"/>
      <c r="Z9" s="981"/>
      <c r="AA9" s="2190"/>
      <c r="AB9" s="981"/>
      <c r="AC9" s="2182" t="s">
        <v>1901</v>
      </c>
      <c r="AD9" s="14" t="s">
        <v>1902</v>
      </c>
      <c r="AE9" s="1297"/>
      <c r="AF9" s="14" t="s">
        <v>1903</v>
      </c>
      <c r="AG9" s="1297"/>
      <c r="AH9" s="14" t="s">
        <v>1902</v>
      </c>
      <c r="AI9" s="1297"/>
      <c r="AJ9" s="14" t="s">
        <v>1903</v>
      </c>
      <c r="AK9" s="1297"/>
      <c r="AL9" s="14" t="s">
        <v>1902</v>
      </c>
      <c r="AM9" s="1297"/>
      <c r="AN9" s="14" t="s">
        <v>1903</v>
      </c>
      <c r="AO9" s="1297"/>
      <c r="AP9" s="14" t="s">
        <v>1902</v>
      </c>
      <c r="AQ9" s="1297"/>
      <c r="AR9" s="14" t="s">
        <v>1903</v>
      </c>
      <c r="AS9" s="2192"/>
      <c r="AT9" s="2181"/>
      <c r="AU9" s="2181" t="s">
        <v>1904</v>
      </c>
      <c r="AV9" s="1291"/>
      <c r="AW9" s="2164"/>
      <c r="AX9" s="1291"/>
      <c r="AY9" s="27"/>
      <c r="AZ9" s="27" t="s">
        <v>1894</v>
      </c>
      <c r="BA9" s="2193" t="s">
        <v>1905</v>
      </c>
      <c r="BB9" s="2194"/>
      <c r="BC9" s="1337"/>
      <c r="BD9" s="1337"/>
      <c r="BE9" s="1337"/>
      <c r="BF9" s="1337"/>
      <c r="BG9" s="1337"/>
      <c r="BH9" s="1337"/>
      <c r="BI9" s="1337"/>
      <c r="BJ9" s="1337"/>
      <c r="BK9" s="2195"/>
      <c r="BL9" s="14" t="s">
        <v>1906</v>
      </c>
      <c r="BM9" s="1816"/>
      <c r="BN9" s="2184"/>
      <c r="BO9" s="1816"/>
      <c r="BP9" s="1816"/>
      <c r="BQ9" s="1816"/>
      <c r="BR9" s="1816"/>
      <c r="BS9" s="1816"/>
      <c r="BT9" s="25"/>
    </row>
    <row r="10" spans="1:72" s="2188" customFormat="1" ht="13.2">
      <c r="A10" s="2181"/>
      <c r="B10" s="2181"/>
      <c r="C10" s="2181"/>
      <c r="D10" s="2181"/>
      <c r="E10" s="2181"/>
      <c r="F10" s="2181"/>
      <c r="G10" s="1291"/>
      <c r="H10" s="27"/>
      <c r="I10" s="2190" t="s">
        <v>27</v>
      </c>
      <c r="J10" s="981"/>
      <c r="K10" s="2196" t="s">
        <v>1377</v>
      </c>
      <c r="L10" s="981"/>
      <c r="M10" s="2196" t="s">
        <v>3146</v>
      </c>
      <c r="N10" s="981"/>
      <c r="O10" s="2196" t="s">
        <v>1377</v>
      </c>
      <c r="P10" s="981"/>
      <c r="Q10" s="2196" t="s">
        <v>27</v>
      </c>
      <c r="R10" s="981"/>
      <c r="S10" s="2196" t="s">
        <v>3058</v>
      </c>
      <c r="T10" s="981"/>
      <c r="U10" s="2196"/>
      <c r="V10" s="981"/>
      <c r="W10" s="2196"/>
      <c r="X10" s="981"/>
      <c r="Y10" s="2196"/>
      <c r="Z10" s="981"/>
      <c r="AA10" s="2196"/>
      <c r="AB10" s="981"/>
      <c r="AC10" s="1291"/>
      <c r="AD10" s="14" t="s">
        <v>1907</v>
      </c>
      <c r="AE10" s="2197"/>
      <c r="AF10" s="14" t="s">
        <v>1907</v>
      </c>
      <c r="AG10" s="2197"/>
      <c r="AH10" s="14" t="s">
        <v>1908</v>
      </c>
      <c r="AI10" s="2197"/>
      <c r="AJ10" s="14" t="s">
        <v>1908</v>
      </c>
      <c r="AK10" s="2197"/>
      <c r="AL10" s="14" t="s">
        <v>1909</v>
      </c>
      <c r="AM10" s="1297"/>
      <c r="AN10" s="14" t="s">
        <v>1909</v>
      </c>
      <c r="AO10" s="1297"/>
      <c r="AP10" s="14" t="s">
        <v>1910</v>
      </c>
      <c r="AQ10" s="1297"/>
      <c r="AR10" s="14" t="s">
        <v>1910</v>
      </c>
      <c r="AS10" s="1297"/>
      <c r="AT10" s="2181"/>
      <c r="AU10" s="2181"/>
      <c r="AV10" s="1291"/>
      <c r="AW10" s="2164"/>
      <c r="AX10" s="1291"/>
      <c r="AY10" s="27"/>
      <c r="AZ10" s="27"/>
      <c r="BA10" s="2198" t="s">
        <v>1901</v>
      </c>
      <c r="BB10" s="2199" t="str">
        <f>I9</f>
        <v>地上</v>
      </c>
      <c r="BC10" s="28" t="str">
        <f>K9</f>
        <v>地上</v>
      </c>
      <c r="BD10" s="28" t="str">
        <f>M9</f>
        <v>地下</v>
      </c>
      <c r="BE10" s="28" t="str">
        <f>O9</f>
        <v>地下</v>
      </c>
      <c r="BF10" s="28" t="str">
        <f>Q9</f>
        <v>地下</v>
      </c>
      <c r="BG10" s="28" t="str">
        <f>S9</f>
        <v>地下</v>
      </c>
      <c r="BH10" s="28">
        <f>U9</f>
        <v>0</v>
      </c>
      <c r="BI10" s="28">
        <f>W9</f>
        <v>0</v>
      </c>
      <c r="BJ10" s="28">
        <f>Y9</f>
        <v>0</v>
      </c>
      <c r="BK10" s="28">
        <f>AA9</f>
        <v>0</v>
      </c>
      <c r="BL10" s="24" t="s">
        <v>1901</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7"/>
      <c r="AF11" s="2203" t="s">
        <v>1911</v>
      </c>
      <c r="AG11" s="1817"/>
      <c r="AH11" s="2203" t="s">
        <v>1912</v>
      </c>
      <c r="AI11" s="2204"/>
      <c r="AJ11" s="2203" t="s">
        <v>1912</v>
      </c>
      <c r="AK11" s="1817"/>
      <c r="AL11" s="1815"/>
      <c r="AM11" s="1817"/>
      <c r="AN11" s="1815"/>
      <c r="AO11" s="1817"/>
      <c r="AP11" s="1815"/>
      <c r="AQ11" s="1817"/>
      <c r="AR11" s="1815"/>
      <c r="AS11" s="1817"/>
      <c r="AT11" s="2164"/>
      <c r="AU11" s="2181"/>
      <c r="AV11" s="1291"/>
      <c r="AW11" s="2164"/>
      <c r="AX11" s="1291"/>
      <c r="AY11" s="27"/>
      <c r="AZ11" s="27"/>
      <c r="BA11" s="27"/>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1"/>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3.2">
      <c r="A12" s="2206"/>
      <c r="B12" s="2206"/>
      <c r="C12" s="2206"/>
      <c r="D12" s="2206"/>
      <c r="E12" s="2206"/>
      <c r="F12" s="2206"/>
      <c r="G12" s="29"/>
      <c r="H12" s="2207"/>
      <c r="I12" s="1804"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0" t="s">
        <v>1914</v>
      </c>
      <c r="W12" s="11" t="s">
        <v>1913</v>
      </c>
      <c r="X12" s="11" t="s">
        <v>1914</v>
      </c>
      <c r="Y12" s="11" t="s">
        <v>1913</v>
      </c>
      <c r="Z12" s="11" t="s">
        <v>1914</v>
      </c>
      <c r="AA12" s="11" t="s">
        <v>1913</v>
      </c>
      <c r="AB12" s="11" t="s">
        <v>1914</v>
      </c>
      <c r="AC12" s="2208"/>
      <c r="AD12" s="1804"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6" t="s">
        <v>1914</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26.4">
      <c r="A13" s="1271"/>
      <c r="B13" s="1271"/>
      <c r="C13" s="2152" t="s">
        <v>3173</v>
      </c>
      <c r="D13" s="2212" t="s">
        <v>3049</v>
      </c>
      <c r="E13" s="15">
        <f>IF($C$3="是",ROUND($A$3*G13/$B$3,2),ROUND($A$3*(G13-AT13)/$B$3,2))</f>
        <v>6434.64</v>
      </c>
      <c r="F13" s="31"/>
      <c r="G13" s="32">
        <f>H13+AC13+AT13</f>
        <v>73762</v>
      </c>
      <c r="H13" s="19">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2A商务办公楼</v>
      </c>
      <c r="AY13" s="1804">
        <f>ROUND($AY$6*AZ13/$AZ$5,2)</f>
        <v>6434.64</v>
      </c>
      <c r="AZ13" s="15">
        <f>BA13+BL13</f>
        <v>73762</v>
      </c>
      <c r="BA13" s="15">
        <f>SUM(BB13:BK13)</f>
        <v>73762</v>
      </c>
      <c r="BB13" s="15">
        <f>IF($D13="是",I13-J13,0)</f>
        <v>73762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26.4">
      <c r="A14" s="1271"/>
      <c r="B14" s="1271"/>
      <c r="C14" s="2152" t="s">
        <v>3174</v>
      </c>
      <c r="D14" s="2212" t="s">
        <v>3049</v>
      </c>
      <c r="E14" s="15">
        <f>IF($C$3="是",ROUND($A$3*G14/$B$3,2),ROUND($A$3*(G14-AT14)/$B$3,2))</f>
        <v>1279.22</v>
      </c>
      <c r="F14" s="31"/>
      <c r="G14" s="32">
        <f>H14+AC14+AT14</f>
        <v>14664</v>
      </c>
      <c r="H14" s="19">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2B商业用房</v>
      </c>
      <c r="AY14" s="1804">
        <f>ROUND($AY$6*AZ14/$AZ$5,2)</f>
        <v>1279.22</v>
      </c>
      <c r="AZ14" s="15">
        <f>BA14+BL14</f>
        <v>14664</v>
      </c>
      <c r="BA14" s="15">
        <f>SUM(BB14:BK14)</f>
        <v>14664</v>
      </c>
      <c r="BB14" s="15">
        <f>IF($D14="是",I14-J14,0)</f>
        <v>0</v>
      </c>
      <c r="BC14" s="15">
        <f>IF($D14="是",K14-L14,0)</f>
        <v>14664</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3.2">
      <c r="A15" s="1271"/>
      <c r="B15" s="1271"/>
      <c r="C15" s="2946" t="s">
        <v>3052</v>
      </c>
      <c r="D15" s="2212" t="s">
        <v>3049</v>
      </c>
      <c r="E15" s="15">
        <f>IF($C$3="是",ROUND($A$3*G15/$B$3,2),ROUND($A$3*(G15-AT15)/$B$3,2))</f>
        <v>377.74</v>
      </c>
      <c r="F15" s="31"/>
      <c r="G15" s="32">
        <f>H15+AC15+AT15</f>
        <v>4330.1000000000004</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f t="shared" si="6"/>
        <v>0</v>
      </c>
      <c r="AX15" s="11" t="str">
        <f t="shared" si="6"/>
        <v>设备机房</v>
      </c>
      <c r="AY15" s="1804">
        <f>ROUND($AY$6*AZ15/$AZ$5,2)</f>
        <v>377.74</v>
      </c>
      <c r="AZ15" s="15">
        <f>BA15+BL15</f>
        <v>4330.1000000000004</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4330.1000000000004</v>
      </c>
      <c r="BM15" s="15">
        <f>IF($D15="是",AD15-AE15,0)</f>
        <v>0</v>
      </c>
      <c r="BN15" s="15">
        <f>IF($D15="是",AF15-AG15,0)</f>
        <v>0</v>
      </c>
      <c r="BO15" s="15">
        <f>IF($D15="是",AH15-AI15,0)</f>
        <v>0</v>
      </c>
      <c r="BP15" s="15">
        <f>IF($D15="是",AJ15-AK15,0)</f>
        <v>0</v>
      </c>
      <c r="BQ15" s="15">
        <f>IF($D15="是",AL15-AM15,0)</f>
        <v>0</v>
      </c>
      <c r="BR15" s="15">
        <f>IF($D15="是",AN15-AO15,0)</f>
        <v>4330.1000000000004</v>
      </c>
      <c r="BS15" s="15">
        <f>IF($D15="是",AP15-AQ15,0)</f>
        <v>0</v>
      </c>
      <c r="BT15" s="21">
        <f>IF($D15="是",AR15-AS15,0)</f>
        <v>0</v>
      </c>
    </row>
    <row r="16" spans="1:72" s="2166" customFormat="1" ht="13.2">
      <c r="A16" s="1271"/>
      <c r="B16" s="1271"/>
      <c r="C16" s="2946" t="s">
        <v>3053</v>
      </c>
      <c r="D16" s="2212" t="s">
        <v>3049</v>
      </c>
      <c r="E16" s="15">
        <f>IF($C$3="是",ROUND($A$3*G16/$B$3,2),ROUND($A$3*(G16-AT16)/$B$3,2))</f>
        <v>2666.72</v>
      </c>
      <c r="F16" s="31"/>
      <c r="G16" s="32">
        <f>H16+AC16+AT16</f>
        <v>30569.3</v>
      </c>
      <c r="H16" s="19">
        <f>SUMIF(I$12:AB$12,"总值",I16:AB16)</f>
        <v>30569.3</v>
      </c>
      <c r="I16" s="2213"/>
      <c r="J16" s="2213"/>
      <c r="K16" s="2213"/>
      <c r="L16" s="2213"/>
      <c r="M16" s="2213">
        <v>30569.3</v>
      </c>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停车库</v>
      </c>
      <c r="AY16" s="1804">
        <f>ROUND($AY$6*AZ16/$AZ$5,2)</f>
        <v>2666.72</v>
      </c>
      <c r="AZ16" s="15">
        <f>BA16+BL16</f>
        <v>30569.3</v>
      </c>
      <c r="BA16" s="15">
        <f>SUM(BB16:BK16)</f>
        <v>30569.3</v>
      </c>
      <c r="BB16" s="15">
        <f>IF($D16="是",I16-J16,0)</f>
        <v>0</v>
      </c>
      <c r="BC16" s="15">
        <f>IF($D16="是",K16-L16,0)</f>
        <v>0</v>
      </c>
      <c r="BD16" s="15">
        <f>IF($D16="是",M16-N16,0)</f>
        <v>30569.3</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3.2">
      <c r="A17" s="1271"/>
      <c r="B17" s="1271"/>
      <c r="C17" s="2946" t="s">
        <v>3054</v>
      </c>
      <c r="D17" s="2212" t="s">
        <v>3049</v>
      </c>
      <c r="E17" s="15">
        <f>IF($C$3="是",ROUND($A$3*G17/$B$3,2),ROUND($A$3*(G17-AT17)/$B$3,2))</f>
        <v>144.03</v>
      </c>
      <c r="F17" s="31"/>
      <c r="G17" s="32">
        <f>H17+AC17+AT17</f>
        <v>1651.1</v>
      </c>
      <c r="H17" s="19">
        <f>SUMIF(I$12:AB$12,"总值",I17:AB17)</f>
        <v>1651.1</v>
      </c>
      <c r="I17" s="2213"/>
      <c r="J17" s="2213"/>
      <c r="K17" s="2213"/>
      <c r="L17" s="2213"/>
      <c r="M17" s="2213"/>
      <c r="N17" s="2213"/>
      <c r="O17" s="2213">
        <v>1651.1</v>
      </c>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商业用房</v>
      </c>
      <c r="AY17" s="1804">
        <f>ROUND($AY$6*AZ17/$AZ$5,2)</f>
        <v>144.03</v>
      </c>
      <c r="AZ17" s="15">
        <f>BA17+BL17</f>
        <v>1651.1</v>
      </c>
      <c r="BA17" s="15">
        <f>SUM(BB17:BK17)</f>
        <v>1651.1</v>
      </c>
      <c r="BB17" s="15">
        <f>IF($D17="是",I17-J17,0)</f>
        <v>0</v>
      </c>
      <c r="BC17" s="15">
        <f>IF($D17="是",K17-L17,0)</f>
        <v>0</v>
      </c>
      <c r="BD17" s="15">
        <f>IF($D17="是",M17-N17,0)</f>
        <v>0</v>
      </c>
      <c r="BE17" s="15">
        <f>IF($D17="是",O17-P17,0)</f>
        <v>1651.1</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14.4">
      <c r="A18" s="9"/>
      <c r="B18" s="33"/>
      <c r="C18" s="2947" t="s">
        <v>3055</v>
      </c>
      <c r="D18" s="2212" t="s">
        <v>3049</v>
      </c>
      <c r="E18" s="34">
        <f t="shared" ref="E18:E112" si="7">IF($C$3="是",ROUND($A$3*G18/$B$3,2),ROUND($A$3*(G18-AT18)/$B$3,2))</f>
        <v>22.75</v>
      </c>
      <c r="F18" s="35"/>
      <c r="G18" s="36">
        <f t="shared" ref="G18:G109" si="8">H18+AC18+AT18</f>
        <v>260.8</v>
      </c>
      <c r="H18" s="37">
        <f t="shared" ref="H18:H109" si="9">SUMIF(I$12:AB$12,"总值",I18:AB18)</f>
        <v>260.8</v>
      </c>
      <c r="I18" s="38"/>
      <c r="J18" s="38"/>
      <c r="K18" s="38"/>
      <c r="L18" s="38"/>
      <c r="M18" s="38"/>
      <c r="N18" s="38"/>
      <c r="O18" s="38"/>
      <c r="P18" s="38"/>
      <c r="Q18" s="38">
        <v>260.8</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t="str">
        <f t="shared" ref="AX18:AX112" si="13">C18</f>
        <v>办公用房</v>
      </c>
      <c r="AY18" s="41">
        <f t="shared" ref="AY18:AY109" si="14">ROUND($AY$6*AZ18/$AZ$5,2)</f>
        <v>22.75</v>
      </c>
      <c r="AZ18" s="34">
        <f t="shared" ref="AZ18:AZ109" si="15">BA18+BL18</f>
        <v>260.8</v>
      </c>
      <c r="BA18" s="34">
        <f t="shared" ref="BA18:BA109" si="16">SUM(BB18:BK18)</f>
        <v>260.8</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260.8</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14.4">
      <c r="A19" s="9"/>
      <c r="B19" s="33"/>
      <c r="C19" s="2947" t="s">
        <v>3056</v>
      </c>
      <c r="D19" s="2212" t="s">
        <v>3049</v>
      </c>
      <c r="E19" s="34">
        <f t="shared" si="7"/>
        <v>98.83</v>
      </c>
      <c r="F19" s="35"/>
      <c r="G19" s="36">
        <f t="shared" si="8"/>
        <v>1132.9000000000001</v>
      </c>
      <c r="H19" s="37">
        <f t="shared" si="9"/>
        <v>1132.9000000000001</v>
      </c>
      <c r="I19" s="38"/>
      <c r="J19" s="38"/>
      <c r="K19" s="38"/>
      <c r="L19" s="38"/>
      <c r="M19" s="38"/>
      <c r="N19" s="38"/>
      <c r="O19" s="38"/>
      <c r="P19" s="38"/>
      <c r="Q19" s="38"/>
      <c r="R19" s="38"/>
      <c r="S19" s="38">
        <v>1132.9000000000001</v>
      </c>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t="str">
        <f t="shared" si="13"/>
        <v>库房</v>
      </c>
      <c r="AY19" s="41">
        <f t="shared" si="14"/>
        <v>98.83</v>
      </c>
      <c r="AZ19" s="34">
        <f t="shared" si="15"/>
        <v>1132.9000000000001</v>
      </c>
      <c r="BA19" s="34">
        <f t="shared" si="16"/>
        <v>1132.9000000000001</v>
      </c>
      <c r="BB19" s="34">
        <f t="shared" si="17"/>
        <v>0</v>
      </c>
      <c r="BC19" s="34">
        <f t="shared" si="18"/>
        <v>0</v>
      </c>
      <c r="BD19" s="34">
        <f t="shared" si="19"/>
        <v>0</v>
      </c>
      <c r="BE19" s="34">
        <f t="shared" si="20"/>
        <v>0</v>
      </c>
      <c r="BF19" s="34">
        <f t="shared" si="21"/>
        <v>0</v>
      </c>
      <c r="BG19" s="34">
        <f t="shared" si="22"/>
        <v>1132.9000000000001</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t="s">
        <v>3049</v>
      </c>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t="s">
        <v>3049</v>
      </c>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t="s">
        <v>3049</v>
      </c>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t="s">
        <v>3049</v>
      </c>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t="s">
        <v>3049</v>
      </c>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t="s">
        <v>3049</v>
      </c>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t="s">
        <v>3049</v>
      </c>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46.8">
      <c r="A3" s="3059"/>
      <c r="B3" s="3059"/>
      <c r="C3" s="3059"/>
      <c r="D3" s="3060"/>
      <c r="E3" s="30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1940</v>
      </c>
      <c r="B1" s="1391"/>
      <c r="C1" s="1391"/>
      <c r="D1" s="1391"/>
      <c r="E1" s="1391"/>
      <c r="F1" s="1391"/>
      <c r="G1" s="1391"/>
      <c r="H1" s="1391"/>
      <c r="I1" s="1391"/>
      <c r="J1" s="1391"/>
      <c r="K1" s="1391"/>
      <c r="L1" s="1391"/>
      <c r="M1" s="1391"/>
      <c r="N1" s="1391"/>
      <c r="O1" s="1391"/>
      <c r="P1" s="1391"/>
    </row>
    <row r="2" spans="1:16" ht="14.4">
      <c r="A2" s="3070" t="s">
        <v>1941</v>
      </c>
      <c r="B2" s="3070"/>
      <c r="C2" s="3070"/>
      <c r="D2" s="967" t="s">
        <v>1917</v>
      </c>
      <c r="E2" s="2226" t="s">
        <v>1918</v>
      </c>
      <c r="F2" s="1391"/>
      <c r="G2" s="2227"/>
      <c r="H2" s="2228"/>
      <c r="I2" s="2229" t="s">
        <v>1942</v>
      </c>
      <c r="J2" s="1391"/>
      <c r="K2" s="1391"/>
      <c r="L2" s="1391"/>
      <c r="M2" s="1391"/>
      <c r="N2" s="1426"/>
      <c r="O2" s="1391"/>
      <c r="P2" s="1391"/>
    </row>
    <row r="3" spans="1:16" ht="15" thickBot="1">
      <c r="A3" s="3071" t="s">
        <v>1915</v>
      </c>
      <c r="B3" s="3071"/>
      <c r="C3" s="3071"/>
      <c r="D3" s="45">
        <f>'数据-基础表'!AY6</f>
        <v>11023.92</v>
      </c>
      <c r="E3" s="45">
        <f>'数据-基础表'!AZ5</f>
        <v>126370.20000000001</v>
      </c>
      <c r="F3" s="1391"/>
      <c r="G3" s="1398"/>
      <c r="H3" s="1246" t="s">
        <v>1916</v>
      </c>
      <c r="I3" s="54">
        <f>ROUND('数据-基础表'!B3/'数据-基础表'!A3,2)</f>
        <v>11.46</v>
      </c>
      <c r="J3" s="1391"/>
      <c r="K3" s="1391"/>
      <c r="L3" s="1391"/>
      <c r="M3" s="1391"/>
      <c r="N3" s="1426"/>
      <c r="O3" s="1391"/>
      <c r="P3" s="1391"/>
    </row>
    <row r="4" spans="1:16" ht="14.4">
      <c r="A4" s="3072"/>
      <c r="B4" s="3073"/>
      <c r="C4" s="3074"/>
      <c r="D4" s="2230" t="s">
        <v>1917</v>
      </c>
      <c r="E4" s="2231" t="s">
        <v>1918</v>
      </c>
      <c r="F4" s="1391"/>
      <c r="G4" s="2232" t="s">
        <v>1943</v>
      </c>
      <c r="H4" s="1246" t="s">
        <v>1923</v>
      </c>
      <c r="I4" s="54">
        <f>ROUND(SUMIF('数据-基础表'!I9:AS9,"地上",'数据-基础表'!I5:AS5)/'数据-基础表'!A3,2)</f>
        <v>8.02</v>
      </c>
      <c r="J4" s="1391"/>
      <c r="K4" s="1391"/>
      <c r="L4" s="1391"/>
      <c r="M4" s="1391"/>
      <c r="N4" s="1426"/>
      <c r="O4" s="1391"/>
      <c r="P4" s="1391"/>
    </row>
    <row r="5" spans="1:16" ht="14.4">
      <c r="A5" s="46" t="s">
        <v>1919</v>
      </c>
      <c r="B5" s="3075" t="s">
        <v>1920</v>
      </c>
      <c r="C5" s="3075"/>
      <c r="D5" s="47">
        <f>ROUND($D$3*E5/$E$3,2)</f>
        <v>0</v>
      </c>
      <c r="E5" s="48">
        <f>SUMIF('数据-基础表'!$11:$11,"住宅",'数据-基础表'!$5:$5)</f>
        <v>0</v>
      </c>
      <c r="F5" s="1391"/>
      <c r="G5" s="1398"/>
      <c r="H5" s="1246" t="s">
        <v>1916</v>
      </c>
      <c r="I5" s="54">
        <f>ROUND(E31/D31,2)</f>
        <v>11.46</v>
      </c>
      <c r="J5" s="1391"/>
      <c r="K5" s="1391"/>
      <c r="L5" s="1391"/>
      <c r="M5" s="1391"/>
      <c r="N5" s="1391"/>
      <c r="O5" s="1391"/>
      <c r="P5" s="1391"/>
    </row>
    <row r="6" spans="1:16" ht="15" thickBot="1">
      <c r="A6" s="2233"/>
      <c r="B6" s="3075" t="s">
        <v>1921</v>
      </c>
      <c r="C6" s="3075"/>
      <c r="D6" s="47">
        <f>ROUND($D$3*E6/$E$3,2)</f>
        <v>11023.92</v>
      </c>
      <c r="E6" s="48">
        <f>E3-E5</f>
        <v>126370.20000000001</v>
      </c>
      <c r="F6" s="1391"/>
      <c r="G6" s="2234" t="s">
        <v>1922</v>
      </c>
      <c r="H6" s="1398" t="s">
        <v>1923</v>
      </c>
      <c r="I6" s="939">
        <f>ROUND(F31/D31,2)</f>
        <v>8.02</v>
      </c>
      <c r="J6" s="1391"/>
      <c r="K6" s="1391"/>
      <c r="L6" s="1391"/>
      <c r="M6" s="1391"/>
      <c r="N6" s="1391"/>
      <c r="O6" s="1391"/>
      <c r="P6" s="1391"/>
    </row>
    <row r="7" spans="1:16" ht="14.4">
      <c r="A7" s="3067"/>
      <c r="B7" s="3068"/>
      <c r="C7" s="3069"/>
      <c r="D7" s="2230" t="s">
        <v>1917</v>
      </c>
      <c r="E7" s="2235" t="s">
        <v>1924</v>
      </c>
      <c r="F7" s="1391"/>
      <c r="G7" s="2227" t="s">
        <v>1925</v>
      </c>
      <c r="H7" s="63"/>
      <c r="I7" s="418">
        <f>I6</f>
        <v>8.02</v>
      </c>
      <c r="J7" s="1391"/>
      <c r="K7" s="1391"/>
      <c r="L7" s="1391"/>
      <c r="M7" s="1391"/>
      <c r="N7" s="1391"/>
      <c r="O7" s="1391"/>
      <c r="P7" s="1391"/>
    </row>
    <row r="8" spans="1:16" ht="14.4">
      <c r="A8" s="46" t="s">
        <v>1926</v>
      </c>
      <c r="B8" s="49" t="s">
        <v>1927</v>
      </c>
      <c r="C8" s="47" t="s">
        <v>1928</v>
      </c>
      <c r="D8" s="47">
        <f t="shared" ref="D8:D15" si="0">ROUND($D$3*E8/$E$3,2)</f>
        <v>7713.85</v>
      </c>
      <c r="E8" s="50">
        <f>SUMIF('数据-基础表'!BB10:BK10,"地上",'数据-基础表'!BB5:BK5)</f>
        <v>88426</v>
      </c>
      <c r="F8" s="1391"/>
      <c r="G8" s="2236"/>
      <c r="H8" s="2236"/>
      <c r="I8" s="1391"/>
      <c r="J8" s="1391"/>
      <c r="K8" s="1391"/>
      <c r="L8" s="1391"/>
      <c r="M8" s="1391"/>
      <c r="N8" s="1391"/>
      <c r="O8" s="1391"/>
      <c r="P8" s="1391"/>
    </row>
    <row r="9" spans="1:16" ht="14.4">
      <c r="A9" s="2237"/>
      <c r="B9" s="2238"/>
      <c r="C9" s="47" t="s">
        <v>1929</v>
      </c>
      <c r="D9" s="47">
        <f t="shared" si="0"/>
        <v>0</v>
      </c>
      <c r="E9" s="51">
        <v>0</v>
      </c>
      <c r="F9" s="1391"/>
      <c r="G9" s="2236"/>
      <c r="H9" s="2236"/>
      <c r="I9" s="1391"/>
      <c r="J9" s="1391"/>
      <c r="K9" s="1391"/>
      <c r="L9" s="1391"/>
      <c r="M9" s="1391"/>
      <c r="N9" s="1391"/>
      <c r="O9" s="1391"/>
      <c r="P9" s="1391"/>
    </row>
    <row r="10" spans="1:16" ht="14.4">
      <c r="A10" s="2237"/>
      <c r="B10" s="2238"/>
      <c r="C10" s="47" t="s">
        <v>1938</v>
      </c>
      <c r="D10" s="47">
        <f t="shared" si="0"/>
        <v>144.03</v>
      </c>
      <c r="E10" s="50">
        <f>SUMPRODUCT(('数据-基础表'!BB10:BK10="地下")*('数据-基础表'!BB11:BK11="商业")*('数据-基础表'!BB5:BK5))</f>
        <v>1651.1</v>
      </c>
      <c r="F10" s="1391"/>
      <c r="G10" s="2236"/>
      <c r="H10" s="2236"/>
      <c r="I10" s="1391"/>
      <c r="J10" s="1391"/>
      <c r="K10" s="1391"/>
      <c r="L10" s="1391"/>
      <c r="M10" s="1391"/>
      <c r="N10" s="1391"/>
      <c r="O10" s="1391"/>
      <c r="P10" s="1391"/>
    </row>
    <row r="11" spans="1:16" ht="14.4">
      <c r="A11" s="2237"/>
      <c r="B11" s="2238"/>
      <c r="C11" s="47" t="s">
        <v>1930</v>
      </c>
      <c r="D11" s="47">
        <f t="shared" si="0"/>
        <v>22.75</v>
      </c>
      <c r="E11" s="50">
        <f>SUMPRODUCT(('数据-基础表'!BB10:BK10="地下")*('数据-基础表'!BB11:BK11="办公")*('数据-基础表'!BB5:BK5))+'数据-基础表'!BP5</f>
        <v>260.8</v>
      </c>
      <c r="F11" s="1391"/>
      <c r="G11" s="2236"/>
      <c r="H11" s="2236"/>
      <c r="I11" s="1391"/>
      <c r="J11" s="1391"/>
      <c r="K11" s="1391"/>
      <c r="L11" s="1391"/>
      <c r="M11" s="1391"/>
      <c r="N11" s="1391"/>
      <c r="O11" s="1391"/>
      <c r="P11" s="1391"/>
    </row>
    <row r="12" spans="1:16" ht="14.4">
      <c r="A12" s="2237"/>
      <c r="B12" s="2238"/>
      <c r="C12" s="47" t="s">
        <v>1931</v>
      </c>
      <c r="D12" s="47">
        <f t="shared" si="0"/>
        <v>98.83</v>
      </c>
      <c r="E12" s="50">
        <f>SUMPRODUCT(('数据-基础表'!BB10:BK10="地下")*('数据-基础表'!BB11:BK11="仓储")*('数据-基础表'!BB5:BK5))</f>
        <v>1132.9000000000001</v>
      </c>
      <c r="F12" s="1391"/>
      <c r="G12" s="2236"/>
      <c r="H12" s="2236"/>
      <c r="I12" s="1391"/>
      <c r="J12" s="1391"/>
      <c r="K12" s="1391"/>
      <c r="L12" s="1391"/>
      <c r="M12" s="1391"/>
      <c r="N12" s="1391"/>
      <c r="O12" s="1391"/>
      <c r="P12" s="1391"/>
    </row>
    <row r="13" spans="1:16" ht="14.4">
      <c r="A13" s="2237"/>
      <c r="B13" s="2238"/>
      <c r="C13" s="47" t="s">
        <v>1932</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7" t="s">
        <v>1944</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1939</v>
      </c>
      <c r="D15" s="47">
        <f t="shared" si="0"/>
        <v>2666.72</v>
      </c>
      <c r="E15" s="50">
        <f>SUMPRODUCT(('数据-基础表'!BB10:BK10="地下")*('数据-基础表'!BB11:BK11="车库—办公")*('数据-基础表'!BB5:BK5))</f>
        <v>30569.3</v>
      </c>
      <c r="F15" s="1391"/>
      <c r="G15" s="2236"/>
      <c r="H15" s="2236"/>
      <c r="I15" s="1391"/>
      <c r="J15" s="1391"/>
      <c r="K15" s="1391"/>
      <c r="L15" s="1391"/>
      <c r="M15" s="1391"/>
      <c r="N15" s="1391"/>
      <c r="O15" s="1391"/>
      <c r="P15" s="1391"/>
    </row>
    <row r="16" spans="1:16" ht="15" thickBot="1">
      <c r="A16" s="2233"/>
      <c r="B16" s="2238"/>
      <c r="C16" s="49" t="s">
        <v>1933</v>
      </c>
      <c r="D16" s="49">
        <f>SUM(D8:D15)</f>
        <v>10646.18</v>
      </c>
      <c r="E16" s="52">
        <f>SUM(E8:E15)</f>
        <v>122040.1</v>
      </c>
      <c r="F16" s="1391"/>
      <c r="G16" s="2236"/>
      <c r="H16" s="2239" t="s">
        <v>1945</v>
      </c>
      <c r="I16" s="2240"/>
      <c r="J16" s="1391"/>
      <c r="K16" s="3064" t="s">
        <v>1945</v>
      </c>
      <c r="L16" s="3065"/>
      <c r="M16" s="3065"/>
      <c r="N16" s="3065"/>
      <c r="O16" s="3065"/>
      <c r="P16" s="3066"/>
    </row>
    <row r="17" spans="1:19" ht="14.4">
      <c r="A17" s="2241" t="s">
        <v>1946</v>
      </c>
      <c r="B17" s="2242" t="s">
        <v>1947</v>
      </c>
      <c r="C17" s="2243" t="s">
        <v>1948</v>
      </c>
      <c r="D17" s="2244" t="s">
        <v>1936</v>
      </c>
      <c r="E17" s="2245" t="s">
        <v>1937</v>
      </c>
      <c r="F17" s="2246"/>
      <c r="G17" s="2247"/>
      <c r="H17" s="2248" t="s">
        <v>1949</v>
      </c>
      <c r="I17" s="2249" t="s">
        <v>1934</v>
      </c>
      <c r="J17" s="1391"/>
      <c r="K17" s="3061" t="s">
        <v>1950</v>
      </c>
      <c r="L17" s="3062"/>
      <c r="M17" s="3063"/>
      <c r="N17" s="3061" t="s">
        <v>1951</v>
      </c>
      <c r="O17" s="3062"/>
      <c r="P17" s="3063"/>
      <c r="R17" s="2227" t="s">
        <v>1952</v>
      </c>
      <c r="S17" s="63"/>
    </row>
    <row r="18" spans="1:19" ht="14.4">
      <c r="A18" s="2237"/>
      <c r="B18" s="2250"/>
      <c r="C18" s="2251"/>
      <c r="D18" s="2252"/>
      <c r="E18" s="2253" t="s">
        <v>1953</v>
      </c>
      <c r="F18" s="2254" t="s">
        <v>1954</v>
      </c>
      <c r="G18" s="2255" t="s">
        <v>1955</v>
      </c>
      <c r="H18" s="1261" t="s">
        <v>1956</v>
      </c>
      <c r="I18" s="2256" t="s">
        <v>1957</v>
      </c>
      <c r="J18" s="1391"/>
      <c r="K18" s="1261" t="s">
        <v>1958</v>
      </c>
      <c r="L18" s="2257" t="s">
        <v>1959</v>
      </c>
      <c r="M18" s="1046" t="s">
        <v>1960</v>
      </c>
      <c r="N18" s="1261" t="s">
        <v>1958</v>
      </c>
      <c r="O18" s="2257" t="s">
        <v>1959</v>
      </c>
      <c r="P18" s="1046" t="s">
        <v>1960</v>
      </c>
      <c r="R18" s="1246" t="s">
        <v>1961</v>
      </c>
      <c r="S18" s="1246" t="s">
        <v>1962</v>
      </c>
    </row>
    <row r="19" spans="1:19" ht="14.4">
      <c r="A19" s="2258"/>
      <c r="B19" s="49" t="s">
        <v>1935</v>
      </c>
      <c r="C19" s="2948" t="s">
        <v>3203</v>
      </c>
      <c r="D19" s="47">
        <f>ROUND($D$3*E19/$E$3,2)</f>
        <v>6457.39</v>
      </c>
      <c r="E19" s="55">
        <f t="shared" ref="E19:E26" si="1">SUM(F19:G19)</f>
        <v>74022.8</v>
      </c>
      <c r="F19" s="56">
        <f>'数据-基础表'!I13</f>
        <v>73762</v>
      </c>
      <c r="G19" s="57">
        <f>'数据-基础表'!Q18</f>
        <v>260.8</v>
      </c>
      <c r="H19" s="721">
        <f>ROUND($D$3*I19/$E$3,2)</f>
        <v>229.11</v>
      </c>
      <c r="I19" s="50">
        <f t="shared" ref="I19:I26" si="2">IF($I$17="自定义",P19,M19)</f>
        <v>2626.4</v>
      </c>
      <c r="J19" s="1391"/>
      <c r="K19" s="1390">
        <f t="shared" ref="K19:K26" si="3">ROUND(E$28*E19/E$27,2)</f>
        <v>2626.4</v>
      </c>
      <c r="L19" s="1246">
        <f t="shared" ref="L19:L26" si="4">ROUND(IF(COUNTIF(C19,"*住宅*")&gt;0,E$29*E19/E$32,0),2)</f>
        <v>0</v>
      </c>
      <c r="M19" s="1402">
        <f>K19+L19</f>
        <v>2626.4</v>
      </c>
      <c r="N19" s="2259"/>
      <c r="O19" s="2260"/>
      <c r="P19" s="1402">
        <f>N19+O19</f>
        <v>0</v>
      </c>
      <c r="R19" s="1246">
        <f t="shared" ref="R19:S26" si="5">D19+H19</f>
        <v>6686.5</v>
      </c>
      <c r="S19" s="1247">
        <f t="shared" si="5"/>
        <v>76649.2</v>
      </c>
    </row>
    <row r="20" spans="1:19" ht="14.4">
      <c r="A20" s="2261"/>
      <c r="B20" s="49" t="s">
        <v>1963</v>
      </c>
      <c r="C20" s="2948" t="s">
        <v>3204</v>
      </c>
      <c r="D20" s="47">
        <f t="shared" ref="D20:D26" si="6">ROUND($D$3*E20/$E$3,2)</f>
        <v>1423.25</v>
      </c>
      <c r="E20" s="55">
        <f t="shared" si="1"/>
        <v>16315.1</v>
      </c>
      <c r="F20" s="56">
        <f>'数据-基础表'!K14</f>
        <v>14664</v>
      </c>
      <c r="G20" s="57">
        <f>'数据-基础表'!O17</f>
        <v>1651.1</v>
      </c>
      <c r="H20" s="721">
        <f t="shared" ref="H20:H26" si="7">ROUND($D$3*I20/$E$3,2)</f>
        <v>50.5</v>
      </c>
      <c r="I20" s="50">
        <f t="shared" si="2"/>
        <v>578.88</v>
      </c>
      <c r="J20" s="1391"/>
      <c r="K20" s="1390">
        <f t="shared" si="3"/>
        <v>578.88</v>
      </c>
      <c r="L20" s="1246">
        <f t="shared" si="4"/>
        <v>0</v>
      </c>
      <c r="M20" s="1402">
        <f t="shared" ref="M20:M26" si="8">K20+L20</f>
        <v>578.88</v>
      </c>
      <c r="N20" s="2259"/>
      <c r="O20" s="2260"/>
      <c r="P20" s="1402">
        <f t="shared" ref="P20:P26" si="9">N20+O20</f>
        <v>0</v>
      </c>
      <c r="R20" s="1246">
        <f t="shared" si="5"/>
        <v>1473.75</v>
      </c>
      <c r="S20" s="1247">
        <f t="shared" si="5"/>
        <v>16893.98</v>
      </c>
    </row>
    <row r="21" spans="1:19" ht="14.4">
      <c r="A21" s="2261"/>
      <c r="B21" s="49" t="s">
        <v>1963</v>
      </c>
      <c r="C21" s="2948" t="s">
        <v>3205</v>
      </c>
      <c r="D21" s="47">
        <f t="shared" si="6"/>
        <v>2666.72</v>
      </c>
      <c r="E21" s="55">
        <f t="shared" si="1"/>
        <v>30569.3</v>
      </c>
      <c r="F21" s="56"/>
      <c r="G21" s="57">
        <f>'数据-基础表'!M16</f>
        <v>30569.3</v>
      </c>
      <c r="H21" s="721">
        <f t="shared" si="7"/>
        <v>94.62</v>
      </c>
      <c r="I21" s="50">
        <f t="shared" si="2"/>
        <v>1084.6300000000001</v>
      </c>
      <c r="J21" s="1391"/>
      <c r="K21" s="1390">
        <f t="shared" si="3"/>
        <v>1084.6300000000001</v>
      </c>
      <c r="L21" s="1246">
        <f t="shared" si="4"/>
        <v>0</v>
      </c>
      <c r="M21" s="1402">
        <f t="shared" si="8"/>
        <v>1084.6300000000001</v>
      </c>
      <c r="N21" s="2259"/>
      <c r="O21" s="2260"/>
      <c r="P21" s="1402">
        <f t="shared" si="9"/>
        <v>0</v>
      </c>
      <c r="R21" s="1246">
        <f t="shared" si="5"/>
        <v>2761.3399999999997</v>
      </c>
      <c r="S21" s="1247">
        <f t="shared" si="5"/>
        <v>31653.93</v>
      </c>
    </row>
    <row r="22" spans="1:19" ht="14.4">
      <c r="A22" s="2261"/>
      <c r="B22" s="49" t="s">
        <v>1963</v>
      </c>
      <c r="C22" s="2949" t="s">
        <v>3207</v>
      </c>
      <c r="D22" s="47">
        <f t="shared" si="6"/>
        <v>98.83</v>
      </c>
      <c r="E22" s="55">
        <f t="shared" si="1"/>
        <v>1132.9000000000001</v>
      </c>
      <c r="F22" s="60"/>
      <c r="G22" s="61">
        <f>'数据-基础表'!S19</f>
        <v>1132.9000000000001</v>
      </c>
      <c r="H22" s="721">
        <f t="shared" si="7"/>
        <v>3.51</v>
      </c>
      <c r="I22" s="50">
        <f t="shared" si="2"/>
        <v>40.200000000000003</v>
      </c>
      <c r="J22" s="1391"/>
      <c r="K22" s="1390">
        <f t="shared" si="3"/>
        <v>40.200000000000003</v>
      </c>
      <c r="L22" s="1246">
        <f t="shared" si="4"/>
        <v>0</v>
      </c>
      <c r="M22" s="1402">
        <f t="shared" si="8"/>
        <v>40.200000000000003</v>
      </c>
      <c r="N22" s="2259"/>
      <c r="O22" s="2260"/>
      <c r="P22" s="1402">
        <f t="shared" si="9"/>
        <v>0</v>
      </c>
      <c r="R22" s="1246">
        <f t="shared" si="5"/>
        <v>102.34</v>
      </c>
      <c r="S22" s="1247">
        <f t="shared" si="5"/>
        <v>1173.1000000000001</v>
      </c>
    </row>
    <row r="23" spans="1:19" ht="14.4">
      <c r="A23" s="2261"/>
      <c r="B23" s="49" t="s">
        <v>1963</v>
      </c>
      <c r="C23" s="294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49" t="s">
        <v>1963</v>
      </c>
      <c r="C24" s="294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49" t="s">
        <v>1963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49" t="s">
        <v>1963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28.2" thickBot="1">
      <c r="A27" s="2261"/>
      <c r="B27" s="47"/>
      <c r="C27" s="2264" t="s">
        <v>1964</v>
      </c>
      <c r="D27" s="1392">
        <f>SUM(D19:D26)</f>
        <v>10646.19</v>
      </c>
      <c r="E27" s="1393">
        <f>IF(SUM(E19:E26)='数据-基础表'!BA5,SUM(E19:E26),IF(F27="地上面积有误","面积有误","地下面积有误"))</f>
        <v>122040.1</v>
      </c>
      <c r="F27" s="1392">
        <f>IF(SUM(F19:F26)=E8,SUM(F19:F26),"地上面积有误")</f>
        <v>88426</v>
      </c>
      <c r="G27" s="1394">
        <f>SUM(G19:G26)</f>
        <v>33614.1</v>
      </c>
      <c r="H27" s="1395">
        <f>SUM(H19:H26)</f>
        <v>377.74</v>
      </c>
      <c r="I27" s="1396">
        <f>SUM(I19:I26)</f>
        <v>4330.1099999999997</v>
      </c>
      <c r="J27" s="1391"/>
      <c r="K27" s="1399">
        <f>SUM(K19:K26)</f>
        <v>4330.1099999999997</v>
      </c>
      <c r="L27" s="1400">
        <f>SUM(L19:L26)</f>
        <v>0</v>
      </c>
      <c r="M27" s="1403">
        <f>SUM(M19:M26)</f>
        <v>4330.1099999999997</v>
      </c>
      <c r="N27" s="1399">
        <f t="shared" ref="N27:O27" si="10">SUM(N19:N26)</f>
        <v>0</v>
      </c>
      <c r="O27" s="1400">
        <f t="shared" si="10"/>
        <v>0</v>
      </c>
      <c r="P27" s="1401">
        <f>SUM(P19:P26)</f>
        <v>0</v>
      </c>
      <c r="R27" s="1248" t="str">
        <f>IF(SUM(R19:R26)=$D$3,SUM(R19:R26),SUM(R19:R26)&amp;"误差"&amp;ROUND(SUM(R19:R26)-$D$3,2))</f>
        <v>11023.93误差0.01</v>
      </c>
      <c r="S27" s="1246" t="str">
        <f>IF(SUM(S19:S26)=$E$3,SUM(S19:S26),SUM(S19:S26)&amp;"误差"&amp;ROUND(SUM(S19:S26)-E3,2))</f>
        <v>126370.21误差0.01</v>
      </c>
    </row>
    <row r="28" spans="1:19" ht="14.4">
      <c r="A28" s="2261"/>
      <c r="B28" s="49" t="s">
        <v>1965</v>
      </c>
      <c r="C28" s="1258" t="s">
        <v>1966</v>
      </c>
      <c r="D28" s="47">
        <f>ROUND($D$3*E28/$E$3,2)</f>
        <v>377.74</v>
      </c>
      <c r="E28" s="55">
        <f>SUM(F28:G28)</f>
        <v>4330.1000000000004</v>
      </c>
      <c r="F28" s="63">
        <f>'数据-基础表'!BQ5+'数据-基础表'!BS5</f>
        <v>0</v>
      </c>
      <c r="G28" s="64">
        <f>'数据-基础表'!BR5+'数据-基础表'!BT5</f>
        <v>4330.1000000000004</v>
      </c>
      <c r="H28" s="1391"/>
      <c r="I28" s="1391"/>
      <c r="J28" s="1391"/>
      <c r="K28" s="1391"/>
      <c r="L28" s="1391"/>
      <c r="M28" s="1391"/>
      <c r="N28" s="1391"/>
      <c r="O28" s="1391"/>
      <c r="P28" s="1391"/>
    </row>
    <row r="29" spans="1:19" ht="14.4">
      <c r="A29" s="2261"/>
      <c r="B29" s="49" t="s">
        <v>1965</v>
      </c>
      <c r="C29" s="2265" t="s">
        <v>1967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61"/>
      <c r="B30" s="49"/>
      <c r="C30" s="2266" t="s">
        <v>1964</v>
      </c>
      <c r="D30" s="1392">
        <f>SUM(D28:D29)</f>
        <v>377.74</v>
      </c>
      <c r="E30" s="1392">
        <f>SUM(E28:E29)</f>
        <v>4330.1000000000004</v>
      </c>
      <c r="F30" s="1392">
        <f>SUM(F28:F29)</f>
        <v>0</v>
      </c>
      <c r="G30" s="1394">
        <f>SUM(G28:G29)</f>
        <v>4330.1000000000004</v>
      </c>
      <c r="H30" s="1391"/>
      <c r="I30" s="1391"/>
      <c r="J30" s="1391"/>
      <c r="K30" s="1391"/>
      <c r="L30" s="1391"/>
      <c r="M30" s="1391"/>
      <c r="N30" s="1391"/>
      <c r="O30" s="1391"/>
      <c r="P30" s="1391"/>
    </row>
    <row r="31" spans="1:19" ht="15" thickBot="1">
      <c r="A31" s="2267"/>
      <c r="B31" s="2268"/>
      <c r="C31" s="1007" t="s">
        <v>1968</v>
      </c>
      <c r="D31" s="727">
        <f>D27+D30</f>
        <v>11023.93</v>
      </c>
      <c r="E31" s="727">
        <f>E27+E30</f>
        <v>126370.20000000001</v>
      </c>
      <c r="F31" s="728">
        <f>F27+F30</f>
        <v>88426</v>
      </c>
      <c r="G31" s="729">
        <f>G27+G30</f>
        <v>37944.199999999997</v>
      </c>
      <c r="H31" s="1391"/>
      <c r="I31" s="1391"/>
      <c r="J31" s="1391"/>
      <c r="K31" s="1391"/>
      <c r="L31" s="1391"/>
      <c r="M31" s="1391"/>
      <c r="N31" s="1391"/>
      <c r="O31" s="1391"/>
      <c r="P31" s="1391"/>
    </row>
    <row r="32" spans="1:19" ht="14.4">
      <c r="A32" s="2232"/>
      <c r="B32" s="2232" t="s">
        <v>1969</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D52" sqref="D52"/>
    </sheetView>
  </sheetViews>
  <sheetFormatPr defaultRowHeight="14.4"/>
  <cols>
    <col min="3" max="3" width="14.6640625" customWidth="1"/>
    <col min="4" max="4" width="9.44140625" bestFit="1" customWidth="1"/>
    <col min="6" max="6" width="22.109375" customWidth="1"/>
  </cols>
  <sheetData>
    <row r="1" spans="1:13" s="2951" customFormat="1" ht="36" customHeight="1">
      <c r="A1" s="2951" t="s">
        <v>3065</v>
      </c>
      <c r="B1" s="2951" t="s">
        <v>3066</v>
      </c>
      <c r="C1" s="2951" t="s">
        <v>3067</v>
      </c>
      <c r="D1" s="2951" t="s">
        <v>3068</v>
      </c>
      <c r="E1" s="2951" t="s">
        <v>3069</v>
      </c>
      <c r="F1" s="2951" t="s">
        <v>3070</v>
      </c>
      <c r="G1" s="2951" t="s">
        <v>3071</v>
      </c>
      <c r="H1" s="2951" t="s">
        <v>3072</v>
      </c>
      <c r="I1" s="2951" t="s">
        <v>3073</v>
      </c>
      <c r="J1" s="2951" t="s">
        <v>3074</v>
      </c>
      <c r="K1" s="2951" t="s">
        <v>3075</v>
      </c>
      <c r="L1" s="2951" t="s">
        <v>3076</v>
      </c>
      <c r="M1" s="2951" t="s">
        <v>3077</v>
      </c>
    </row>
    <row r="2" spans="1:13" s="2951" customFormat="1" ht="36" customHeight="1">
      <c r="A2" s="2951" t="s">
        <v>3078</v>
      </c>
      <c r="B2" s="2951" t="s">
        <v>3046</v>
      </c>
      <c r="C2" s="2951" t="s">
        <v>3079</v>
      </c>
      <c r="D2" s="2951">
        <v>35230.230000000003</v>
      </c>
      <c r="E2" s="2951">
        <v>88076</v>
      </c>
      <c r="F2" s="2951">
        <v>2.5</v>
      </c>
      <c r="G2" s="2951" t="s">
        <v>3080</v>
      </c>
      <c r="H2" s="2951" t="s">
        <v>3081</v>
      </c>
      <c r="I2" s="2951">
        <v>62000</v>
      </c>
      <c r="J2" s="2951">
        <v>62000</v>
      </c>
      <c r="K2" s="2951">
        <v>7039.38</v>
      </c>
      <c r="L2" s="2951">
        <v>0</v>
      </c>
      <c r="M2" s="2951" t="s">
        <v>3082</v>
      </c>
    </row>
    <row r="3" spans="1:13" s="2952" customFormat="1" ht="36" customHeight="1">
      <c r="A3" s="2952" t="s">
        <v>3083</v>
      </c>
      <c r="B3" s="2952" t="s">
        <v>3046</v>
      </c>
      <c r="C3" s="2952" t="s">
        <v>3079</v>
      </c>
      <c r="D3" s="2952">
        <v>39744.120000000003</v>
      </c>
      <c r="E3" s="2952">
        <v>119232</v>
      </c>
      <c r="F3" s="2952">
        <v>3</v>
      </c>
      <c r="G3" s="2952" t="s">
        <v>3080</v>
      </c>
      <c r="H3" s="2952" t="s">
        <v>3084</v>
      </c>
      <c r="I3" s="2952">
        <v>227000</v>
      </c>
      <c r="J3" s="2952">
        <v>292000</v>
      </c>
      <c r="K3" s="2952">
        <v>24490.06</v>
      </c>
      <c r="L3" s="2952">
        <v>28.63</v>
      </c>
      <c r="M3" s="2952" t="s">
        <v>3085</v>
      </c>
    </row>
    <row r="4" spans="1:13" s="2951" customFormat="1" ht="36" customHeight="1">
      <c r="A4" s="2951" t="s">
        <v>3086</v>
      </c>
      <c r="B4" s="2951" t="s">
        <v>3046</v>
      </c>
      <c r="C4" s="2951" t="s">
        <v>3079</v>
      </c>
      <c r="D4" s="2951">
        <v>92055.95</v>
      </c>
      <c r="E4" s="2951">
        <v>92056</v>
      </c>
      <c r="F4" s="2951">
        <v>1</v>
      </c>
      <c r="G4" s="2951" t="s">
        <v>3087</v>
      </c>
      <c r="H4" s="2951" t="s">
        <v>3088</v>
      </c>
      <c r="I4" s="2951" t="s">
        <v>1331</v>
      </c>
      <c r="J4" s="2951">
        <v>285373.59000000003</v>
      </c>
      <c r="K4" s="2951">
        <v>31000</v>
      </c>
      <c r="L4" s="2951" t="s">
        <v>1331</v>
      </c>
      <c r="M4" s="2951" t="s">
        <v>3089</v>
      </c>
    </row>
    <row r="5" spans="1:13" s="2952" customFormat="1" ht="60" customHeight="1">
      <c r="A5" s="2952" t="s">
        <v>3090</v>
      </c>
      <c r="B5" s="2952" t="s">
        <v>3046</v>
      </c>
      <c r="C5" s="2952" t="s">
        <v>3079</v>
      </c>
      <c r="D5" s="2952">
        <v>46165.91</v>
      </c>
      <c r="E5" s="2952">
        <v>92332</v>
      </c>
      <c r="F5" s="2952">
        <v>2</v>
      </c>
      <c r="G5" s="2952" t="s">
        <v>3080</v>
      </c>
      <c r="H5" s="2952" t="s">
        <v>3091</v>
      </c>
      <c r="I5" s="2952">
        <v>176000</v>
      </c>
      <c r="J5" s="2952">
        <v>225000</v>
      </c>
      <c r="K5" s="2952">
        <v>24368.58</v>
      </c>
      <c r="L5" s="2952">
        <v>27.84</v>
      </c>
      <c r="M5" s="2952" t="s">
        <v>3092</v>
      </c>
    </row>
    <row r="6" spans="1:13" s="2952" customFormat="1" ht="36" customHeight="1">
      <c r="A6" s="2952" t="s">
        <v>3093</v>
      </c>
      <c r="B6" s="2952" t="s">
        <v>3046</v>
      </c>
      <c r="C6" s="2952" t="s">
        <v>3079</v>
      </c>
      <c r="D6" s="2952">
        <v>38100</v>
      </c>
      <c r="E6" s="2952">
        <v>76200</v>
      </c>
      <c r="F6" s="2952">
        <v>2</v>
      </c>
      <c r="G6" s="2952" t="s">
        <v>3080</v>
      </c>
      <c r="H6" s="2952" t="s">
        <v>3091</v>
      </c>
      <c r="I6" s="2952">
        <v>145000</v>
      </c>
      <c r="J6" s="2952">
        <v>204000</v>
      </c>
      <c r="K6" s="2952">
        <v>26771.65</v>
      </c>
      <c r="L6" s="2952">
        <v>40.69</v>
      </c>
      <c r="M6" s="2952" t="s">
        <v>3094</v>
      </c>
    </row>
    <row r="7" spans="1:13" s="2951" customFormat="1" ht="36" customHeight="1">
      <c r="A7" s="2951" t="s">
        <v>3095</v>
      </c>
      <c r="B7" s="2951" t="s">
        <v>3046</v>
      </c>
      <c r="C7" s="2951" t="s">
        <v>3079</v>
      </c>
      <c r="D7" s="2951">
        <v>2070793</v>
      </c>
      <c r="E7" s="2951">
        <v>1642730</v>
      </c>
      <c r="F7" s="2951">
        <v>0.79</v>
      </c>
      <c r="G7" s="2951" t="s">
        <v>3080</v>
      </c>
      <c r="H7" s="2951" t="s">
        <v>3096</v>
      </c>
      <c r="I7" s="2951">
        <v>870000</v>
      </c>
      <c r="J7" s="2951">
        <v>870000</v>
      </c>
      <c r="K7" s="2951">
        <v>5296.06</v>
      </c>
      <c r="L7" s="2951">
        <v>0</v>
      </c>
      <c r="M7" s="2951" t="s">
        <v>3097</v>
      </c>
    </row>
    <row r="8" spans="1:13" s="2951" customFormat="1" ht="49.5" customHeight="1">
      <c r="A8" s="2951" t="s">
        <v>3098</v>
      </c>
      <c r="B8" s="2951" t="s">
        <v>3046</v>
      </c>
      <c r="C8" s="2951" t="s">
        <v>3079</v>
      </c>
      <c r="D8" s="2951">
        <v>18313.7</v>
      </c>
      <c r="E8" s="2951">
        <v>119400</v>
      </c>
      <c r="F8" s="2951">
        <v>6.52</v>
      </c>
      <c r="G8" s="2951" t="s">
        <v>3087</v>
      </c>
      <c r="H8" s="2951" t="s">
        <v>3099</v>
      </c>
      <c r="I8" s="2951" t="s">
        <v>1331</v>
      </c>
      <c r="J8" s="2951">
        <v>415000</v>
      </c>
      <c r="K8" s="2951">
        <v>34757.120000000003</v>
      </c>
      <c r="L8" s="2951" t="s">
        <v>1331</v>
      </c>
      <c r="M8" s="2951" t="s">
        <v>3100</v>
      </c>
    </row>
    <row r="9" spans="1:13" s="2951" customFormat="1" ht="36" customHeight="1">
      <c r="A9" s="2951" t="s">
        <v>3101</v>
      </c>
      <c r="B9" s="2951" t="s">
        <v>3046</v>
      </c>
      <c r="C9" s="2951" t="s">
        <v>3079</v>
      </c>
      <c r="D9" s="2951">
        <v>166012.29999999999</v>
      </c>
      <c r="E9" s="2951">
        <v>332025</v>
      </c>
      <c r="F9" s="2951">
        <v>2</v>
      </c>
      <c r="G9" s="2951" t="s">
        <v>3080</v>
      </c>
      <c r="H9" s="2951" t="s">
        <v>3102</v>
      </c>
      <c r="I9" s="2951">
        <v>240045</v>
      </c>
      <c r="J9" s="2951">
        <v>240045</v>
      </c>
      <c r="K9" s="2951">
        <v>7229.72</v>
      </c>
      <c r="L9" s="2951">
        <v>0</v>
      </c>
      <c r="M9" s="2951" t="s">
        <v>3103</v>
      </c>
    </row>
    <row r="10" spans="1:13" s="2951" customFormat="1" ht="36" customHeight="1">
      <c r="A10" s="2951" t="s">
        <v>3104</v>
      </c>
      <c r="B10" s="2951" t="s">
        <v>3046</v>
      </c>
      <c r="C10" s="2951" t="s">
        <v>3079</v>
      </c>
      <c r="D10" s="2951">
        <v>65873.39</v>
      </c>
      <c r="E10" s="2951">
        <v>164683</v>
      </c>
      <c r="F10" s="2951">
        <v>2.5</v>
      </c>
      <c r="G10" s="2951" t="s">
        <v>3080</v>
      </c>
      <c r="H10" s="2951" t="s">
        <v>3105</v>
      </c>
      <c r="I10" s="2951">
        <v>78000</v>
      </c>
      <c r="J10" s="2951">
        <v>108000</v>
      </c>
      <c r="K10" s="2951">
        <v>6558.05</v>
      </c>
      <c r="L10" s="2951">
        <v>38.46</v>
      </c>
      <c r="M10" s="2951" t="s">
        <v>3106</v>
      </c>
    </row>
    <row r="11" spans="1:13" s="2951" customFormat="1" ht="36" customHeight="1">
      <c r="A11" s="2951" t="s">
        <v>3107</v>
      </c>
      <c r="B11" s="2951" t="s">
        <v>3046</v>
      </c>
      <c r="C11" s="2951" t="s">
        <v>3079</v>
      </c>
      <c r="D11" s="2951">
        <v>9542.5300000000007</v>
      </c>
      <c r="E11" s="2951">
        <v>36580</v>
      </c>
      <c r="F11" s="2951">
        <v>3.83</v>
      </c>
      <c r="G11" s="2951" t="s">
        <v>3080</v>
      </c>
      <c r="H11" s="2951" t="s">
        <v>3108</v>
      </c>
      <c r="I11" s="2951">
        <v>120000</v>
      </c>
      <c r="J11" s="2951">
        <v>169500</v>
      </c>
      <c r="K11" s="2951">
        <v>46336.800000000003</v>
      </c>
      <c r="L11" s="2951">
        <v>41.25</v>
      </c>
      <c r="M11" s="2951" t="s">
        <v>3109</v>
      </c>
    </row>
    <row r="12" spans="1:13" s="2951" customFormat="1" ht="46.5" customHeight="1">
      <c r="A12" s="2951" t="s">
        <v>3110</v>
      </c>
      <c r="B12" s="2951" t="s">
        <v>3046</v>
      </c>
      <c r="C12" s="2951" t="s">
        <v>3079</v>
      </c>
      <c r="D12" s="2951">
        <v>47100</v>
      </c>
      <c r="E12" s="2951">
        <v>450000</v>
      </c>
      <c r="F12" s="2951">
        <v>9.5500000000000007</v>
      </c>
      <c r="G12" s="2951" t="s">
        <v>3087</v>
      </c>
      <c r="H12" s="2951" t="s">
        <v>3111</v>
      </c>
      <c r="I12" s="2951" t="s">
        <v>1331</v>
      </c>
      <c r="J12" s="2951">
        <v>503990</v>
      </c>
      <c r="K12" s="2951">
        <v>11199.78</v>
      </c>
      <c r="L12" s="2951" t="s">
        <v>1331</v>
      </c>
      <c r="M12" s="2951" t="s">
        <v>3112</v>
      </c>
    </row>
    <row r="13" spans="1:13" s="2951" customFormat="1" ht="36" customHeight="1">
      <c r="A13" s="2951" t="s">
        <v>3113</v>
      </c>
      <c r="B13" s="2951" t="s">
        <v>3046</v>
      </c>
      <c r="C13" s="2951" t="s">
        <v>3079</v>
      </c>
      <c r="D13" s="2951">
        <v>37656</v>
      </c>
      <c r="E13" s="2951">
        <v>131600</v>
      </c>
      <c r="F13" s="2951">
        <v>3.49</v>
      </c>
      <c r="G13" s="2951" t="s">
        <v>3087</v>
      </c>
      <c r="H13" s="2951" t="s">
        <v>3114</v>
      </c>
      <c r="I13" s="2951" t="s">
        <v>1331</v>
      </c>
      <c r="J13" s="2951">
        <v>151603.20000000001</v>
      </c>
      <c r="K13" s="2951">
        <v>11520</v>
      </c>
      <c r="L13" s="2951" t="s">
        <v>1331</v>
      </c>
      <c r="M13" s="2951" t="s">
        <v>3115</v>
      </c>
    </row>
    <row r="14" spans="1:13" s="2951" customFormat="1" ht="36" customHeight="1">
      <c r="A14" s="2951" t="s">
        <v>3116</v>
      </c>
      <c r="B14" s="2951" t="s">
        <v>3046</v>
      </c>
      <c r="C14" s="2951" t="s">
        <v>3079</v>
      </c>
      <c r="D14" s="2951">
        <v>14124.26</v>
      </c>
      <c r="E14" s="2951">
        <v>119961</v>
      </c>
      <c r="F14" s="2951">
        <v>8.49</v>
      </c>
      <c r="G14" s="2951" t="s">
        <v>3087</v>
      </c>
      <c r="H14" s="2951" t="s">
        <v>3114</v>
      </c>
      <c r="I14" s="2951" t="s">
        <v>1331</v>
      </c>
      <c r="J14" s="2951">
        <v>135700</v>
      </c>
      <c r="K14" s="2951">
        <v>11312.01</v>
      </c>
      <c r="L14" s="2951" t="s">
        <v>1331</v>
      </c>
      <c r="M14" s="2951" t="s">
        <v>3117</v>
      </c>
    </row>
    <row r="15" spans="1:13" s="2951" customFormat="1" ht="36" customHeight="1">
      <c r="A15" s="2951" t="s">
        <v>3118</v>
      </c>
      <c r="B15" s="2951" t="s">
        <v>3046</v>
      </c>
      <c r="C15" s="2951" t="s">
        <v>3079</v>
      </c>
      <c r="D15" s="2951">
        <v>39645</v>
      </c>
      <c r="E15" s="2951">
        <v>189500</v>
      </c>
      <c r="F15" s="2951">
        <v>4.78</v>
      </c>
      <c r="G15" s="2951" t="s">
        <v>3087</v>
      </c>
      <c r="H15" s="2951" t="s">
        <v>3114</v>
      </c>
      <c r="I15" s="2951" t="s">
        <v>1331</v>
      </c>
      <c r="J15" s="2951">
        <v>218304</v>
      </c>
      <c r="K15" s="2951">
        <v>11520</v>
      </c>
      <c r="L15" s="2951" t="s">
        <v>1331</v>
      </c>
      <c r="M15" s="2951" t="s">
        <v>3119</v>
      </c>
    </row>
    <row r="16" spans="1:13" s="2951" customFormat="1" ht="36" customHeight="1">
      <c r="A16" s="2951" t="s">
        <v>3120</v>
      </c>
      <c r="B16" s="2951" t="s">
        <v>3046</v>
      </c>
      <c r="C16" s="2951" t="s">
        <v>3079</v>
      </c>
      <c r="D16" s="2951">
        <v>9200</v>
      </c>
      <c r="E16" s="2951">
        <v>78139</v>
      </c>
      <c r="F16" s="2951">
        <v>8.49</v>
      </c>
      <c r="G16" s="2951" t="s">
        <v>3087</v>
      </c>
      <c r="H16" s="2951" t="s">
        <v>3114</v>
      </c>
      <c r="I16" s="2951" t="s">
        <v>1331</v>
      </c>
      <c r="J16" s="2951">
        <v>88400</v>
      </c>
      <c r="K16" s="2951">
        <v>11313.17</v>
      </c>
      <c r="L16" s="2951" t="s">
        <v>1331</v>
      </c>
      <c r="M16" s="2951" t="s">
        <v>3117</v>
      </c>
    </row>
    <row r="21" spans="3:7">
      <c r="C21" s="2968" t="s">
        <v>3164</v>
      </c>
    </row>
    <row r="22" spans="3:7">
      <c r="C22" s="2968" t="s">
        <v>3165</v>
      </c>
      <c r="D22" s="2968" t="s">
        <v>3166</v>
      </c>
      <c r="E22" s="2968" t="s">
        <v>3168</v>
      </c>
      <c r="F22" s="2968" t="s">
        <v>3167</v>
      </c>
      <c r="G22" s="2968"/>
    </row>
    <row r="23" spans="3:7">
      <c r="C23">
        <v>1</v>
      </c>
      <c r="D23">
        <f>'数据-汇总表'!F21/4</f>
        <v>0</v>
      </c>
      <c r="E23">
        <f>[1]案例!$E$23</f>
        <v>1</v>
      </c>
      <c r="F23">
        <f>[1]案例!$F$23</f>
        <v>10</v>
      </c>
    </row>
    <row r="24" spans="3:7">
      <c r="C24">
        <v>2</v>
      </c>
      <c r="D24">
        <f>D23</f>
        <v>0</v>
      </c>
      <c r="E24">
        <f>[1]案例!$E$24</f>
        <v>0.65</v>
      </c>
      <c r="F24">
        <f>$F$23*E24</f>
        <v>6.5</v>
      </c>
    </row>
    <row r="25" spans="3:7">
      <c r="C25">
        <v>3</v>
      </c>
      <c r="D25">
        <f>D24</f>
        <v>0</v>
      </c>
      <c r="E25">
        <f>[1]案例!$E$25</f>
        <v>0.6</v>
      </c>
      <c r="F25">
        <f t="shared" ref="F25:F26" si="0">$F$23*E25</f>
        <v>6</v>
      </c>
    </row>
    <row r="26" spans="3:7">
      <c r="C26">
        <v>4</v>
      </c>
      <c r="D26">
        <f>D25</f>
        <v>0</v>
      </c>
      <c r="E26">
        <f>[1]案例!$E$26</f>
        <v>0.55000000000000004</v>
      </c>
      <c r="F26">
        <f t="shared" si="0"/>
        <v>5.5</v>
      </c>
    </row>
    <row r="27" spans="3:7">
      <c r="D27">
        <f>SUM(D23:D26)</f>
        <v>0</v>
      </c>
      <c r="F27" t="e">
        <f>(F23*D23+F24*D24+F25*D25+F26*D26)/D27</f>
        <v>#DIV/0!</v>
      </c>
    </row>
    <row r="29" spans="3:7">
      <c r="C29" s="2968" t="s">
        <v>3170</v>
      </c>
    </row>
    <row r="30" spans="3:7">
      <c r="C30">
        <f>'数据-取费表'!K10/836</f>
        <v>0</v>
      </c>
      <c r="D30">
        <f ca="1">C30*收益法车库!B3/10000</f>
        <v>0</v>
      </c>
    </row>
    <row r="36" spans="3:6">
      <c r="C36" s="2972" t="s">
        <v>3191</v>
      </c>
      <c r="D36" s="2972" t="s">
        <v>3192</v>
      </c>
      <c r="E36" s="2972" t="s">
        <v>3193</v>
      </c>
      <c r="F36" s="2972" t="s">
        <v>3194</v>
      </c>
    </row>
    <row r="37" spans="3:6">
      <c r="C37" s="2972" t="str">
        <f>'数据-基础表'!C13</f>
        <v>2A商务办公楼</v>
      </c>
      <c r="D37" s="2972" t="s">
        <v>3196</v>
      </c>
      <c r="E37" s="2972" t="s">
        <v>3199</v>
      </c>
      <c r="F37" s="2973">
        <f>'数据-基础表'!G13</f>
        <v>73762</v>
      </c>
    </row>
    <row r="38" spans="3:6">
      <c r="C38" s="2972" t="str">
        <f>'数据-基础表'!C14</f>
        <v>2B商业用房</v>
      </c>
      <c r="D38" s="2972" t="s">
        <v>3197</v>
      </c>
      <c r="E38" s="2972" t="s">
        <v>3200</v>
      </c>
      <c r="F38" s="2973">
        <f>'数据-基础表'!G14</f>
        <v>14664</v>
      </c>
    </row>
    <row r="39" spans="3:6">
      <c r="C39" s="3076" t="s">
        <v>3195</v>
      </c>
      <c r="D39" s="2972" t="s">
        <v>3198</v>
      </c>
      <c r="E39" s="3076" t="s">
        <v>3201</v>
      </c>
      <c r="F39" s="2973">
        <f>'数据-基础表'!G15</f>
        <v>4330.1000000000004</v>
      </c>
    </row>
    <row r="40" spans="3:6">
      <c r="C40" s="3076"/>
      <c r="D40" s="2973" t="str">
        <f>'数据-基础表'!C16</f>
        <v>停车库</v>
      </c>
      <c r="E40" s="3076"/>
      <c r="F40" s="2973">
        <f>'数据-基础表'!G16</f>
        <v>30569.3</v>
      </c>
    </row>
    <row r="41" spans="3:6">
      <c r="C41" s="3076"/>
      <c r="D41" s="2973" t="str">
        <f>'数据-基础表'!C17</f>
        <v>商业用房</v>
      </c>
      <c r="E41" s="3076"/>
      <c r="F41" s="2973">
        <f>'数据-基础表'!G17</f>
        <v>1651.1</v>
      </c>
    </row>
    <row r="42" spans="3:6">
      <c r="C42" s="3076"/>
      <c r="D42" s="2973" t="str">
        <f>'数据-基础表'!C18</f>
        <v>办公用房</v>
      </c>
      <c r="E42" s="3076"/>
      <c r="F42" s="2973">
        <f>'数据-基础表'!G18</f>
        <v>260.8</v>
      </c>
    </row>
    <row r="43" spans="3:6">
      <c r="C43" s="3076"/>
      <c r="D43" s="2973" t="str">
        <f>'数据-基础表'!C19</f>
        <v>库房</v>
      </c>
      <c r="E43" s="3076"/>
      <c r="F43" s="2973">
        <f>'数据-基础表'!G19</f>
        <v>1132.9000000000001</v>
      </c>
    </row>
    <row r="44" spans="3:6">
      <c r="C44" s="2972" t="s">
        <v>3202</v>
      </c>
      <c r="D44" s="2973"/>
      <c r="E44" s="2973"/>
      <c r="F44" s="2973">
        <f>SUM(F37:F43)</f>
        <v>126370.20000000001</v>
      </c>
    </row>
    <row r="47" spans="3:6">
      <c r="D47">
        <f>((74022.8+16315.1)*25%+30569.3*10%+1132.9*5%)/126370.2</f>
        <v>0.20335530053762677</v>
      </c>
    </row>
    <row r="48" spans="3:6">
      <c r="D48">
        <f>(74022.8*25%+16315.1*25%+30569.3*10%+1132.9*5%)/126370.2</f>
        <v>0.20335530053762677</v>
      </c>
    </row>
    <row r="51" spans="4:4">
      <c r="D51">
        <f>ROUND((3000*(74022.8+16315.1)+2500*(30569.3+1132.9+4330.1))*10%/10000,0)</f>
        <v>3611</v>
      </c>
    </row>
  </sheetData>
  <mergeCells count="2">
    <mergeCell ref="E39:E43"/>
    <mergeCell ref="C39:C43"/>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777343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1970</v>
      </c>
      <c r="B1" s="730"/>
      <c r="C1" s="1579"/>
      <c r="D1" s="2271"/>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4" t="s">
        <v>1971</v>
      </c>
      <c r="B2" s="1265">
        <f>项目基本情况!D3</f>
        <v>43332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1978</v>
      </c>
      <c r="B5" s="2288" t="s">
        <v>1979</v>
      </c>
      <c r="C5" s="2289" t="s">
        <v>1980</v>
      </c>
      <c r="D5" s="2290" t="s">
        <v>1981</v>
      </c>
      <c r="E5" s="1267" t="s">
        <v>1982</v>
      </c>
      <c r="F5" s="2291" t="s">
        <v>1983</v>
      </c>
      <c r="G5" s="1267" t="s">
        <v>1984</v>
      </c>
      <c r="H5" s="1267" t="s">
        <v>1985</v>
      </c>
      <c r="I5" s="1267" t="s">
        <v>1986</v>
      </c>
      <c r="J5" s="2292" t="s">
        <v>1987</v>
      </c>
      <c r="K5" s="2293" t="s">
        <v>1988</v>
      </c>
      <c r="L5" s="2294" t="s">
        <v>1989</v>
      </c>
      <c r="M5" s="2295" t="s">
        <v>1990</v>
      </c>
      <c r="N5" s="2296" t="s">
        <v>1991</v>
      </c>
      <c r="O5" s="2294" t="s">
        <v>1992</v>
      </c>
      <c r="P5" s="2297" t="s">
        <v>1993</v>
      </c>
      <c r="Q5" s="68" t="s">
        <v>1994</v>
      </c>
      <c r="R5" s="2298" t="s">
        <v>1995</v>
      </c>
      <c r="S5" s="2299" t="s">
        <v>1996</v>
      </c>
      <c r="T5" s="2300" t="s">
        <v>1997</v>
      </c>
      <c r="U5" s="1266" t="s">
        <v>1998</v>
      </c>
      <c r="V5" s="1267" t="s">
        <v>1999</v>
      </c>
      <c r="W5" s="1267" t="s">
        <v>2000</v>
      </c>
      <c r="X5" s="70"/>
      <c r="Y5" s="69" t="s">
        <v>2001</v>
      </c>
      <c r="Z5" s="2301" t="s">
        <v>1998</v>
      </c>
      <c r="AA5" s="1267" t="s">
        <v>1999</v>
      </c>
      <c r="AB5" s="1267" t="s">
        <v>2000</v>
      </c>
      <c r="AC5" s="70"/>
      <c r="AD5" s="70" t="s">
        <v>2001</v>
      </c>
      <c r="AE5" s="1266" t="s">
        <v>2002</v>
      </c>
      <c r="AF5" s="1267" t="s">
        <v>2003</v>
      </c>
      <c r="AG5" s="69" t="s">
        <v>2004</v>
      </c>
      <c r="AH5" s="1266" t="s">
        <v>2005</v>
      </c>
      <c r="AI5" s="2301" t="s">
        <v>2006</v>
      </c>
      <c r="AJ5" s="2301" t="s">
        <v>2007</v>
      </c>
      <c r="AK5" s="1267" t="s">
        <v>2008</v>
      </c>
      <c r="AL5" s="1267" t="s">
        <v>2009</v>
      </c>
      <c r="AM5" s="69" t="s">
        <v>2010</v>
      </c>
      <c r="AN5" s="2302" t="s">
        <v>2011</v>
      </c>
      <c r="AO5" s="2073" t="s">
        <v>2012</v>
      </c>
      <c r="AP5" s="1248"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4" t="str">
        <f>'数据-汇总表'!C19</f>
        <v>办公</v>
      </c>
      <c r="B6" s="2305" t="str">
        <f>IF(A6=0,"","经营性")</f>
        <v>经营性</v>
      </c>
      <c r="C6" s="2306" t="s">
        <v>27</v>
      </c>
      <c r="D6" s="1051">
        <f>SUMIF(项目基本情况!D$12:I$12,C6,项目基本情况!D$14:I$14)</f>
        <v>50</v>
      </c>
      <c r="E6" s="1048">
        <f>IF(B6="","",SUMIF(项目基本情况!D$12:I$12,C6,项目基本情况!D$13:I$13))</f>
        <v>58882</v>
      </c>
      <c r="F6" s="71">
        <f>SUMIF(项目基本情况!D$12:I$12,C6,项目基本情况!D$15:I$15)</f>
        <v>42.6</v>
      </c>
      <c r="G6" s="72">
        <f>IF(ISERROR(ROUND(POWER(1+H6,D6-F6)*(POWER(1+H6,F6)-1)/(POWER(1+H6,D6)-1),3)),0,ROUND(POWER(1+H6,D6-F6)*(POWER(1+H6,F6)-1)/(POWER(1+H6,D6)-1),3))</f>
        <v>0.95799999999999996</v>
      </c>
      <c r="H6" s="2950">
        <f>'[2]数据-取费表'!$H$6</f>
        <v>0.05</v>
      </c>
      <c r="I6" s="799">
        <f>'[2]数据-取费表'!$I$6</f>
        <v>5.5E-2</v>
      </c>
      <c r="J6" s="73">
        <f>'[2]数据-取费表'!$J$6</f>
        <v>8.5000000000000006E-2</v>
      </c>
      <c r="K6" s="1250">
        <f>SUMIF('数据-汇总表'!C$19:C$33,A6,'数据-汇总表'!E$19:E$33)</f>
        <v>74022.8</v>
      </c>
      <c r="L6" s="800">
        <v>3500</v>
      </c>
      <c r="M6" s="74">
        <f t="shared" ref="M6:M14" si="0">ROUND(K6*L6/10000,0)</f>
        <v>25908</v>
      </c>
      <c r="N6" s="2982">
        <v>0.12</v>
      </c>
      <c r="O6" s="74">
        <f>IF($N$5="成新度","——",ROUND(M6*N6,0))</f>
        <v>3109</v>
      </c>
      <c r="P6" s="75">
        <f>IF($N$5="成新度","——",M6-O6)</f>
        <v>22799</v>
      </c>
      <c r="Q6" s="801">
        <f>'[2]数据-取费表'!$Q$6</f>
        <v>0.25</v>
      </c>
      <c r="R6" s="76">
        <f ca="1">SUMIF('数据-汇总表'!C$19:C$33,A6,'数据-汇总表'!R$19:R$27)</f>
        <v>6686.5</v>
      </c>
      <c r="S6" s="53">
        <f>IF('数据-汇总表'!$I$17="按面积比例",SUMIF('数据-汇总表'!C$19:C$33,A6,'数据-汇总表'!K$19:K$33),SUMIF('数据-汇总表'!C$19:C$33,A6,'数据-汇总表'!N$19:N$33))</f>
        <v>2626.4</v>
      </c>
      <c r="T6" s="1442">
        <f>ROUND($L$14*S6/10000,0)</f>
        <v>788</v>
      </c>
      <c r="U6" s="77"/>
      <c r="V6" s="78"/>
      <c r="W6" s="78"/>
      <c r="X6" s="1260"/>
      <c r="Y6" s="79"/>
      <c r="Z6" s="80"/>
      <c r="AA6" s="73"/>
      <c r="AB6" s="73"/>
      <c r="AC6" s="1260"/>
      <c r="AD6" s="81"/>
      <c r="AE6" s="1261">
        <f ca="1">IF(AN6="",0,SUMIF(INDIRECT("'"&amp;AN6&amp;"'"&amp;"!E:E"),$AE$5,INDIRECT("'"&amp;AN6&amp;"'"&amp;"!F:F")))</f>
        <v>0</v>
      </c>
      <c r="AF6" s="1802"/>
      <c r="AG6" s="145">
        <f>IF(AF6="",0,AE6-AF6)</f>
        <v>0</v>
      </c>
      <c r="AH6" s="82"/>
      <c r="AI6" s="84">
        <v>365</v>
      </c>
      <c r="AJ6" s="85"/>
      <c r="AK6" s="86"/>
      <c r="AL6" s="87"/>
      <c r="AM6" s="88"/>
      <c r="AN6" s="2307"/>
      <c r="AO6" s="54" t="e">
        <f ca="1">SUMIF(INDIRECT("'"&amp;AN6&amp;"'"&amp;"!A:A"),"总价",INDIRECT("'"&amp;AN6&amp;"'"&amp;"!B:B"))</f>
        <v>#REF!</v>
      </c>
      <c r="AP6" s="2308">
        <f>IF(C6="住宅",K6*L6,0)</f>
        <v>0</v>
      </c>
      <c r="AQ6" s="54">
        <f>ROUND($L$14*$N$14*S6/10000,0)</f>
        <v>95</v>
      </c>
      <c r="AR6" s="54">
        <f>ROUND($L$14*(1-$N$14)*S6/10000,0)</f>
        <v>693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t="str">
        <f>'数据-汇总表'!C20</f>
        <v>商业</v>
      </c>
      <c r="B7" s="2305" t="str">
        <f t="shared" ref="B7:B13" si="1">IF(A7=0,"","经营性")</f>
        <v>经营性</v>
      </c>
      <c r="C7" s="2306" t="s">
        <v>1377</v>
      </c>
      <c r="D7" s="1051">
        <f>SUMIF(项目基本情况!D$12:I$12,C7,项目基本情况!D$14:I$14)</f>
        <v>40</v>
      </c>
      <c r="E7" s="1048">
        <f>IF(B7="","",SUMIF(项目基本情况!D$12:I$12,C7,项目基本情况!D$13:I$13))</f>
        <v>55229</v>
      </c>
      <c r="F7" s="71">
        <f>SUMIF(项目基本情况!D$12:I$12,C7,项目基本情况!D$15:I$15)</f>
        <v>32.590000000000003</v>
      </c>
      <c r="G7" s="72">
        <f t="shared" ref="G7:G11" si="2">IF(ISERROR(ROUND(POWER(1+H7,D7-F7)*(POWER(1+H7,F7)-1)/(POWER(1+H7,D7)-1),3)),0,ROUND(POWER(1+H7,D7-F7)*(POWER(1+H7,F7)-1)/(POWER(1+H7,D7)-1),3))</f>
        <v>0.93500000000000005</v>
      </c>
      <c r="H7" s="2950">
        <f>'[2]数据-取费表'!$H$7</f>
        <v>5.5E-2</v>
      </c>
      <c r="I7" s="799">
        <f>'[2]数据-取费表'!$I$7</f>
        <v>0.06</v>
      </c>
      <c r="J7" s="73">
        <f>'[2]数据-取费表'!$J$7</f>
        <v>8.5000000000000006E-2</v>
      </c>
      <c r="K7" s="1250">
        <f>SUMIF('数据-汇总表'!C$19:C$33,A7,'数据-汇总表'!E$19:E$33)</f>
        <v>16315.1</v>
      </c>
      <c r="L7" s="800">
        <f>L6</f>
        <v>3500</v>
      </c>
      <c r="M7" s="74">
        <f t="shared" si="0"/>
        <v>5710</v>
      </c>
      <c r="N7" s="2982">
        <f>N6</f>
        <v>0.12</v>
      </c>
      <c r="O7" s="74">
        <f t="shared" ref="O7:O14" si="3">IF($N$5="成新度","——",ROUND(M7*N7,0))</f>
        <v>685</v>
      </c>
      <c r="P7" s="75">
        <f t="shared" ref="P7:P14" si="4">IF($N$5="成新度","——",M7-O7)</f>
        <v>5025</v>
      </c>
      <c r="Q7" s="801">
        <f>Q6</f>
        <v>0.25</v>
      </c>
      <c r="R7" s="76">
        <f ca="1">SUMIF('数据-汇总表'!C$19:C$33,A7,'数据-汇总表'!R$19:R$27)</f>
        <v>1473.75</v>
      </c>
      <c r="S7" s="53">
        <f>IF('数据-汇总表'!$I$17="按面积比例",SUMIF('数据-汇总表'!C$19:C$33,A7,'数据-汇总表'!K$19:K$33),SUMIF('数据-汇总表'!C$19:C$33,A7,'数据-汇总表'!N$19:N$33))</f>
        <v>578.88</v>
      </c>
      <c r="T7" s="1442">
        <f t="shared" ref="T7:T13" si="5">ROUND($L$14*S7/10000,0)</f>
        <v>174</v>
      </c>
      <c r="U7" s="77">
        <f>W25</f>
        <v>6.8</v>
      </c>
      <c r="V7" s="78">
        <f>'[2]数据-取费表'!$V$7</f>
        <v>2.5000000000000001E-2</v>
      </c>
      <c r="W7" s="78">
        <f>'[2]数据-取费表'!$W$7</f>
        <v>0.1</v>
      </c>
      <c r="X7" s="1260"/>
      <c r="Y7" s="79">
        <v>1</v>
      </c>
      <c r="Z7" s="80"/>
      <c r="AA7" s="73"/>
      <c r="AB7" s="73"/>
      <c r="AC7" s="1260"/>
      <c r="AD7" s="81"/>
      <c r="AE7" s="1261">
        <f t="shared" ref="AE7:AE13" ca="1" si="6">IF(AN7="",0,SUMIF(INDIRECT("'"&amp;AN7&amp;"'"&amp;"!E:E"),$AE$5,INDIRECT("'"&amp;AN7&amp;"'"&amp;"!F:F")))</f>
        <v>29.950000000000003</v>
      </c>
      <c r="AF7" s="1802"/>
      <c r="AG7" s="145">
        <f t="shared" ref="AG7:AG13" si="7">IF(AF7="",0,AE7-AF7)</f>
        <v>0</v>
      </c>
      <c r="AH7" s="82"/>
      <c r="AI7" s="84">
        <v>365</v>
      </c>
      <c r="AJ7" s="85"/>
      <c r="AK7" s="86">
        <f>'[2]数据-取费表'!$AK$7</f>
        <v>1.4999999999999999E-2</v>
      </c>
      <c r="AL7" s="87">
        <f>'[2]数据-取费表'!$AL$7</f>
        <v>2E-3</v>
      </c>
      <c r="AM7" s="88">
        <v>0.02</v>
      </c>
      <c r="AN7" s="2307" t="s">
        <v>3209</v>
      </c>
      <c r="AO7" s="54">
        <f t="shared" ref="AO7:AO13" ca="1" si="8">SUMIF(INDIRECT("'"&amp;AN7&amp;"'"&amp;"!A:A"),"总价",INDIRECT("'"&amp;AN7&amp;"'"&amp;"!B:B"))</f>
        <v>50462</v>
      </c>
      <c r="AP7" s="2308">
        <f t="shared" ref="AP7:AP13" si="9">IF(C7="住宅",K7*L7,0)</f>
        <v>0</v>
      </c>
      <c r="AQ7" s="54">
        <f t="shared" ref="AQ7:AQ13" si="10">ROUND($L$14*$N$14*S7/10000,0)</f>
        <v>21</v>
      </c>
      <c r="AR7" s="54">
        <f t="shared" ref="AR7:AR13" si="11">ROUND($L$14*(1-$N$14)*S7/10000,0)</f>
        <v>153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t="str">
        <f>'数据-汇总表'!C21</f>
        <v>地下车库</v>
      </c>
      <c r="B8" s="2305" t="str">
        <f t="shared" si="1"/>
        <v>经营性</v>
      </c>
      <c r="C8" s="2306" t="s">
        <v>3057</v>
      </c>
      <c r="D8" s="1051">
        <f>SUMIF(项目基本情况!D$12:I$12,C8,项目基本情况!D$14:I$14)</f>
        <v>50</v>
      </c>
      <c r="E8" s="1048">
        <f>IF(B8="","",SUMIF(项目基本情况!D$12:I$12,C8,项目基本情况!D$13:I$13))</f>
        <v>58882</v>
      </c>
      <c r="F8" s="71">
        <f>SUMIF(项目基本情况!D$12:I$12,C8,项目基本情况!D$15:I$15)</f>
        <v>42.6</v>
      </c>
      <c r="G8" s="72">
        <f t="shared" si="2"/>
        <v>0.95199999999999996</v>
      </c>
      <c r="H8" s="2950">
        <f>'[2]数据-取费表'!$H$8</f>
        <v>4.5000000000000005E-2</v>
      </c>
      <c r="I8" s="799">
        <f>'[2]数据-取费表'!$I$8</f>
        <v>0.05</v>
      </c>
      <c r="J8" s="73">
        <f>'[2]数据-取费表'!$J$8</f>
        <v>8.5000000000000006E-2</v>
      </c>
      <c r="K8" s="1250">
        <f>SUMIF('数据-汇总表'!C$19:C$33,A8,'数据-汇总表'!E$19:E$33)</f>
        <v>30569.3</v>
      </c>
      <c r="L8" s="800">
        <v>3000</v>
      </c>
      <c r="M8" s="74">
        <f>ROUND(K8*L8/10000,0)</f>
        <v>9171</v>
      </c>
      <c r="N8" s="2982">
        <f>N7</f>
        <v>0.12</v>
      </c>
      <c r="O8" s="74">
        <f t="shared" si="3"/>
        <v>1101</v>
      </c>
      <c r="P8" s="75">
        <f t="shared" si="4"/>
        <v>8070</v>
      </c>
      <c r="Q8" s="801">
        <f>'[2]数据-取费表'!$Q$8</f>
        <v>0.1</v>
      </c>
      <c r="R8" s="76">
        <f ca="1">SUMIF('数据-汇总表'!C$19:C$33,A8,'数据-汇总表'!R$19:R$27)</f>
        <v>2761.3399999999997</v>
      </c>
      <c r="S8" s="53">
        <f>IF('数据-汇总表'!$I$17="按面积比例",SUMIF('数据-汇总表'!C$19:C$33,A8,'数据-汇总表'!K$19:K$33),SUMIF('数据-汇总表'!C$19:C$33,A8,'数据-汇总表'!N$19:N$33))</f>
        <v>1084.6300000000001</v>
      </c>
      <c r="T8" s="1442">
        <f t="shared" si="5"/>
        <v>325</v>
      </c>
      <c r="U8" s="802">
        <f>'[2]数据-取费表'!$U$8</f>
        <v>1.5</v>
      </c>
      <c r="V8" s="803">
        <f>'[2]数据-取费表'!$V$8</f>
        <v>1.4999999999999999E-2</v>
      </c>
      <c r="W8" s="803">
        <f>W7</f>
        <v>0.1</v>
      </c>
      <c r="X8" s="1260"/>
      <c r="Y8" s="804">
        <f>Y7</f>
        <v>1</v>
      </c>
      <c r="Z8" s="80"/>
      <c r="AA8" s="73"/>
      <c r="AB8" s="73"/>
      <c r="AC8" s="1260"/>
      <c r="AD8" s="81"/>
      <c r="AE8" s="1261">
        <f t="shared" ca="1" si="6"/>
        <v>39.96</v>
      </c>
      <c r="AF8" s="1802"/>
      <c r="AG8" s="145">
        <f t="shared" si="7"/>
        <v>0</v>
      </c>
      <c r="AH8" s="805"/>
      <c r="AI8" s="84">
        <v>365</v>
      </c>
      <c r="AJ8" s="85"/>
      <c r="AK8" s="806">
        <f>AK7</f>
        <v>1.4999999999999999E-2</v>
      </c>
      <c r="AL8" s="807">
        <f>AL7</f>
        <v>2E-3</v>
      </c>
      <c r="AM8" s="808">
        <f>AM7</f>
        <v>0.02</v>
      </c>
      <c r="AN8" s="2307" t="s">
        <v>3169</v>
      </c>
      <c r="AO8" s="54">
        <f t="shared" ca="1" si="8"/>
        <v>20881</v>
      </c>
      <c r="AP8" s="2308">
        <f t="shared" si="9"/>
        <v>0</v>
      </c>
      <c r="AQ8" s="54">
        <f t="shared" si="10"/>
        <v>39</v>
      </c>
      <c r="AR8" s="54">
        <f t="shared" si="11"/>
        <v>286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t="str">
        <f>'数据-汇总表'!C22</f>
        <v>地下仓储</v>
      </c>
      <c r="B9" s="2305" t="str">
        <f t="shared" si="1"/>
        <v>经营性</v>
      </c>
      <c r="C9" s="2306" t="s">
        <v>27</v>
      </c>
      <c r="D9" s="1051">
        <f>SUMIF(项目基本情况!D$12:I$12,C9,项目基本情况!D$14:I$14)</f>
        <v>50</v>
      </c>
      <c r="E9" s="1048">
        <f>IF(B9="","",SUMIF(项目基本情况!D$12:I$12,C9,项目基本情况!D$13:I$13))</f>
        <v>58882</v>
      </c>
      <c r="F9" s="71">
        <f>SUMIF(项目基本情况!D$12:I$12,C9,项目基本情况!D$15:I$15)</f>
        <v>42.6</v>
      </c>
      <c r="G9" s="72">
        <f t="shared" si="2"/>
        <v>0.95199999999999996</v>
      </c>
      <c r="H9" s="2950">
        <f>'[2]数据-取费表'!$H$9</f>
        <v>4.5000000000000005E-2</v>
      </c>
      <c r="I9" s="73">
        <f>'[2]数据-取费表'!$I$9</f>
        <v>0.05</v>
      </c>
      <c r="J9" s="73">
        <f>J8</f>
        <v>8.5000000000000006E-2</v>
      </c>
      <c r="K9" s="1250">
        <f>SUMIF('数据-汇总表'!C$19:C$33,A9,'数据-汇总表'!E$19:E$33)</f>
        <v>1132.9000000000001</v>
      </c>
      <c r="L9" s="800">
        <f>L8</f>
        <v>3000</v>
      </c>
      <c r="M9" s="74">
        <f t="shared" si="0"/>
        <v>340</v>
      </c>
      <c r="N9" s="2982">
        <f>N8</f>
        <v>0.12</v>
      </c>
      <c r="O9" s="74">
        <f t="shared" si="3"/>
        <v>41</v>
      </c>
      <c r="P9" s="75">
        <f t="shared" si="4"/>
        <v>299</v>
      </c>
      <c r="Q9" s="89">
        <f>'[2]数据-取费表'!$Q$9</f>
        <v>0.05</v>
      </c>
      <c r="R9" s="76">
        <f ca="1">SUMIF('数据-汇总表'!C$19:C$33,A9,'数据-汇总表'!R$19:R$27)</f>
        <v>102.34</v>
      </c>
      <c r="S9" s="53">
        <f>IF('数据-汇总表'!$I$17="按面积比例",SUMIF('数据-汇总表'!C$19:C$33,A9,'数据-汇总表'!K$19:K$33),SUMIF('数据-汇总表'!C$19:C$33,A9,'数据-汇总表'!N$19:N$33))</f>
        <v>40.200000000000003</v>
      </c>
      <c r="T9" s="1442">
        <f t="shared" si="5"/>
        <v>12</v>
      </c>
      <c r="U9" s="77">
        <f>'[2]数据-取费表'!$U$9</f>
        <v>1.6</v>
      </c>
      <c r="V9" s="78">
        <f>V8</f>
        <v>1.4999999999999999E-2</v>
      </c>
      <c r="W9" s="78">
        <f>W8</f>
        <v>0.1</v>
      </c>
      <c r="X9" s="1260"/>
      <c r="Y9" s="79">
        <f>Y8</f>
        <v>1</v>
      </c>
      <c r="Z9" s="80"/>
      <c r="AA9" s="73"/>
      <c r="AB9" s="73"/>
      <c r="AC9" s="1260"/>
      <c r="AD9" s="81"/>
      <c r="AE9" s="1261">
        <f t="shared" ca="1" si="6"/>
        <v>39.96</v>
      </c>
      <c r="AF9" s="1802"/>
      <c r="AG9" s="145">
        <f t="shared" si="7"/>
        <v>0</v>
      </c>
      <c r="AH9" s="82"/>
      <c r="AI9" s="84">
        <v>365</v>
      </c>
      <c r="AJ9" s="85"/>
      <c r="AK9" s="86">
        <f>AK7</f>
        <v>1.4999999999999999E-2</v>
      </c>
      <c r="AL9" s="86">
        <f t="shared" ref="AL9:AM9" si="12">AL7</f>
        <v>2E-3</v>
      </c>
      <c r="AM9" s="86">
        <f t="shared" si="12"/>
        <v>0.02</v>
      </c>
      <c r="AN9" s="2307" t="s">
        <v>3171</v>
      </c>
      <c r="AO9" s="54">
        <f t="shared" ca="1" si="8"/>
        <v>848</v>
      </c>
      <c r="AP9" s="2308">
        <f t="shared" si="9"/>
        <v>0</v>
      </c>
      <c r="AQ9" s="54">
        <f t="shared" si="10"/>
        <v>1</v>
      </c>
      <c r="AR9" s="54">
        <f t="shared" si="11"/>
        <v>11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2950"/>
      <c r="I10" s="73"/>
      <c r="J10" s="73"/>
      <c r="K10" s="1250">
        <f>SUMIF('数据-汇总表'!C$19:C$33,A10,'数据-汇总表'!E$19:E$33)</f>
        <v>0</v>
      </c>
      <c r="L10" s="800"/>
      <c r="M10" s="74">
        <f t="shared" si="0"/>
        <v>0</v>
      </c>
      <c r="N10" s="2982"/>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2"/>
      <c r="AG10" s="145">
        <f t="shared" si="7"/>
        <v>0</v>
      </c>
      <c r="AH10" s="82"/>
      <c r="AI10" s="84">
        <v>365</v>
      </c>
      <c r="AJ10" s="85"/>
      <c r="AK10" s="86"/>
      <c r="AL10" s="86"/>
      <c r="AM10" s="86"/>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2950"/>
      <c r="I11" s="73"/>
      <c r="J11" s="73"/>
      <c r="K11" s="1250">
        <f>SUMIF('数据-汇总表'!C$19:C$33,A11,'数据-汇总表'!E$19:E$33)</f>
        <v>0</v>
      </c>
      <c r="L11" s="90"/>
      <c r="M11" s="74">
        <f t="shared" si="0"/>
        <v>0</v>
      </c>
      <c r="N11" s="2983"/>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77"/>
      <c r="V11" s="73"/>
      <c r="W11" s="73"/>
      <c r="X11" s="1260"/>
      <c r="Y11" s="79"/>
      <c r="Z11" s="91"/>
      <c r="AA11" s="73"/>
      <c r="AB11" s="73"/>
      <c r="AC11" s="1260"/>
      <c r="AD11" s="81"/>
      <c r="AE11" s="1261">
        <f t="shared" ca="1" si="6"/>
        <v>0</v>
      </c>
      <c r="AF11" s="1802"/>
      <c r="AG11" s="145">
        <f t="shared" si="7"/>
        <v>0</v>
      </c>
      <c r="AH11" s="82"/>
      <c r="AI11" s="84">
        <v>365</v>
      </c>
      <c r="AJ11" s="85"/>
      <c r="AK11" s="92"/>
      <c r="AL11" s="92"/>
      <c r="AM11" s="92"/>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83"/>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2"/>
      <c r="AG12" s="145">
        <f t="shared" si="7"/>
        <v>0</v>
      </c>
      <c r="AH12" s="82"/>
      <c r="AI12" s="84">
        <v>365</v>
      </c>
      <c r="AJ12" s="85"/>
      <c r="AK12" s="92"/>
      <c r="AL12" s="93"/>
      <c r="AM12" s="94"/>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83"/>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2"/>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2016</v>
      </c>
      <c r="B14" s="2305" t="s">
        <v>2017</v>
      </c>
      <c r="C14" s="2310" t="s">
        <v>2016</v>
      </c>
      <c r="D14" s="1051"/>
      <c r="E14" s="1048"/>
      <c r="F14" s="71"/>
      <c r="G14" s="72"/>
      <c r="H14" s="1249"/>
      <c r="I14" s="1249"/>
      <c r="J14" s="1249"/>
      <c r="K14" s="1250">
        <f>SUMIF('数据-汇总表'!C$19:C$33,A14,'数据-汇总表'!E$19:E$33)</f>
        <v>4330.1000000000004</v>
      </c>
      <c r="L14" s="90">
        <f>L8</f>
        <v>3000</v>
      </c>
      <c r="M14" s="74">
        <f t="shared" si="0"/>
        <v>1299</v>
      </c>
      <c r="N14" s="2983">
        <f>N6</f>
        <v>0.12</v>
      </c>
      <c r="O14" s="74">
        <f t="shared" si="3"/>
        <v>156</v>
      </c>
      <c r="P14" s="75">
        <f t="shared" si="4"/>
        <v>1143</v>
      </c>
      <c r="Q14" s="1253"/>
      <c r="R14" s="76"/>
      <c r="S14" s="53"/>
      <c r="T14" s="1442"/>
      <c r="U14" s="721"/>
      <c r="V14" s="1255"/>
      <c r="W14" s="1255"/>
      <c r="X14" s="1256"/>
      <c r="Y14" s="1257"/>
      <c r="Z14" s="1258"/>
      <c r="AA14" s="1259"/>
      <c r="AB14" s="1259"/>
      <c r="AC14" s="1260"/>
      <c r="AD14" s="1256"/>
      <c r="AE14" s="1261"/>
      <c r="AF14" s="54"/>
      <c r="AG14" s="145"/>
      <c r="AH14" s="1261"/>
      <c r="AI14" s="1813"/>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2018</v>
      </c>
      <c r="B15" s="2305" t="s">
        <v>2017</v>
      </c>
      <c r="C15" s="2310" t="s">
        <v>2019</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3"/>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2020</v>
      </c>
      <c r="B16" s="95"/>
      <c r="C16" s="1005"/>
      <c r="D16" s="2312"/>
      <c r="E16" s="95"/>
      <c r="F16" s="95"/>
      <c r="G16" s="96">
        <f>ROUND(SUMPRODUCT(G6:G13,K6:K13)/SUMPRODUCT((G6:G13&gt;0)*(K6:K13)),3)</f>
        <v>0.95299999999999996</v>
      </c>
      <c r="H16" s="97">
        <f>ROUND(SUMPRODUCT(H6:H13,K6:K13)/SUMPRODUCT((H6:H13&gt;0)*(K6:K13)),3)</f>
        <v>4.9000000000000002E-2</v>
      </c>
      <c r="I16" s="98"/>
      <c r="J16" s="98"/>
      <c r="K16" s="99">
        <f>SUM(K6:K15)</f>
        <v>126370.20000000001</v>
      </c>
      <c r="L16" s="100">
        <f>ROUND(M16*10000/SUM(K6:K14),0)</f>
        <v>3357</v>
      </c>
      <c r="M16" s="100">
        <f>SUM(M6:M14)</f>
        <v>42428</v>
      </c>
      <c r="N16" s="101">
        <f>ROUND(SUMPRODUCT(M6:M14,N6:N14)/M16,3)</f>
        <v>0.12</v>
      </c>
      <c r="O16" s="100">
        <f>SUM(O6:O14)</f>
        <v>5092</v>
      </c>
      <c r="P16" s="100">
        <f>SUM(P6:P14)</f>
        <v>37336</v>
      </c>
      <c r="Q16" s="102">
        <f>ROUND(SUMPRODUCT(Q6:Q13,K6:K13)/SUMPRODUCT((Q6:Q13&gt;0)*(K6:K13)),2)</f>
        <v>0.21</v>
      </c>
      <c r="R16" s="1254">
        <f ca="1">SUM(R6:R13)</f>
        <v>11023.93</v>
      </c>
      <c r="S16" s="103">
        <f>SUM(S6:S13)</f>
        <v>4330.1099999999997</v>
      </c>
      <c r="T16" s="104">
        <f>IF(SUMIF(T6:T13,"&lt;9E307")=M14,SUMIF(T6:T13,"&lt;9E307"),"有误，请检查")</f>
        <v>1299</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2021</v>
      </c>
      <c r="B18" s="2278"/>
      <c r="C18" s="2275"/>
      <c r="D18" s="2276"/>
      <c r="E18" s="2275"/>
      <c r="F18" s="2275"/>
      <c r="G18" s="2275"/>
      <c r="H18" s="2275"/>
      <c r="I18" s="2275"/>
      <c r="J18" s="2275"/>
      <c r="K18" s="166"/>
      <c r="L18" s="166"/>
      <c r="M18" s="1579"/>
      <c r="N18" s="1579"/>
      <c r="O18" s="1579"/>
      <c r="P18" s="1579"/>
      <c r="Q18" s="1579"/>
      <c r="R18" s="1579"/>
      <c r="S18" s="1579"/>
      <c r="T18" s="1941" t="s">
        <v>3164</v>
      </c>
      <c r="U18" s="2971"/>
      <c r="V18" s="2971"/>
      <c r="W18" s="2971"/>
      <c r="X18" s="1579"/>
      <c r="Y18" s="1579"/>
      <c r="Z18" s="1579"/>
      <c r="AA18" s="1579"/>
      <c r="AB18" s="1579"/>
      <c r="AC18" s="1579"/>
      <c r="AD18" s="1579"/>
      <c r="AE18" s="1579"/>
      <c r="AF18" s="1579"/>
      <c r="AG18" s="1579"/>
      <c r="AH18" s="1579"/>
      <c r="AI18" s="1579"/>
      <c r="AJ18" s="1579"/>
      <c r="AK18" s="1579"/>
      <c r="AL18" s="1579"/>
      <c r="AM18" s="1579"/>
    </row>
    <row r="19" spans="1:67" ht="14.4">
      <c r="A19" s="2314" t="s">
        <v>2022</v>
      </c>
      <c r="B19" s="110">
        <v>0</v>
      </c>
      <c r="C19" s="2275" t="s">
        <v>2023</v>
      </c>
      <c r="D19" s="2276"/>
      <c r="E19" s="2275"/>
      <c r="F19" s="2275"/>
      <c r="G19" s="2275"/>
      <c r="H19" s="2275"/>
      <c r="I19" s="2275"/>
      <c r="J19" s="2275"/>
      <c r="K19" s="166"/>
      <c r="L19" s="166"/>
      <c r="M19" s="1579"/>
      <c r="N19" s="1579"/>
      <c r="O19" s="1579"/>
      <c r="P19" s="1579"/>
      <c r="Q19" s="1579"/>
      <c r="R19" s="1579"/>
      <c r="S19" s="1579"/>
      <c r="T19" s="1941" t="s">
        <v>3165</v>
      </c>
      <c r="U19" s="1941" t="s">
        <v>3166</v>
      </c>
      <c r="V19" s="1941" t="s">
        <v>3168</v>
      </c>
      <c r="W19" s="1941" t="s">
        <v>3167</v>
      </c>
      <c r="X19" s="1579"/>
      <c r="Y19" s="1579"/>
      <c r="Z19" s="1579"/>
      <c r="AA19" s="1579"/>
      <c r="AB19" s="1579"/>
      <c r="AC19" s="1579"/>
      <c r="AD19" s="1579"/>
      <c r="AE19" s="1579"/>
      <c r="AF19" s="1579"/>
      <c r="AG19" s="1579"/>
      <c r="AH19" s="1579"/>
      <c r="AI19" s="1579"/>
      <c r="AJ19" s="1579"/>
      <c r="AK19" s="1579"/>
      <c r="AL19" s="1579"/>
      <c r="AM19" s="1579"/>
    </row>
    <row r="20" spans="1:67" ht="14.4">
      <c r="A20" s="2315" t="s">
        <v>2024</v>
      </c>
      <c r="B20" s="111">
        <v>3</v>
      </c>
      <c r="C20" s="2275" t="s">
        <v>2025</v>
      </c>
      <c r="D20" s="2276"/>
      <c r="E20" s="2275"/>
      <c r="F20" s="2275"/>
      <c r="G20" s="2275"/>
      <c r="H20" s="2275"/>
      <c r="I20" s="2275"/>
      <c r="J20" s="2275"/>
      <c r="K20" s="166"/>
      <c r="L20" s="166"/>
      <c r="M20" s="1579"/>
      <c r="N20" s="1579"/>
      <c r="O20" s="1579"/>
      <c r="P20" s="1579"/>
      <c r="Q20" s="1579"/>
      <c r="R20" s="1579"/>
      <c r="S20" s="1579"/>
      <c r="T20" s="2971">
        <v>1</v>
      </c>
      <c r="U20" s="2971">
        <f>'数据-汇总表'!F20/4</f>
        <v>3666</v>
      </c>
      <c r="V20" s="2971">
        <f>[1]案例!$E$23</f>
        <v>1</v>
      </c>
      <c r="W20" s="2971">
        <f>[1]案例!$F$23</f>
        <v>10</v>
      </c>
      <c r="X20" s="1579"/>
      <c r="Y20" s="1579"/>
      <c r="Z20" s="1579"/>
      <c r="AA20" s="1579"/>
      <c r="AB20" s="1579"/>
      <c r="AC20" s="1579"/>
      <c r="AD20" s="1579"/>
      <c r="AE20" s="1579"/>
      <c r="AF20" s="1579"/>
      <c r="AG20" s="1579"/>
      <c r="AH20" s="1579"/>
      <c r="AI20" s="1579"/>
      <c r="AJ20" s="1579"/>
      <c r="AK20" s="1579"/>
      <c r="AL20" s="1579"/>
      <c r="AM20" s="1579"/>
    </row>
    <row r="21" spans="1:67" ht="14.4">
      <c r="A21" s="2316" t="s">
        <v>2026</v>
      </c>
      <c r="B21" s="2984">
        <f>B20*N16</f>
        <v>0.36</v>
      </c>
      <c r="C21" s="2275"/>
      <c r="D21" s="2276"/>
      <c r="E21" s="2275"/>
      <c r="F21" s="2275"/>
      <c r="G21" s="2275"/>
      <c r="H21" s="2275"/>
      <c r="I21" s="2275"/>
      <c r="J21" s="2275"/>
      <c r="K21" s="166"/>
      <c r="L21" s="166"/>
      <c r="M21" s="1579"/>
      <c r="N21" s="1579"/>
      <c r="O21" s="1579"/>
      <c r="P21" s="1579"/>
      <c r="Q21" s="1579"/>
      <c r="R21" s="1579"/>
      <c r="S21" s="1579"/>
      <c r="T21" s="2971">
        <v>2</v>
      </c>
      <c r="U21" s="2971">
        <f>U20</f>
        <v>3666</v>
      </c>
      <c r="V21" s="2971">
        <f>[1]案例!$E$24</f>
        <v>0.65</v>
      </c>
      <c r="W21" s="2971">
        <f>$W$20*V21</f>
        <v>6.5</v>
      </c>
      <c r="X21" s="1579"/>
      <c r="Y21" s="1579"/>
      <c r="Z21" s="1579"/>
      <c r="AA21" s="1579"/>
      <c r="AB21" s="1579"/>
      <c r="AC21" s="1579"/>
      <c r="AD21" s="1579"/>
      <c r="AE21" s="1579"/>
      <c r="AF21" s="1579"/>
      <c r="AG21" s="1579"/>
      <c r="AH21" s="1579"/>
      <c r="AI21" s="1579"/>
      <c r="AJ21" s="1579"/>
      <c r="AK21" s="1579"/>
      <c r="AL21" s="1579"/>
      <c r="AM21" s="1579"/>
    </row>
    <row r="22" spans="1:67" ht="14.4">
      <c r="A22" s="2315" t="s">
        <v>2027</v>
      </c>
      <c r="B22" s="112">
        <f>B19+B20</f>
        <v>3</v>
      </c>
      <c r="C22" s="2275"/>
      <c r="D22" s="2276"/>
      <c r="E22" s="2275"/>
      <c r="F22" s="2275"/>
      <c r="G22" s="2275"/>
      <c r="H22" s="2275"/>
      <c r="I22" s="2275"/>
      <c r="J22" s="2275"/>
      <c r="K22" s="166"/>
      <c r="L22" s="166"/>
      <c r="M22" s="1579"/>
      <c r="N22" s="1579"/>
      <c r="O22" s="1579"/>
      <c r="P22" s="1579"/>
      <c r="Q22" s="1579"/>
      <c r="R22" s="1579"/>
      <c r="S22" s="1579"/>
      <c r="T22" s="2971">
        <v>3</v>
      </c>
      <c r="U22" s="2971">
        <f>U21</f>
        <v>3666</v>
      </c>
      <c r="V22" s="2971">
        <f>[1]案例!$E$25</f>
        <v>0.6</v>
      </c>
      <c r="W22" s="2971">
        <f t="shared" ref="W22:W24" si="13">$W$20*V22</f>
        <v>6</v>
      </c>
      <c r="X22" s="1579"/>
      <c r="Y22" s="1579"/>
      <c r="Z22" s="1579"/>
      <c r="AA22" s="1579"/>
      <c r="AB22" s="1579"/>
      <c r="AC22" s="1579"/>
      <c r="AD22" s="1579"/>
      <c r="AE22" s="1579"/>
      <c r="AF22" s="1579"/>
      <c r="AG22" s="1579"/>
      <c r="AH22" s="1579"/>
      <c r="AI22" s="1579"/>
      <c r="AJ22" s="1579"/>
      <c r="AK22" s="1579"/>
      <c r="AL22" s="1579"/>
      <c r="AM22" s="1579"/>
    </row>
    <row r="23" spans="1:67" ht="14.4">
      <c r="A23" s="2316" t="s">
        <v>2028</v>
      </c>
      <c r="B23" s="112">
        <f>B19+B21</f>
        <v>0.36</v>
      </c>
      <c r="C23" s="2275"/>
      <c r="D23" s="2276"/>
      <c r="E23" s="2275"/>
      <c r="F23" s="2275"/>
      <c r="G23" s="2275"/>
      <c r="H23" s="2275"/>
      <c r="I23" s="2275"/>
      <c r="J23" s="2275"/>
      <c r="K23" s="166"/>
      <c r="L23" s="166"/>
      <c r="M23" s="1579"/>
      <c r="N23" s="1579"/>
      <c r="O23" s="1579"/>
      <c r="P23" s="1579"/>
      <c r="Q23" s="1579"/>
      <c r="R23" s="1579"/>
      <c r="S23" s="1579"/>
      <c r="T23" s="2971">
        <v>4</v>
      </c>
      <c r="U23" s="2971">
        <f>U22</f>
        <v>3666</v>
      </c>
      <c r="V23" s="2971">
        <f>[1]案例!$E$26</f>
        <v>0.55000000000000004</v>
      </c>
      <c r="W23" s="2971">
        <f t="shared" si="13"/>
        <v>5.5</v>
      </c>
      <c r="X23" s="1579"/>
      <c r="Y23" s="1579"/>
      <c r="Z23" s="1579"/>
      <c r="AA23" s="1579"/>
      <c r="AB23" s="1579"/>
      <c r="AC23" s="1579"/>
      <c r="AD23" s="1579"/>
      <c r="AE23" s="1579"/>
      <c r="AF23" s="1579"/>
      <c r="AG23" s="1579"/>
      <c r="AH23" s="1579"/>
      <c r="AI23" s="1579"/>
      <c r="AJ23" s="1579"/>
      <c r="AK23" s="1579"/>
      <c r="AL23" s="1579"/>
      <c r="AM23" s="1579"/>
    </row>
    <row r="24" spans="1:67" ht="15" thickBot="1">
      <c r="A24" s="2317" t="s">
        <v>2029</v>
      </c>
      <c r="B24" s="113">
        <f>B20-B21</f>
        <v>2.64</v>
      </c>
      <c r="C24" s="2275"/>
      <c r="D24" s="2276"/>
      <c r="E24" s="2275"/>
      <c r="F24" s="2275"/>
      <c r="G24" s="2275"/>
      <c r="H24" s="2275"/>
      <c r="I24" s="2275"/>
      <c r="J24" s="2275"/>
      <c r="K24" s="166"/>
      <c r="L24" s="166"/>
      <c r="M24" s="1579"/>
      <c r="N24" s="1579"/>
      <c r="O24" s="1579"/>
      <c r="P24" s="1579"/>
      <c r="Q24" s="1579"/>
      <c r="R24" s="1579"/>
      <c r="S24" s="1579"/>
      <c r="T24" s="1941" t="s">
        <v>3208</v>
      </c>
      <c r="U24" s="2272">
        <f>'数据-汇总表'!G20</f>
        <v>1651.1</v>
      </c>
      <c r="V24" s="2272">
        <v>0.5</v>
      </c>
      <c r="W24" s="2971">
        <f t="shared" si="13"/>
        <v>5</v>
      </c>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6"/>
      <c r="L25" s="166"/>
      <c r="M25" s="1579"/>
      <c r="N25" s="1579"/>
      <c r="O25" s="1579"/>
      <c r="P25" s="1579"/>
      <c r="Q25" s="1579"/>
      <c r="R25" s="1579"/>
      <c r="S25" s="1579"/>
      <c r="T25" s="2971"/>
      <c r="U25" s="2971">
        <f>SUM(U20:U24)</f>
        <v>16315.1</v>
      </c>
      <c r="V25" s="2971"/>
      <c r="W25" s="2971">
        <f>ROUND((W20*U20+W21*U21+W22*U22+W23*U23+U24*W24)/U25,1)</f>
        <v>6.8</v>
      </c>
      <c r="X25" s="1579"/>
      <c r="Y25" s="1579"/>
      <c r="Z25" s="1579"/>
      <c r="AA25" s="1579"/>
      <c r="AB25" s="1579"/>
      <c r="AC25" s="1579"/>
      <c r="AD25" s="1579"/>
      <c r="AE25" s="1579"/>
      <c r="AF25" s="1579"/>
      <c r="AG25" s="1579"/>
      <c r="AH25" s="1579"/>
      <c r="AI25" s="1579"/>
      <c r="AJ25" s="1579"/>
      <c r="AK25" s="1579"/>
      <c r="AL25" s="1579"/>
      <c r="AM25" s="1579"/>
    </row>
    <row r="26" spans="1:67" ht="15" thickBot="1">
      <c r="A26" s="2274" t="s">
        <v>2030</v>
      </c>
      <c r="B26" s="2318" t="s">
        <v>2031</v>
      </c>
      <c r="C26" s="2319" t="s">
        <v>2032</v>
      </c>
      <c r="D26" s="2276"/>
      <c r="E26" s="2275"/>
      <c r="F26" s="2275"/>
      <c r="G26" s="2275"/>
      <c r="H26" s="2275"/>
      <c r="I26" s="2275"/>
      <c r="J26" s="2275"/>
      <c r="K26" s="166"/>
      <c r="L26" s="166"/>
      <c r="M26" s="1579"/>
      <c r="N26" s="1579"/>
      <c r="O26" s="1579"/>
      <c r="P26" s="1579"/>
      <c r="Q26" s="1579"/>
      <c r="R26" s="1579"/>
      <c r="S26" s="1579"/>
      <c r="T26" s="1941" t="s">
        <v>3170</v>
      </c>
      <c r="U26" s="1941" t="s">
        <v>3177</v>
      </c>
      <c r="V26" s="2971"/>
      <c r="W26" s="2971"/>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2033</v>
      </c>
      <c r="B27" s="114"/>
      <c r="C27" s="1762" t="s">
        <v>2034</v>
      </c>
      <c r="D27" s="2321"/>
      <c r="E27" s="1426"/>
      <c r="F27" s="1426"/>
      <c r="G27" s="2275"/>
      <c r="H27" s="2275"/>
      <c r="I27" s="2275"/>
      <c r="J27" s="2275"/>
      <c r="K27" s="166"/>
      <c r="L27" s="166"/>
      <c r="M27" s="1579"/>
      <c r="N27" s="1579"/>
      <c r="O27" s="1579"/>
      <c r="P27" s="1579"/>
      <c r="Q27" s="1579"/>
      <c r="R27" s="1579"/>
      <c r="S27" s="1579"/>
      <c r="T27" s="2971">
        <f>'数据-汇总表'!E23/836</f>
        <v>0</v>
      </c>
      <c r="U27" s="2971">
        <f ca="1">T27*收益法车库!B3/10000</f>
        <v>0</v>
      </c>
      <c r="V27" s="2971"/>
      <c r="W27" s="2971"/>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2035</v>
      </c>
      <c r="B28" s="117">
        <f>'[1]数据-取费表'!$B$28</f>
        <v>200</v>
      </c>
      <c r="C28" s="2324"/>
      <c r="D28" s="2321"/>
      <c r="E28" s="1426"/>
      <c r="F28" s="1426"/>
      <c r="G28" s="2275"/>
      <c r="H28" s="2275"/>
      <c r="I28" s="2275"/>
      <c r="J28" s="2275"/>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2036</v>
      </c>
      <c r="B29" s="119">
        <f ca="1">成本法!C10</f>
        <v>2527</v>
      </c>
      <c r="C29" s="1762" t="s">
        <v>2037</v>
      </c>
      <c r="D29" s="2321"/>
      <c r="E29" s="1426"/>
      <c r="F29" s="1426"/>
      <c r="G29" s="2275"/>
      <c r="H29" s="2275"/>
      <c r="I29" s="2275"/>
      <c r="J29" s="2275"/>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2038</v>
      </c>
      <c r="B30" s="722">
        <v>200</v>
      </c>
      <c r="C30" s="2324"/>
      <c r="D30" s="2321"/>
      <c r="E30" s="1426"/>
      <c r="F30" s="1426"/>
      <c r="G30" s="2275"/>
      <c r="H30" s="2275"/>
      <c r="I30" s="2275"/>
      <c r="J30" s="2275"/>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2039</v>
      </c>
      <c r="B31" s="118">
        <f>B30-B32</f>
        <v>200</v>
      </c>
      <c r="C31" s="1762"/>
      <c r="D31" s="2321"/>
      <c r="E31" s="1426"/>
      <c r="F31" s="1426"/>
      <c r="G31" s="2275"/>
      <c r="H31" s="2275"/>
      <c r="I31" s="2275"/>
      <c r="J31" s="2275"/>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2040</v>
      </c>
      <c r="B32" s="723">
        <v>0</v>
      </c>
      <c r="C32" s="2324"/>
      <c r="D32" s="2276"/>
      <c r="E32" s="2275"/>
      <c r="F32" s="2275"/>
      <c r="G32" s="2275"/>
      <c r="H32" s="2275"/>
      <c r="I32" s="2275"/>
      <c r="J32" s="2275"/>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2041</v>
      </c>
      <c r="B33" s="724">
        <v>0.03</v>
      </c>
      <c r="C33" s="1761" t="s">
        <v>2042</v>
      </c>
      <c r="D33" s="2276"/>
      <c r="E33" s="2275"/>
      <c r="F33" s="2275"/>
      <c r="G33" s="2275"/>
      <c r="H33" s="2275"/>
      <c r="I33" s="2275"/>
      <c r="J33" s="2275"/>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2043</v>
      </c>
      <c r="B34" s="120">
        <f>'[1]数据-取费表'!$B$34</f>
        <v>0.05</v>
      </c>
      <c r="C34" s="1761" t="s">
        <v>2044</v>
      </c>
      <c r="D34" s="2276" t="s">
        <v>2045</v>
      </c>
      <c r="E34" s="730"/>
      <c r="F34" s="2275"/>
      <c r="G34" s="2275"/>
      <c r="H34" s="2275"/>
      <c r="I34" s="2275"/>
      <c r="J34" s="2275"/>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2046</v>
      </c>
      <c r="B35" s="117">
        <f>'[1]数据-取费表'!$B$35</f>
        <v>200</v>
      </c>
      <c r="C35" s="1761" t="s">
        <v>2047</v>
      </c>
      <c r="D35" s="2321"/>
      <c r="E35" s="1426"/>
      <c r="F35" s="1426"/>
      <c r="G35" s="2275"/>
      <c r="H35" s="2275"/>
      <c r="I35" s="2275"/>
      <c r="J35" s="2275"/>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1">
        <f>'[1]数据-取费表'!$B$36</f>
        <v>1.4999999999999999E-2</v>
      </c>
      <c r="C36" s="1761" t="s">
        <v>2049</v>
      </c>
      <c r="D36" s="2276"/>
      <c r="E36" s="2275"/>
      <c r="F36" s="2275"/>
      <c r="G36" s="2275"/>
      <c r="H36" s="2275"/>
      <c r="I36" s="2275"/>
      <c r="J36" s="2275"/>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2050</v>
      </c>
      <c r="B37" s="122">
        <f>'[1]数据-取费表'!$B$37</f>
        <v>0.02</v>
      </c>
      <c r="C37" s="1761" t="s">
        <v>2051</v>
      </c>
      <c r="D37" s="2276"/>
      <c r="E37" s="2275"/>
      <c r="F37" s="2275"/>
      <c r="G37" s="2275"/>
      <c r="H37" s="2275"/>
      <c r="I37" s="2275"/>
      <c r="J37" s="2275"/>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2052</v>
      </c>
      <c r="B38" s="120">
        <f>'[1]数据-取费表'!$B$38</f>
        <v>0.02</v>
      </c>
      <c r="C38" s="1761" t="s">
        <v>2051</v>
      </c>
      <c r="D38" s="2276"/>
      <c r="E38" s="2275"/>
      <c r="F38" s="2275"/>
      <c r="G38" s="2275"/>
      <c r="H38" s="2275"/>
      <c r="I38" s="2275"/>
      <c r="J38" s="2275"/>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2053</v>
      </c>
      <c r="B39" s="360">
        <f ca="1">存贷款利率!I1</f>
        <v>1.4999999999999999E-2</v>
      </c>
      <c r="C39" s="1761"/>
      <c r="D39" s="2276"/>
      <c r="E39" s="2275"/>
      <c r="F39" s="2275"/>
      <c r="G39" s="2275"/>
      <c r="H39" s="2275"/>
      <c r="I39" s="2275"/>
      <c r="J39" s="2275"/>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2054</v>
      </c>
      <c r="B40" s="1299">
        <f ca="1">存贷款利率!G1</f>
        <v>4.7500000000000001E-2</v>
      </c>
      <c r="C40" s="1761" t="s">
        <v>2055</v>
      </c>
      <c r="D40" s="1579"/>
      <c r="E40" s="2276"/>
      <c r="F40" s="2275"/>
      <c r="G40" s="2275"/>
      <c r="H40" s="2275"/>
      <c r="I40" s="2275"/>
      <c r="J40" s="2275"/>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2056</v>
      </c>
      <c r="B41" s="123">
        <f>B42+B43</f>
        <v>5.5000000000000007E-2</v>
      </c>
      <c r="C41" s="1762"/>
      <c r="D41" s="1579"/>
      <c r="E41" s="2276"/>
      <c r="F41" s="2275"/>
      <c r="G41" s="2275"/>
      <c r="H41" s="2275"/>
      <c r="I41" s="2275"/>
      <c r="J41" s="2275"/>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2057</v>
      </c>
      <c r="B42" s="124">
        <f>'[1]数据-取费表'!$B$42</f>
        <v>0.05</v>
      </c>
      <c r="C42" s="2329">
        <f>IF(B2&lt;DATE(2016,5,1),0,B42)</f>
        <v>0.05</v>
      </c>
      <c r="D42" s="2276"/>
      <c r="E42" s="2275"/>
      <c r="F42" s="2275"/>
      <c r="G42" s="2275"/>
      <c r="H42" s="2275"/>
      <c r="I42" s="2275"/>
      <c r="J42" s="2275"/>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2058</v>
      </c>
      <c r="B43" s="125">
        <f>B42*(B44+B45+B46)+B47</f>
        <v>5.000000000000001E-3</v>
      </c>
      <c r="C43" s="1762"/>
      <c r="D43" s="2276"/>
      <c r="E43" s="2275"/>
      <c r="F43" s="2275"/>
      <c r="G43" s="2275"/>
      <c r="H43" s="2275"/>
      <c r="I43" s="2275"/>
      <c r="J43" s="2275"/>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2059</v>
      </c>
      <c r="B44" s="126">
        <v>0.05</v>
      </c>
      <c r="C44" s="1761" t="s">
        <v>2060</v>
      </c>
      <c r="D44" s="2276"/>
      <c r="E44" s="2275"/>
      <c r="F44" s="2275"/>
      <c r="G44" s="2275"/>
      <c r="H44" s="2275"/>
      <c r="I44" s="2275"/>
      <c r="J44" s="2275"/>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2061</v>
      </c>
      <c r="B45" s="124">
        <v>0.03</v>
      </c>
      <c r="C45" s="1762" t="s">
        <v>2062</v>
      </c>
      <c r="D45" s="2276"/>
      <c r="E45" s="2275"/>
      <c r="F45" s="2275"/>
      <c r="G45" s="2275"/>
      <c r="H45" s="2275"/>
      <c r="I45" s="2275"/>
      <c r="J45" s="2275"/>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2063</v>
      </c>
      <c r="B46" s="124">
        <v>0.02</v>
      </c>
      <c r="C46" s="1762" t="s">
        <v>2064</v>
      </c>
      <c r="D46" s="2276"/>
      <c r="E46" s="2275"/>
      <c r="F46" s="2275"/>
      <c r="G46" s="2275"/>
      <c r="H46" s="2275"/>
      <c r="I46" s="2275"/>
      <c r="J46" s="2275"/>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2065</v>
      </c>
      <c r="B47" s="127"/>
      <c r="C47" s="1762" t="s">
        <v>2066</v>
      </c>
      <c r="D47" s="2276"/>
      <c r="E47" s="2275"/>
      <c r="F47" s="2275"/>
      <c r="G47" s="2275"/>
      <c r="H47" s="2275"/>
      <c r="I47" s="2275"/>
      <c r="J47" s="2275"/>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2067</v>
      </c>
      <c r="B48" s="128">
        <v>0.03</v>
      </c>
      <c r="C48" s="1769" t="s">
        <v>2068</v>
      </c>
      <c r="D48" s="2276"/>
      <c r="E48" s="2275"/>
      <c r="F48" s="2275"/>
      <c r="G48" s="2275"/>
      <c r="H48" s="2275"/>
      <c r="I48" s="2275"/>
      <c r="J48" s="2275"/>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2069</v>
      </c>
      <c r="B49" s="124">
        <v>5.0000000000000001E-4</v>
      </c>
      <c r="C49" s="1769" t="s">
        <v>2070</v>
      </c>
      <c r="D49" s="2276"/>
      <c r="E49" s="2275"/>
      <c r="F49" s="2275"/>
      <c r="G49" s="2275"/>
      <c r="H49" s="2275"/>
      <c r="I49" s="2275"/>
      <c r="J49" s="2275"/>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2071</v>
      </c>
      <c r="B50" s="129">
        <v>1.2E-2</v>
      </c>
      <c r="C50" s="1426"/>
      <c r="D50" s="2276"/>
      <c r="E50" s="2275"/>
      <c r="F50" s="2275"/>
      <c r="G50" s="2275"/>
      <c r="H50" s="2275"/>
      <c r="I50" s="2275"/>
      <c r="J50" s="2275"/>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2072</v>
      </c>
      <c r="B51" s="130">
        <v>0.12</v>
      </c>
      <c r="C51" s="1426"/>
      <c r="D51" s="2276"/>
      <c r="E51" s="2275"/>
      <c r="F51" s="2275"/>
      <c r="G51" s="2275"/>
      <c r="H51" s="2275"/>
      <c r="I51" s="2275"/>
      <c r="J51" s="2275"/>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2073</v>
      </c>
      <c r="B52" s="131">
        <f>SUMIF(A54:A63,B53,B54:B63)</f>
        <v>1.5</v>
      </c>
      <c r="C52" s="1426"/>
      <c r="D52" s="2276"/>
      <c r="E52" s="2275"/>
      <c r="F52" s="2275"/>
      <c r="G52" s="2275"/>
      <c r="H52" s="2275"/>
      <c r="I52" s="2275"/>
      <c r="J52" s="2275"/>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2074</v>
      </c>
      <c r="B53" s="2334" t="s">
        <v>56</v>
      </c>
      <c r="C53" s="1426" t="s">
        <v>2075</v>
      </c>
      <c r="D53" s="2335" t="s">
        <v>2076</v>
      </c>
      <c r="E53" s="2275"/>
      <c r="F53" s="2275"/>
      <c r="G53" s="2275"/>
      <c r="H53" s="2275"/>
      <c r="I53" s="2275"/>
      <c r="J53" s="2275"/>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2077</v>
      </c>
      <c r="B54" s="83"/>
      <c r="C54" s="1426">
        <v>30</v>
      </c>
      <c r="D54" s="2276"/>
      <c r="E54" s="2275"/>
      <c r="F54" s="2275"/>
      <c r="G54" s="2275"/>
      <c r="H54" s="2275"/>
      <c r="I54" s="2275"/>
      <c r="J54" s="2275"/>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2078</v>
      </c>
      <c r="B55" s="83"/>
      <c r="C55" s="1426">
        <v>24</v>
      </c>
      <c r="D55" s="2276"/>
      <c r="E55" s="2275"/>
      <c r="F55" s="2275"/>
      <c r="G55" s="2275"/>
      <c r="H55" s="2275"/>
      <c r="I55" s="2337"/>
      <c r="J55" s="2275"/>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2079</v>
      </c>
      <c r="B56" s="83"/>
      <c r="C56" s="1426">
        <v>18</v>
      </c>
      <c r="D56" s="2276"/>
      <c r="E56" s="2275"/>
      <c r="F56" s="2275"/>
      <c r="G56" s="2275"/>
      <c r="H56" s="2275"/>
      <c r="I56" s="2275"/>
      <c r="J56" s="2275"/>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2080</v>
      </c>
      <c r="B57" s="83"/>
      <c r="C57" s="1426">
        <v>12</v>
      </c>
      <c r="D57" s="2276"/>
      <c r="E57" s="2275"/>
      <c r="F57" s="2275"/>
      <c r="G57" s="2275"/>
      <c r="H57" s="2275"/>
      <c r="I57" s="2275"/>
      <c r="J57" s="2275"/>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2081</v>
      </c>
      <c r="B58" s="83"/>
      <c r="C58" s="1426">
        <v>3</v>
      </c>
      <c r="D58" s="2276"/>
      <c r="E58" s="2275"/>
      <c r="F58" s="2275"/>
      <c r="G58" s="2275"/>
      <c r="H58" s="2275"/>
      <c r="I58" s="2275"/>
      <c r="J58" s="2275"/>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2082</v>
      </c>
      <c r="B59" s="83">
        <v>1.5</v>
      </c>
      <c r="C59" s="1426">
        <v>1.5</v>
      </c>
      <c r="D59" s="2276"/>
      <c r="E59" s="2275"/>
      <c r="F59" s="2275"/>
      <c r="G59" s="2275"/>
      <c r="H59" s="2275"/>
      <c r="I59" s="2275"/>
      <c r="J59" s="2275"/>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2083</v>
      </c>
      <c r="B60" s="83"/>
      <c r="C60" s="2275"/>
      <c r="D60" s="2276"/>
      <c r="E60" s="2275"/>
      <c r="F60" s="2275"/>
      <c r="G60" s="2275"/>
      <c r="H60" s="2275"/>
      <c r="I60" s="2275"/>
      <c r="J60" s="2275"/>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2084</v>
      </c>
      <c r="B61" s="83"/>
      <c r="C61" s="2275"/>
      <c r="D61" s="2276"/>
      <c r="E61" s="2275"/>
      <c r="F61" s="2275"/>
      <c r="G61" s="2275"/>
      <c r="H61" s="2275"/>
      <c r="I61" s="2275"/>
      <c r="J61" s="2275"/>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2085</v>
      </c>
      <c r="B62" s="83"/>
      <c r="C62" s="2275"/>
      <c r="D62" s="2276"/>
      <c r="E62" s="2275"/>
      <c r="F62" s="2275"/>
      <c r="G62" s="2275"/>
      <c r="H62" s="2275"/>
      <c r="I62" s="2275"/>
      <c r="J62" s="2275"/>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2086</v>
      </c>
      <c r="B63" s="132"/>
      <c r="C63" s="2275"/>
      <c r="D63" s="2276"/>
      <c r="E63" s="2275"/>
      <c r="F63" s="2275"/>
      <c r="G63" s="2275"/>
      <c r="H63" s="2275"/>
      <c r="I63" s="2275"/>
      <c r="J63" s="2275"/>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9"/>
      <c r="D64" s="2340"/>
      <c r="K64" s="796"/>
      <c r="L64" s="796"/>
    </row>
    <row r="65" spans="1:12" s="964" customFormat="1">
      <c r="A65" s="2339"/>
      <c r="D65" s="2340"/>
      <c r="K65" s="796"/>
      <c r="L65" s="796"/>
    </row>
    <row r="66" spans="1:12" s="964" customFormat="1">
      <c r="A66" s="2339"/>
      <c r="D66" s="2340"/>
      <c r="K66" s="796"/>
      <c r="L66" s="796"/>
    </row>
    <row r="67" spans="1:12" s="964" customFormat="1">
      <c r="A67" s="2339"/>
      <c r="D67" s="2340"/>
      <c r="K67" s="796"/>
      <c r="L67" s="796"/>
    </row>
    <row r="68" spans="1:12" s="964" customFormat="1">
      <c r="A68" s="2339"/>
      <c r="D68" s="2340"/>
      <c r="K68" s="796"/>
      <c r="L68" s="796"/>
    </row>
    <row r="69" spans="1:12" s="964" customFormat="1">
      <c r="A69" s="2339"/>
      <c r="D69" s="2340"/>
      <c r="K69" s="796"/>
      <c r="L69" s="796"/>
    </row>
    <row r="70" spans="1:12" s="964" customFormat="1">
      <c r="A70" s="2339"/>
      <c r="D70" s="2340"/>
      <c r="K70" s="796"/>
      <c r="L70" s="796"/>
    </row>
    <row r="71" spans="1:12" s="964" customFormat="1">
      <c r="A71" s="2339"/>
      <c r="D71" s="2340"/>
      <c r="K71" s="796"/>
      <c r="L71" s="796"/>
    </row>
    <row r="72" spans="1:12" s="964" customFormat="1">
      <c r="A72" s="2339"/>
      <c r="D72" s="2340"/>
      <c r="K72" s="796"/>
      <c r="L72" s="796"/>
    </row>
    <row r="73" spans="1:12" s="964" customFormat="1">
      <c r="A73" s="2339"/>
      <c r="D73" s="2340"/>
      <c r="K73" s="796"/>
      <c r="L73" s="796"/>
    </row>
    <row r="74" spans="1:12" s="964" customFormat="1">
      <c r="A74" s="2339"/>
      <c r="D74" s="2340"/>
      <c r="K74" s="796"/>
      <c r="L74" s="796"/>
    </row>
    <row r="75" spans="1:12" s="964" customFormat="1">
      <c r="A75" s="2339"/>
      <c r="D75" s="2340"/>
      <c r="K75" s="796"/>
      <c r="L75" s="796"/>
    </row>
    <row r="76" spans="1:12" s="964" customFormat="1">
      <c r="A76" s="2339"/>
      <c r="D76" s="2340"/>
      <c r="K76" s="796"/>
      <c r="L76" s="796"/>
    </row>
    <row r="77" spans="1:12" s="964" customFormat="1">
      <c r="A77" s="2339"/>
      <c r="D77" s="2340"/>
      <c r="K77" s="796"/>
      <c r="L77" s="796"/>
    </row>
    <row r="78" spans="1:12" s="964" customFormat="1">
      <c r="A78" s="2339"/>
      <c r="D78" s="2340"/>
      <c r="K78" s="796"/>
      <c r="L78" s="796"/>
    </row>
    <row r="79" spans="1:12" s="964" customFormat="1">
      <c r="A79" s="2339"/>
      <c r="D79" s="2340"/>
      <c r="K79" s="796"/>
      <c r="L79" s="796"/>
    </row>
    <row r="80" spans="1:12" s="964" customFormat="1">
      <c r="A80" s="2339"/>
      <c r="D80" s="2340"/>
      <c r="K80" s="796"/>
      <c r="L80" s="796"/>
    </row>
    <row r="81" spans="1:12" s="964" customFormat="1">
      <c r="A81" s="2339"/>
      <c r="D81" s="2340"/>
      <c r="K81" s="796"/>
      <c r="L81" s="796"/>
    </row>
    <row r="82" spans="1:12" s="964" customFormat="1">
      <c r="A82" s="2339"/>
      <c r="D82" s="2340"/>
      <c r="K82" s="796"/>
      <c r="L82" s="796"/>
    </row>
    <row r="83" spans="1:12" s="964" customFormat="1">
      <c r="A83" s="2339"/>
      <c r="D83" s="2340"/>
      <c r="K83" s="796"/>
      <c r="L83" s="796"/>
    </row>
    <row r="84" spans="1:12" s="964" customFormat="1">
      <c r="A84" s="2339"/>
      <c r="D84" s="2340"/>
      <c r="K84" s="796"/>
      <c r="L84" s="796"/>
    </row>
    <row r="85" spans="1:12" s="964" customFormat="1">
      <c r="A85" s="2339"/>
      <c r="D85" s="2340"/>
      <c r="K85" s="796"/>
      <c r="L85" s="796"/>
    </row>
    <row r="86" spans="1:12" s="964" customFormat="1">
      <c r="A86" s="2339"/>
      <c r="D86" s="2340"/>
      <c r="K86" s="796"/>
      <c r="L86" s="796"/>
    </row>
    <row r="87" spans="1:12" s="964" customFormat="1">
      <c r="A87" s="2339"/>
      <c r="D87" s="2340"/>
      <c r="K87" s="796"/>
      <c r="L87" s="796"/>
    </row>
    <row r="88" spans="1:12" s="964" customFormat="1">
      <c r="A88" s="2339"/>
      <c r="D88" s="2340"/>
      <c r="K88" s="796"/>
      <c r="L88" s="796"/>
    </row>
    <row r="89" spans="1:12" s="964" customFormat="1">
      <c r="A89" s="2339"/>
      <c r="D89" s="2340"/>
      <c r="K89" s="796"/>
      <c r="L89" s="796"/>
    </row>
    <row r="90" spans="1:12" s="964" customFormat="1">
      <c r="A90" s="2339"/>
      <c r="D90" s="2340"/>
      <c r="K90" s="796"/>
      <c r="L90" s="796"/>
    </row>
    <row r="91" spans="1:12" s="964" customFormat="1">
      <c r="A91" s="2339"/>
      <c r="D91" s="2340"/>
      <c r="K91" s="796"/>
      <c r="L91" s="796"/>
    </row>
    <row r="92" spans="1:12" s="964" customFormat="1">
      <c r="A92" s="2339"/>
      <c r="D92" s="2340"/>
      <c r="K92" s="796"/>
      <c r="L92" s="796"/>
    </row>
    <row r="93" spans="1:12" s="964" customFormat="1">
      <c r="A93" s="2339"/>
      <c r="D93" s="2340"/>
      <c r="K93" s="796"/>
      <c r="L93" s="796"/>
    </row>
    <row r="94" spans="1:12" s="964" customFormat="1">
      <c r="A94" s="2339"/>
      <c r="D94" s="2340"/>
      <c r="K94" s="796"/>
      <c r="L94" s="796"/>
    </row>
    <row r="95" spans="1:12" s="964" customFormat="1">
      <c r="A95" s="2339"/>
      <c r="D95" s="2340"/>
      <c r="K95" s="796"/>
      <c r="L95" s="796"/>
    </row>
    <row r="96" spans="1:12" s="964" customFormat="1">
      <c r="A96" s="2339"/>
      <c r="D96" s="2340"/>
      <c r="K96" s="796"/>
      <c r="L96" s="796"/>
    </row>
    <row r="97" spans="1:12" s="964" customFormat="1">
      <c r="A97" s="2339"/>
      <c r="D97" s="2340"/>
      <c r="K97" s="796"/>
      <c r="L97" s="796"/>
    </row>
    <row r="98" spans="1:12" s="964" customFormat="1">
      <c r="A98" s="2339"/>
      <c r="D98" s="2340"/>
      <c r="K98" s="796"/>
      <c r="L98" s="796"/>
    </row>
    <row r="99" spans="1:12" s="964" customFormat="1">
      <c r="A99" s="2339"/>
      <c r="D99" s="2340"/>
      <c r="K99" s="796"/>
      <c r="L99" s="796"/>
    </row>
    <row r="100" spans="1:12" s="964" customFormat="1">
      <c r="A100" s="2339"/>
      <c r="D100" s="2340"/>
      <c r="K100" s="796"/>
      <c r="L100" s="796"/>
    </row>
    <row r="101" spans="1:12" s="964" customFormat="1">
      <c r="A101" s="2339"/>
      <c r="D101" s="2340"/>
      <c r="K101" s="796"/>
      <c r="L101" s="796"/>
    </row>
    <row r="102" spans="1:12" s="964" customFormat="1">
      <c r="A102" s="2339"/>
      <c r="D102" s="2340"/>
      <c r="K102" s="796"/>
      <c r="L102" s="796"/>
    </row>
    <row r="103" spans="1:12" s="964" customFormat="1">
      <c r="A103" s="2339"/>
      <c r="D103" s="2340"/>
      <c r="K103" s="796"/>
      <c r="L103" s="796"/>
    </row>
    <row r="104" spans="1:12" s="964" customFormat="1">
      <c r="A104" s="2339"/>
      <c r="D104" s="2340"/>
      <c r="K104" s="796"/>
      <c r="L104" s="796"/>
    </row>
    <row r="105" spans="1:12" s="964" customFormat="1">
      <c r="A105" s="2339"/>
      <c r="D105" s="2340"/>
      <c r="K105" s="796"/>
      <c r="L105" s="796"/>
    </row>
    <row r="106" spans="1:12" s="964" customFormat="1">
      <c r="A106" s="2339"/>
      <c r="D106" s="2340"/>
      <c r="K106" s="796"/>
      <c r="L106" s="796"/>
    </row>
    <row r="107" spans="1:12" s="964" customFormat="1">
      <c r="A107" s="2339"/>
      <c r="D107" s="2340"/>
      <c r="K107" s="796"/>
      <c r="L107" s="796"/>
    </row>
    <row r="108" spans="1:12" s="964" customFormat="1">
      <c r="A108" s="2339"/>
      <c r="D108" s="2340"/>
      <c r="K108" s="796"/>
      <c r="L108" s="796"/>
    </row>
    <row r="109" spans="1:12" s="964" customFormat="1">
      <c r="A109" s="2339"/>
      <c r="D109" s="2340"/>
      <c r="K109" s="796"/>
      <c r="L109" s="796"/>
    </row>
    <row r="110" spans="1:12" s="964" customFormat="1">
      <c r="A110" s="2339"/>
      <c r="D110" s="2340"/>
      <c r="K110" s="796"/>
      <c r="L110" s="796"/>
    </row>
    <row r="111" spans="1:12" s="964" customFormat="1">
      <c r="A111" s="2339"/>
      <c r="D111" s="2340"/>
      <c r="K111" s="796"/>
      <c r="L111" s="796"/>
    </row>
    <row r="112" spans="1:12" s="964" customFormat="1">
      <c r="A112" s="2339"/>
      <c r="D112" s="2340"/>
      <c r="K112" s="796"/>
      <c r="L112" s="796"/>
    </row>
    <row r="113" spans="1:12" s="964" customFormat="1">
      <c r="A113" s="2339"/>
      <c r="D113" s="2340"/>
      <c r="K113" s="796"/>
      <c r="L113" s="796"/>
    </row>
    <row r="114" spans="1:12" s="964" customFormat="1">
      <c r="A114" s="2339"/>
      <c r="D114" s="2340"/>
      <c r="K114" s="796"/>
      <c r="L114" s="796"/>
    </row>
    <row r="115" spans="1:12" s="964" customFormat="1">
      <c r="A115" s="2339"/>
      <c r="D115" s="2340"/>
      <c r="K115" s="796"/>
      <c r="L115" s="796"/>
    </row>
    <row r="116" spans="1:12" s="964" customFormat="1">
      <c r="A116" s="2339"/>
      <c r="D116" s="2340"/>
      <c r="K116" s="796"/>
      <c r="L116" s="796"/>
    </row>
    <row r="117" spans="1:12" s="964" customFormat="1">
      <c r="A117" s="2339"/>
      <c r="D117" s="2340"/>
      <c r="K117" s="796"/>
      <c r="L117" s="796"/>
    </row>
    <row r="118" spans="1:12" s="964" customFormat="1">
      <c r="A118" s="2339"/>
      <c r="D118" s="2340"/>
      <c r="K118" s="796"/>
      <c r="L118" s="796"/>
    </row>
    <row r="119" spans="1:12" s="964" customFormat="1">
      <c r="A119" s="2339"/>
      <c r="D119" s="2340"/>
      <c r="K119" s="796"/>
      <c r="L119" s="796"/>
    </row>
    <row r="120" spans="1:12" s="964" customFormat="1">
      <c r="A120" s="2339"/>
      <c r="D120" s="2340"/>
      <c r="K120" s="796"/>
      <c r="L120" s="796"/>
    </row>
    <row r="121" spans="1:12" s="964" customFormat="1">
      <c r="A121" s="2339"/>
      <c r="D121" s="2340"/>
      <c r="K121" s="796"/>
      <c r="L121" s="796"/>
    </row>
    <row r="122" spans="1:12" s="964" customFormat="1">
      <c r="A122" s="2339"/>
      <c r="D122" s="2340"/>
      <c r="K122" s="796"/>
      <c r="L122" s="796"/>
    </row>
    <row r="123" spans="1:12" s="964" customFormat="1">
      <c r="A123" s="2339"/>
      <c r="D123" s="2340"/>
      <c r="K123" s="796"/>
      <c r="L123" s="796"/>
    </row>
    <row r="124" spans="1:12" s="964" customFormat="1">
      <c r="A124" s="2339"/>
      <c r="D124" s="2340"/>
      <c r="K124" s="796"/>
      <c r="L124" s="796"/>
    </row>
    <row r="125" spans="1:12" s="964" customFormat="1">
      <c r="A125" s="2339"/>
      <c r="D125" s="2340"/>
      <c r="K125" s="796"/>
      <c r="L125" s="796"/>
    </row>
    <row r="126" spans="1:12" s="964" customFormat="1">
      <c r="A126" s="2339"/>
      <c r="D126" s="2340"/>
      <c r="K126" s="796"/>
      <c r="L126" s="796"/>
    </row>
    <row r="127" spans="1:12" s="964" customFormat="1">
      <c r="A127" s="2339"/>
      <c r="D127" s="2340"/>
      <c r="K127" s="796"/>
      <c r="L127" s="796"/>
    </row>
    <row r="128" spans="1:12" s="964" customFormat="1">
      <c r="A128" s="2339"/>
      <c r="D128" s="2340"/>
      <c r="K128" s="796"/>
      <c r="L128" s="796"/>
    </row>
    <row r="129" spans="1:12" s="964" customFormat="1">
      <c r="A129" s="2339"/>
      <c r="D129" s="2340"/>
      <c r="K129" s="796"/>
      <c r="L129" s="796"/>
    </row>
    <row r="130" spans="1:12" s="964" customFormat="1">
      <c r="A130" s="2339"/>
      <c r="D130" s="2340"/>
      <c r="K130" s="796"/>
      <c r="L130" s="796"/>
    </row>
    <row r="131" spans="1:12" s="964" customFormat="1">
      <c r="A131" s="2339"/>
      <c r="D131" s="2340"/>
      <c r="K131" s="796"/>
      <c r="L131" s="796"/>
    </row>
    <row r="132" spans="1:12" s="964" customFormat="1">
      <c r="A132" s="2339"/>
      <c r="D132" s="2340"/>
      <c r="K132" s="796"/>
      <c r="L132" s="796"/>
    </row>
    <row r="133" spans="1:12" s="964"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67"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6"/>
    <col min="30" max="16384" width="9" style="2367"/>
  </cols>
  <sheetData>
    <row r="1" spans="1:29" s="2360" customFormat="1" ht="18" thickBot="1">
      <c r="A1" s="3077" t="s">
        <v>2087</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2088</v>
      </c>
      <c r="D2" s="2364"/>
      <c r="E2" s="2365"/>
      <c r="F2" s="2284"/>
      <c r="G2" s="2363" t="s">
        <v>2089</v>
      </c>
      <c r="H2" s="2366"/>
      <c r="I2" s="2366"/>
      <c r="J2" s="2366"/>
      <c r="K2" s="2366"/>
      <c r="L2" s="2366"/>
      <c r="M2" s="2366"/>
      <c r="N2" s="2366"/>
      <c r="O2" s="2366"/>
      <c r="P2" s="2366"/>
      <c r="Q2" s="2366"/>
      <c r="R2" s="2366"/>
    </row>
    <row r="3" spans="1:29" ht="57.6">
      <c r="A3" s="413" t="s">
        <v>2090</v>
      </c>
      <c r="B3" s="1267" t="s">
        <v>2091</v>
      </c>
      <c r="C3" s="2953" t="s">
        <v>3122</v>
      </c>
      <c r="D3" s="2368"/>
      <c r="E3" s="429" t="s">
        <v>2090</v>
      </c>
      <c r="F3" s="2369" t="s">
        <v>2092</v>
      </c>
      <c r="G3" s="2370" t="s">
        <v>2093</v>
      </c>
      <c r="H3" s="2366"/>
      <c r="I3" s="2366"/>
      <c r="J3" s="2366"/>
      <c r="K3" s="2366"/>
      <c r="L3" s="2366"/>
      <c r="M3" s="2366"/>
      <c r="N3" s="2366"/>
      <c r="O3" s="2366"/>
      <c r="P3" s="2366"/>
      <c r="Q3" s="2366"/>
      <c r="R3" s="2366"/>
    </row>
    <row r="4" spans="1:29" ht="57.6">
      <c r="A4" s="429"/>
      <c r="B4" s="1793" t="s">
        <v>2094</v>
      </c>
      <c r="C4" s="2954" t="s">
        <v>3123</v>
      </c>
      <c r="D4" s="2368"/>
      <c r="E4" s="2371"/>
      <c r="F4" s="41" t="s">
        <v>2095</v>
      </c>
      <c r="G4" s="2372" t="s">
        <v>2096</v>
      </c>
      <c r="H4" s="2366"/>
      <c r="I4" s="2366"/>
      <c r="J4" s="2366"/>
      <c r="K4" s="2366"/>
      <c r="L4" s="2366"/>
      <c r="M4" s="2366"/>
      <c r="N4" s="2366"/>
      <c r="O4" s="2366"/>
      <c r="P4" s="2366"/>
      <c r="Q4" s="2366"/>
      <c r="R4" s="2366"/>
    </row>
    <row r="5" spans="1:29" ht="57.6">
      <c r="A5" s="429"/>
      <c r="B5" s="1793" t="s">
        <v>2097</v>
      </c>
      <c r="C5" s="2954" t="s">
        <v>3124</v>
      </c>
      <c r="D5" s="2368"/>
      <c r="E5" s="2371"/>
      <c r="F5" s="1793" t="s">
        <v>2098</v>
      </c>
      <c r="G5" s="2372" t="s">
        <v>2099</v>
      </c>
      <c r="H5" s="2366"/>
      <c r="I5" s="2366"/>
      <c r="J5" s="2366"/>
      <c r="K5" s="2366"/>
      <c r="L5" s="2366"/>
      <c r="M5" s="2366"/>
      <c r="N5" s="2366"/>
      <c r="O5" s="2366"/>
      <c r="P5" s="2366"/>
      <c r="Q5" s="2366"/>
      <c r="R5" s="2366"/>
    </row>
    <row r="6" spans="1:29" ht="72">
      <c r="A6" s="429"/>
      <c r="B6" s="1793" t="s">
        <v>2100</v>
      </c>
      <c r="C6" s="2955" t="s">
        <v>3125</v>
      </c>
      <c r="D6" s="2368"/>
      <c r="E6" s="2371"/>
      <c r="F6" s="1793" t="s">
        <v>2101</v>
      </c>
      <c r="G6" s="2372" t="s">
        <v>2102</v>
      </c>
      <c r="H6" s="2366"/>
      <c r="I6" s="2366"/>
      <c r="J6" s="2366"/>
      <c r="K6" s="2366"/>
      <c r="L6" s="2366"/>
      <c r="M6" s="2366"/>
      <c r="N6" s="2366"/>
      <c r="O6" s="2366"/>
      <c r="P6" s="2366"/>
      <c r="Q6" s="2366"/>
      <c r="R6" s="2366"/>
    </row>
    <row r="7" spans="1:29" ht="101.4" thickBot="1">
      <c r="A7" s="429"/>
      <c r="B7" s="1793" t="s">
        <v>2098</v>
      </c>
      <c r="C7" s="2955" t="s">
        <v>3126</v>
      </c>
      <c r="D7" s="2373"/>
      <c r="E7" s="2374"/>
      <c r="F7" s="2375" t="s">
        <v>2103</v>
      </c>
      <c r="G7" s="2376" t="s">
        <v>2104</v>
      </c>
      <c r="H7" s="2366"/>
      <c r="I7" s="2366"/>
      <c r="J7" s="2366"/>
      <c r="K7" s="2366"/>
      <c r="L7" s="2366"/>
      <c r="M7" s="2366"/>
      <c r="N7" s="2366"/>
      <c r="O7" s="2366"/>
      <c r="P7" s="2366"/>
      <c r="Q7" s="2366"/>
      <c r="R7" s="2366"/>
    </row>
    <row r="8" spans="1:29" ht="14.4">
      <c r="A8" s="429"/>
      <c r="B8" s="1793" t="s">
        <v>2101</v>
      </c>
      <c r="C8" s="2955" t="s">
        <v>3129</v>
      </c>
      <c r="D8" s="2373"/>
      <c r="E8" s="2373"/>
      <c r="F8" s="1133"/>
      <c r="G8" s="1133"/>
      <c r="H8" s="2366"/>
      <c r="I8" s="2366"/>
      <c r="J8" s="2366"/>
      <c r="K8" s="2366"/>
      <c r="L8" s="2366"/>
      <c r="M8" s="2366"/>
      <c r="N8" s="2366"/>
      <c r="O8" s="2366"/>
      <c r="P8" s="2366"/>
      <c r="Q8" s="2366"/>
      <c r="R8" s="2366"/>
    </row>
    <row r="9" spans="1:29" ht="86.4">
      <c r="A9" s="429"/>
      <c r="B9" s="1793" t="s">
        <v>2105</v>
      </c>
      <c r="C9" s="2954" t="s">
        <v>3127</v>
      </c>
      <c r="D9" s="2368"/>
      <c r="E9" s="2373"/>
      <c r="F9" s="1133"/>
      <c r="G9" s="1133"/>
      <c r="H9" s="2366"/>
      <c r="I9" s="2366"/>
      <c r="J9" s="2366"/>
      <c r="K9" s="2366"/>
      <c r="L9" s="2366"/>
      <c r="M9" s="2366"/>
      <c r="N9" s="2366"/>
      <c r="O9" s="2366"/>
      <c r="P9" s="2366"/>
      <c r="Q9" s="2366"/>
      <c r="R9" s="2366"/>
    </row>
    <row r="10" spans="1:29" s="115" customFormat="1" ht="15" thickBot="1">
      <c r="A10" s="2377"/>
      <c r="B10" s="2378" t="s">
        <v>2106</v>
      </c>
      <c r="C10" s="2956" t="s">
        <v>3128</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5" customFormat="1">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7.399999999999999">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8" thickBot="1">
      <c r="A13" s="2389" t="s">
        <v>2107</v>
      </c>
      <c r="B13" s="2383"/>
      <c r="C13" s="2383"/>
      <c r="D13" s="2390"/>
      <c r="E13" s="2383"/>
      <c r="F13" s="2383"/>
      <c r="G13" s="2383"/>
    </row>
    <row r="14" spans="1:29" ht="15" thickBot="1">
      <c r="A14" s="2394"/>
      <c r="B14" s="2395"/>
      <c r="C14" s="2396" t="s">
        <v>2108</v>
      </c>
      <c r="D14" s="2368"/>
      <c r="E14" s="2397"/>
      <c r="F14" s="2397"/>
      <c r="G14" s="2363" t="s">
        <v>2109</v>
      </c>
    </row>
    <row r="15" spans="1:29" ht="55.2">
      <c r="A15" s="67" t="s">
        <v>2110</v>
      </c>
      <c r="B15" s="1266" t="s">
        <v>2091</v>
      </c>
      <c r="C15" s="2398" t="str">
        <f>C3</f>
        <v>估价对象周边居住用地比例、居住小区规模和社区发展完善程度，综合评价居住社区成熟度一般</v>
      </c>
      <c r="D15" s="2368"/>
      <c r="E15" s="2399" t="s">
        <v>2111</v>
      </c>
      <c r="F15" s="1266" t="s">
        <v>2112</v>
      </c>
      <c r="G15" s="133" t="str">
        <f>G3</f>
        <v>估价对象位于XX开发区，园区建设成熟度XX，产业集聚程度XX</v>
      </c>
    </row>
    <row r="16" spans="1:29" ht="55.2">
      <c r="A16" s="643"/>
      <c r="B16" s="2400" t="s">
        <v>2094</v>
      </c>
      <c r="C16" s="2401" t="str">
        <f>C4</f>
        <v>估价对象位于通州运河核心区，周边商业氛围成熟度一般，人流量一般，商业繁华度一般。</v>
      </c>
      <c r="D16" s="2368"/>
      <c r="E16" s="2402"/>
      <c r="F16" s="2403" t="s">
        <v>2095</v>
      </c>
      <c r="G16" s="134" t="str">
        <f>G4</f>
        <v>估价对象周边道路状况、公共交通通达情况、停车便捷程度，综合评价交通便捷度较好</v>
      </c>
    </row>
    <row r="17" spans="1:18" ht="55.2">
      <c r="A17" s="643"/>
      <c r="B17" s="2400" t="s">
        <v>2097</v>
      </c>
      <c r="C17" s="2401" t="str">
        <f>C5</f>
        <v>估价对象位于通州运河核心区，周边办公楼项目数量一般，入驻率一般，办公集聚程度一般。</v>
      </c>
      <c r="D17" s="2373"/>
      <c r="E17" s="2402"/>
      <c r="F17" s="2403" t="s">
        <v>2113</v>
      </c>
      <c r="G17" s="1567"/>
    </row>
    <row r="18" spans="1:18" ht="69">
      <c r="A18" s="643"/>
      <c r="B18" s="2403" t="s">
        <v>2100</v>
      </c>
      <c r="C18" s="134" t="str">
        <f>C6</f>
        <v>附近主要有317路、552路、809、通49路等公交线路，紧邻地铁6号线，路网密集度较好，交通便捷度较好。</v>
      </c>
      <c r="D18" s="2373"/>
      <c r="E18" s="2402"/>
      <c r="F18" s="2403" t="s">
        <v>2103</v>
      </c>
      <c r="G18" s="134" t="str">
        <f>G7</f>
        <v>该园区内是否有污染型企业，绿化情况，卫生条件，整体环境状况判断</v>
      </c>
    </row>
    <row r="19" spans="1:18" ht="27.6">
      <c r="A19" s="643"/>
      <c r="B19" s="2403" t="s">
        <v>2114</v>
      </c>
      <c r="C19" s="1567"/>
      <c r="D19" s="2368"/>
      <c r="E19" s="2402"/>
      <c r="F19" s="1793" t="s">
        <v>2098</v>
      </c>
      <c r="G19" s="134" t="str">
        <f>G5</f>
        <v>估价对象所在区域公共配套设施齐备情况</v>
      </c>
    </row>
    <row r="20" spans="1:18" ht="82.8">
      <c r="A20" s="643"/>
      <c r="B20" s="2403" t="s">
        <v>2115</v>
      </c>
      <c r="C20" s="2401" t="str">
        <f>C9</f>
        <v>估价对象周边有水系、运河奥体公园，自然环境较好；周边有大运河美术馆等人文设施，人文环境较好；综合评价环境状况较好。</v>
      </c>
      <c r="D20" s="2373"/>
      <c r="E20" s="2402"/>
      <c r="F20" s="1793" t="s">
        <v>2116</v>
      </c>
      <c r="G20" s="134" t="str">
        <f>G6</f>
        <v>估价对象所在区域基础设施水平</v>
      </c>
    </row>
    <row r="21" spans="1:18" ht="96.6">
      <c r="A21" s="643"/>
      <c r="B21" s="1793" t="s">
        <v>2098</v>
      </c>
      <c r="C21" s="134" t="str">
        <f>C7</f>
        <v>估价对象周边有银行（兴业银行（北京通州运河支行）等）、医院（北京京通医院等）、超市（隆品源超市等）、学校（北京通州芙蓉小学等），公共配套设施齐备情况较好。</v>
      </c>
      <c r="D21" s="2368"/>
      <c r="E21" s="2402"/>
      <c r="F21" s="2403" t="s">
        <v>2117</v>
      </c>
      <c r="G21" s="2404"/>
    </row>
    <row r="22" spans="1:18" ht="13.5" customHeight="1">
      <c r="A22" s="643"/>
      <c r="B22" s="1793" t="s">
        <v>2101</v>
      </c>
      <c r="C22" s="134" t="str">
        <f>C8</f>
        <v>七通。</v>
      </c>
      <c r="D22" s="2368"/>
      <c r="E22" s="2402"/>
      <c r="F22" s="2403" t="s">
        <v>2106</v>
      </c>
      <c r="G22" s="1567"/>
    </row>
    <row r="23" spans="1:18" s="2366" customFormat="1" ht="15" thickBot="1">
      <c r="A23" s="643"/>
      <c r="B23" s="2403" t="s">
        <v>2117</v>
      </c>
      <c r="C23" s="2404"/>
      <c r="D23" s="2391"/>
      <c r="E23" s="2405"/>
      <c r="F23" s="2406" t="s">
        <v>2118</v>
      </c>
      <c r="G23" s="2407"/>
      <c r="H23" s="2391"/>
      <c r="I23" s="2392"/>
      <c r="J23" s="2391"/>
      <c r="K23" s="2391"/>
      <c r="L23" s="2392"/>
      <c r="M23" s="2391"/>
      <c r="N23" s="2391"/>
      <c r="O23" s="2392"/>
      <c r="P23" s="2391"/>
      <c r="Q23" s="2391"/>
      <c r="R23" s="2393"/>
    </row>
    <row r="24" spans="1:18" s="2366" customFormat="1" ht="15" thickBot="1">
      <c r="A24" s="2408"/>
      <c r="B24" s="2406" t="s">
        <v>2119</v>
      </c>
      <c r="C24" s="135" t="str">
        <f>C10</f>
        <v>城市支路——永顺南街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6" sqref="E6"/>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544769.84</v>
      </c>
      <c r="C1" s="1740"/>
      <c r="D1" s="1740"/>
      <c r="E1" s="1740"/>
      <c r="F1" s="1740"/>
      <c r="G1" s="1738"/>
    </row>
    <row r="2" spans="1:10" ht="16.2">
      <c r="A2" s="1741" t="s">
        <v>1353</v>
      </c>
      <c r="B2" s="1741">
        <f>SUM(C14:C23)</f>
        <v>43804.469999999994</v>
      </c>
      <c r="C2" s="1740"/>
      <c r="D2" s="1740"/>
      <c r="E2" s="1740"/>
      <c r="F2" s="1740"/>
      <c r="G2" s="1738"/>
    </row>
    <row r="3" spans="1:10" ht="15.6">
      <c r="A3" s="1741" t="s">
        <v>1362</v>
      </c>
      <c r="B3" s="1742">
        <f>项目基本情况!D3</f>
        <v>43332</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1387394</v>
      </c>
      <c r="C5" s="1741">
        <f ca="1">ROUND(B5*10000/$B$1,0)</f>
        <v>25468</v>
      </c>
      <c r="D5" s="1741">
        <f ca="1">ROUND(B5*10000/$B$2,0)</f>
        <v>316724</v>
      </c>
      <c r="E5" s="1740"/>
      <c r="F5" s="1738"/>
      <c r="G5" s="1738"/>
    </row>
    <row r="6" spans="1:10" ht="15.6">
      <c r="A6" s="1741" t="s">
        <v>1356</v>
      </c>
      <c r="B6" s="1741">
        <f ca="1">SUM(G14:G23)</f>
        <v>1386508</v>
      </c>
      <c r="C6" s="1741">
        <f ca="1">ROUND(B6*10000/$B$1,0)</f>
        <v>25451</v>
      </c>
      <c r="D6" s="1741">
        <f ca="1">ROUND(B6*10000/$B$2,0)</f>
        <v>316522</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126370.20000000001</v>
      </c>
      <c r="C14" s="1739">
        <f>结果表!C118</f>
        <v>11023.92</v>
      </c>
      <c r="D14" s="1739">
        <f ca="1">结果表!H118</f>
        <v>272710</v>
      </c>
      <c r="E14" s="1739">
        <f ca="1">ROUND(D14*10000/B14,0)</f>
        <v>21580</v>
      </c>
      <c r="F14" s="1739">
        <f ca="1">ROUND(D14*10000/C14,0)</f>
        <v>247380</v>
      </c>
      <c r="G14" s="1739">
        <f ca="1">结果表!D122</f>
        <v>272710</v>
      </c>
      <c r="H14" s="1739" t="str">
        <f>结果表!D124</f>
        <v>——</v>
      </c>
      <c r="I14" s="1739" t="str">
        <f>结果表!D126</f>
        <v>——</v>
      </c>
      <c r="J14" s="1738"/>
    </row>
    <row r="15" spans="1:10" ht="15.6">
      <c r="A15" s="1737" t="s">
        <v>1349</v>
      </c>
      <c r="B15" s="1744">
        <f>[4]系统读取表!$B$14</f>
        <v>118787.11</v>
      </c>
      <c r="C15" s="1744">
        <f>[4]系统读取表!$C$14</f>
        <v>8949.2199999999993</v>
      </c>
      <c r="D15" s="1744">
        <f ca="1">[4]系统读取表!$D$14</f>
        <v>290443</v>
      </c>
      <c r="E15" s="1739">
        <f t="shared" ref="E15:E23" ca="1" si="0">ROUND(D15*10000/B15,0)</f>
        <v>24451</v>
      </c>
      <c r="F15" s="1739">
        <f t="shared" ref="F15:F23" ca="1" si="1">ROUND(D15*10000/C15,0)</f>
        <v>324546</v>
      </c>
      <c r="G15" s="1745">
        <f>[3]系统读取表!$G$14</f>
        <v>289557</v>
      </c>
      <c r="H15" s="1745"/>
      <c r="I15" s="1744"/>
      <c r="J15" s="1738"/>
    </row>
    <row r="16" spans="1:10" ht="15.6">
      <c r="A16" s="1737" t="s">
        <v>1348</v>
      </c>
      <c r="B16" s="1744">
        <f>[5]系统读取表!$B$14</f>
        <v>4182.99</v>
      </c>
      <c r="C16" s="1744">
        <f>[5]系统读取表!$C$14</f>
        <v>409.58</v>
      </c>
      <c r="D16" s="1744">
        <f ca="1">[5]系统读取表!$D$14</f>
        <v>17758</v>
      </c>
      <c r="E16" s="1739">
        <f t="shared" ca="1" si="0"/>
        <v>42453</v>
      </c>
      <c r="F16" s="1739">
        <f t="shared" ca="1" si="1"/>
        <v>433566</v>
      </c>
      <c r="G16" s="1745">
        <f ca="1">D16</f>
        <v>17758</v>
      </c>
      <c r="H16" s="1745"/>
      <c r="I16" s="1744"/>
    </row>
    <row r="17" spans="1:9" ht="15.6">
      <c r="A17" s="1737" t="s">
        <v>1347</v>
      </c>
      <c r="B17" s="1744">
        <f>[6]系统读取表!$B$14</f>
        <v>220053.4</v>
      </c>
      <c r="C17" s="1744">
        <f>[6]系统读取表!$C$14</f>
        <v>16193.67</v>
      </c>
      <c r="D17" s="1744">
        <f ca="1">[6]系统读取表!$D$14</f>
        <v>450792</v>
      </c>
      <c r="E17" s="1739">
        <f t="shared" ca="1" si="0"/>
        <v>20486</v>
      </c>
      <c r="F17" s="1739">
        <f t="shared" ca="1" si="1"/>
        <v>278375</v>
      </c>
      <c r="G17" s="1745">
        <f ca="1">D17</f>
        <v>450792</v>
      </c>
      <c r="H17" s="1745"/>
      <c r="I17" s="1744"/>
    </row>
    <row r="18" spans="1:9" ht="15.6">
      <c r="A18" s="1737" t="s">
        <v>1346</v>
      </c>
      <c r="B18" s="1744">
        <f>[7]系统读取表!$B$14</f>
        <v>15747.05</v>
      </c>
      <c r="C18" s="1744">
        <f>[7]系统读取表!$C$14</f>
        <v>1541.89</v>
      </c>
      <c r="D18" s="1744">
        <f ca="1">[7]系统读取表!$D$14</f>
        <v>74436</v>
      </c>
      <c r="E18" s="1739">
        <f t="shared" ca="1" si="0"/>
        <v>47270</v>
      </c>
      <c r="F18" s="1739">
        <f t="shared" ca="1" si="1"/>
        <v>482758</v>
      </c>
      <c r="G18" s="1745">
        <f t="shared" ref="G18:G19" ca="1" si="2">D18</f>
        <v>74436</v>
      </c>
      <c r="H18" s="1744"/>
      <c r="I18" s="1744"/>
    </row>
    <row r="19" spans="1:9" ht="15.6">
      <c r="A19" s="1737" t="s">
        <v>1345</v>
      </c>
      <c r="B19" s="1744">
        <f>[8]系统读取表!$B$14</f>
        <v>45722.84</v>
      </c>
      <c r="C19" s="1744">
        <f>[8]系统读取表!$C$14</f>
        <v>4360.1000000000004</v>
      </c>
      <c r="D19" s="1744">
        <f ca="1">[8]系统读取表!$D$14</f>
        <v>227305</v>
      </c>
      <c r="E19" s="1739">
        <f t="shared" ca="1" si="0"/>
        <v>49714</v>
      </c>
      <c r="F19" s="1739">
        <f t="shared" ca="1" si="1"/>
        <v>521330</v>
      </c>
      <c r="G19" s="1745">
        <f t="shared" ca="1" si="2"/>
        <v>227305</v>
      </c>
      <c r="H19" s="1744"/>
      <c r="I19" s="1744"/>
    </row>
    <row r="20" spans="1:9" ht="15.6">
      <c r="A20" s="1737" t="s">
        <v>1344</v>
      </c>
      <c r="B20" s="1744">
        <f>[8]系统读取表!$B$15</f>
        <v>13906.25</v>
      </c>
      <c r="C20" s="1744">
        <f>[8]系统读取表!$C$15</f>
        <v>1326.09</v>
      </c>
      <c r="D20" s="1744">
        <f ca="1">[8]系统读取表!$D$15</f>
        <v>53950</v>
      </c>
      <c r="E20" s="1739">
        <f t="shared" ca="1" si="0"/>
        <v>38796</v>
      </c>
      <c r="F20" s="1739">
        <f t="shared" ca="1" si="1"/>
        <v>406835</v>
      </c>
      <c r="G20" s="1745">
        <f ca="1">D20</f>
        <v>53950</v>
      </c>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H118" sqref="H118:I118"/>
    </sheetView>
  </sheetViews>
  <sheetFormatPr defaultColWidth="12.6640625" defaultRowHeight="21.75" customHeight="1"/>
  <cols>
    <col min="1" max="2" width="12.6640625" style="2420"/>
    <col min="3" max="4" width="12.6640625" style="2420" customWidth="1"/>
    <col min="5" max="9" width="12.6640625" style="2420"/>
    <col min="10" max="11" width="12.6640625" style="793" customWidth="1"/>
    <col min="12" max="12" width="12.6640625" style="793"/>
    <col min="13" max="13" width="14.109375" style="793" bestFit="1" customWidth="1"/>
    <col min="14" max="26" width="12.6640625" style="793"/>
    <col min="27" max="35" width="12.6640625" style="2419"/>
    <col min="36" max="16384" width="12.6640625" style="2420"/>
  </cols>
  <sheetData>
    <row r="1" spans="1:12" ht="21.75" customHeight="1" thickBot="1">
      <c r="A1" s="2224" t="s">
        <v>2120</v>
      </c>
      <c r="B1" s="2414"/>
      <c r="C1" s="2415"/>
      <c r="D1" s="2414"/>
      <c r="E1" s="2414"/>
      <c r="F1" s="2416" t="s">
        <v>2121</v>
      </c>
      <c r="G1" s="2069" t="s">
        <v>2122</v>
      </c>
      <c r="H1" s="2417" t="str">
        <f>IF(G1="现房","——","估价对象范围")</f>
        <v>估价对象范围</v>
      </c>
      <c r="I1" s="2418"/>
    </row>
    <row r="2" spans="1:12" ht="21.75" customHeight="1" thickBot="1">
      <c r="A2" s="3153" t="str">
        <f>项目基本情况!S2</f>
        <v>北京市出让国有建设用地使用权及在建建筑物房地产</v>
      </c>
      <c r="B2" s="3154"/>
      <c r="C2" s="3154"/>
      <c r="D2" s="3154"/>
      <c r="E2" s="3154"/>
      <c r="F2" s="3154"/>
      <c r="G2" s="3154"/>
      <c r="H2" s="3154"/>
      <c r="I2" s="3155"/>
    </row>
    <row r="3" spans="1:12" ht="13.2">
      <c r="A3" s="3156" t="s">
        <v>2123</v>
      </c>
      <c r="B3" s="3157"/>
      <c r="C3" s="3157"/>
      <c r="D3" s="3157"/>
      <c r="E3" s="3157"/>
      <c r="F3" s="3157"/>
      <c r="G3" s="3157"/>
      <c r="H3" s="3157"/>
      <c r="I3" s="3157"/>
    </row>
    <row r="4" spans="1:12" ht="14.4">
      <c r="A4" s="2421" t="s">
        <v>2124</v>
      </c>
      <c r="B4" s="2422" t="s">
        <v>2125</v>
      </c>
      <c r="C4" s="2423" t="s">
        <v>3148</v>
      </c>
      <c r="D4" s="2423" t="s">
        <v>3149</v>
      </c>
      <c r="E4" s="3135" t="s">
        <v>2126</v>
      </c>
      <c r="F4" s="3150"/>
      <c r="G4" s="3150"/>
      <c r="H4" s="3150"/>
      <c r="I4" s="313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26" t="s">
        <v>2127</v>
      </c>
      <c r="B5" s="3051">
        <v>25</v>
      </c>
      <c r="C5" s="3144">
        <v>24</v>
      </c>
      <c r="D5" s="3144">
        <v>24</v>
      </c>
      <c r="E5" s="138" t="s">
        <v>2128</v>
      </c>
      <c r="F5" s="2425"/>
      <c r="G5" s="2425"/>
      <c r="H5" s="2425"/>
      <c r="I5" s="1829"/>
    </row>
    <row r="6" spans="1:12" ht="12.75" customHeight="1">
      <c r="A6" s="3126"/>
      <c r="B6" s="3051"/>
      <c r="C6" s="3145"/>
      <c r="D6" s="3145"/>
      <c r="E6" s="138" t="s">
        <v>2129</v>
      </c>
      <c r="F6" s="2425"/>
      <c r="G6" s="2425"/>
      <c r="H6" s="2425"/>
      <c r="I6" s="1829"/>
    </row>
    <row r="7" spans="1:12" ht="12.75" customHeight="1">
      <c r="A7" s="3126"/>
      <c r="B7" s="3051"/>
      <c r="C7" s="3146"/>
      <c r="D7" s="3146"/>
      <c r="E7" s="138" t="s">
        <v>2130</v>
      </c>
      <c r="F7" s="2425"/>
      <c r="G7" s="2425"/>
      <c r="H7" s="2425"/>
      <c r="I7" s="1829"/>
    </row>
    <row r="8" spans="1:12" ht="12.75" customHeight="1">
      <c r="A8" s="3126" t="s">
        <v>2131</v>
      </c>
      <c r="B8" s="3051">
        <v>15</v>
      </c>
      <c r="C8" s="3144">
        <v>14</v>
      </c>
      <c r="D8" s="3144">
        <v>14</v>
      </c>
      <c r="E8" s="138" t="s">
        <v>2132</v>
      </c>
      <c r="F8" s="2425"/>
      <c r="G8" s="2425"/>
      <c r="H8" s="2425"/>
      <c r="I8" s="1829"/>
    </row>
    <row r="9" spans="1:12" ht="12.75" customHeight="1">
      <c r="A9" s="3126"/>
      <c r="B9" s="3051"/>
      <c r="C9" s="3146"/>
      <c r="D9" s="3146"/>
      <c r="E9" s="138" t="s">
        <v>2133</v>
      </c>
      <c r="F9" s="2425"/>
      <c r="G9" s="2425"/>
      <c r="H9" s="2425"/>
      <c r="I9" s="1829"/>
    </row>
    <row r="10" spans="1:12" ht="12.75" customHeight="1">
      <c r="A10" s="3126" t="s">
        <v>2134</v>
      </c>
      <c r="B10" s="3051">
        <v>15</v>
      </c>
      <c r="C10" s="3144">
        <v>14</v>
      </c>
      <c r="D10" s="3144">
        <v>14</v>
      </c>
      <c r="E10" s="138" t="s">
        <v>2135</v>
      </c>
      <c r="F10" s="2425"/>
      <c r="G10" s="2425"/>
      <c r="H10" s="2425"/>
      <c r="I10" s="1829"/>
    </row>
    <row r="11" spans="1:12" ht="12.75" customHeight="1">
      <c r="A11" s="3126"/>
      <c r="B11" s="3051"/>
      <c r="C11" s="3146"/>
      <c r="D11" s="3146"/>
      <c r="E11" s="138" t="s">
        <v>2136</v>
      </c>
      <c r="F11" s="2425"/>
      <c r="G11" s="2425"/>
      <c r="H11" s="2425"/>
      <c r="I11" s="1829"/>
    </row>
    <row r="12" spans="1:12" ht="12.75" customHeight="1">
      <c r="A12" s="3126" t="s">
        <v>2137</v>
      </c>
      <c r="B12" s="3051">
        <v>15</v>
      </c>
      <c r="C12" s="3144">
        <v>14</v>
      </c>
      <c r="D12" s="3144">
        <v>14</v>
      </c>
      <c r="E12" s="138" t="s">
        <v>2138</v>
      </c>
      <c r="F12" s="2425"/>
      <c r="G12" s="2425"/>
      <c r="H12" s="2425"/>
      <c r="I12" s="1829"/>
    </row>
    <row r="13" spans="1:12" ht="12.75" customHeight="1">
      <c r="A13" s="3126"/>
      <c r="B13" s="3051"/>
      <c r="C13" s="3146"/>
      <c r="D13" s="3146"/>
      <c r="E13" s="138" t="s">
        <v>2139</v>
      </c>
      <c r="F13" s="2425"/>
      <c r="G13" s="2425"/>
      <c r="H13" s="2425"/>
      <c r="I13" s="1829"/>
    </row>
    <row r="14" spans="1:12" ht="12.75" customHeight="1">
      <c r="A14" s="3126" t="s">
        <v>2140</v>
      </c>
      <c r="B14" s="3051">
        <v>30</v>
      </c>
      <c r="C14" s="3144">
        <v>29</v>
      </c>
      <c r="D14" s="3144">
        <v>29</v>
      </c>
      <c r="E14" s="138" t="s">
        <v>2141</v>
      </c>
      <c r="F14" s="2425"/>
      <c r="G14" s="2425"/>
      <c r="H14" s="2425"/>
      <c r="I14" s="1829"/>
    </row>
    <row r="15" spans="1:12" ht="12.75" customHeight="1">
      <c r="A15" s="3126"/>
      <c r="B15" s="3051"/>
      <c r="C15" s="3145"/>
      <c r="D15" s="3145"/>
      <c r="E15" s="138" t="s">
        <v>2142</v>
      </c>
      <c r="F15" s="2425"/>
      <c r="G15" s="2425"/>
      <c r="H15" s="2425"/>
      <c r="I15" s="1829"/>
    </row>
    <row r="16" spans="1:12" ht="12.75" customHeight="1">
      <c r="A16" s="3126"/>
      <c r="B16" s="3051"/>
      <c r="C16" s="3146"/>
      <c r="D16" s="3146"/>
      <c r="E16" s="138" t="s">
        <v>2143</v>
      </c>
      <c r="F16" s="2425"/>
      <c r="G16" s="2425"/>
      <c r="H16" s="2425"/>
      <c r="I16" s="1829"/>
    </row>
    <row r="17" spans="1:35" ht="14.4">
      <c r="A17" s="2426" t="s">
        <v>2144</v>
      </c>
      <c r="B17" s="63"/>
      <c r="C17" s="139">
        <f>SUM(C5:C16)</f>
        <v>95</v>
      </c>
      <c r="D17" s="139">
        <f>SUM(D5:D16)</f>
        <v>95</v>
      </c>
      <c r="E17" s="136"/>
      <c r="F17" s="136"/>
      <c r="G17" s="136"/>
      <c r="H17" s="136"/>
      <c r="I17" s="136"/>
      <c r="K17" s="2424"/>
      <c r="L17" s="2427" t="s">
        <v>2145</v>
      </c>
      <c r="M17" s="2427" t="s">
        <v>2146</v>
      </c>
    </row>
    <row r="18" spans="1:35" ht="15" thickBot="1">
      <c r="A18" s="2428" t="s">
        <v>2147</v>
      </c>
      <c r="B18" s="2429"/>
      <c r="C18" s="140">
        <f>ROUND(C17/SUM(C17:D17),2)</f>
        <v>0.5</v>
      </c>
      <c r="D18" s="140">
        <f>1-C18</f>
        <v>0.5</v>
      </c>
      <c r="E18" s="136"/>
      <c r="F18" s="136"/>
      <c r="G18" s="136"/>
      <c r="H18" s="136"/>
      <c r="I18" s="136"/>
      <c r="K18" s="2424" t="s">
        <v>2148</v>
      </c>
      <c r="L18" s="2424">
        <f>IF(C1="",'数据-汇总表'!E3,SUMIF(项目类型,C1,'数据-汇总表'!E17:E26)+SUMIF(项目类型,C1,'数据-汇总表'!I17:I26))</f>
        <v>126370.20000000001</v>
      </c>
      <c r="M18" s="2424">
        <f>IF(C1="",'数据-汇总表'!E3,SUMIF(项目类型,C1,'数据-汇总表'!E17:E26))</f>
        <v>126370.20000000001</v>
      </c>
    </row>
    <row r="19" spans="1:35" ht="14.4">
      <c r="A19" s="2430" t="s">
        <v>2149</v>
      </c>
      <c r="B19" s="2431" t="s">
        <v>2150</v>
      </c>
      <c r="C19" s="141">
        <f ca="1">SUMIF(INDIRECT("'"&amp;C4&amp;"'"&amp;"!A:A"),结果表!B19,INDIRECT("'"&amp;C4&amp;"'"&amp;"!B:B"))</f>
        <v>256789</v>
      </c>
      <c r="D19" s="142">
        <f ca="1">SUMIF(INDIRECT("'"&amp;D4&amp;"'"&amp;"!A:A"),结果表!B19,INDIRECT("'"&amp;D4&amp;"'"&amp;"!B:B"))</f>
        <v>288630</v>
      </c>
      <c r="E19" s="2430" t="s">
        <v>2151</v>
      </c>
      <c r="F19" s="2431" t="s">
        <v>2150</v>
      </c>
      <c r="G19" s="143">
        <f ca="1">ROUND(C19*$C$18+D19*$D$18,0)</f>
        <v>272710</v>
      </c>
      <c r="H19" s="2432" t="s">
        <v>2152</v>
      </c>
      <c r="I19" s="136"/>
      <c r="K19" s="2424" t="s">
        <v>2153</v>
      </c>
      <c r="L19" s="2424">
        <f>IF(C1="",'数据-汇总表'!D3,SUMIF(项目类型,C1,'数据-汇总表'!D17:D26)+SUMIF(项目类型,C1,'数据-汇总表'!H17:H27))</f>
        <v>11023.92</v>
      </c>
      <c r="M19" s="2424">
        <f>IF(C1="",'数据-汇总表'!D3,SUMIF(项目类型,C1,'数据-汇总表'!D17:D26))</f>
        <v>11023.92</v>
      </c>
    </row>
    <row r="20" spans="1:35" ht="14.4">
      <c r="A20" s="2433"/>
      <c r="B20" s="1246" t="s">
        <v>2154</v>
      </c>
      <c r="C20" s="144">
        <f ca="1">SUMIF(INDIRECT("'"&amp;C4&amp;"'"&amp;"!A:A"),结果表!B20,INDIRECT("'"&amp;C4&amp;"'"&amp;"!B:B"))</f>
        <v>20320</v>
      </c>
      <c r="D20" s="145">
        <f ca="1">SUMIF(INDIRECT("'"&amp;D4&amp;"'"&amp;"!A:A"),结果表!B20,INDIRECT("'"&amp;D4&amp;"'"&amp;"!B:B"))</f>
        <v>22840</v>
      </c>
      <c r="E20" s="2433"/>
      <c r="F20" s="1246" t="s">
        <v>2154</v>
      </c>
      <c r="G20" s="146">
        <f ca="1">ROUND(C20*$C$18+D20*$D$18,0)</f>
        <v>21580</v>
      </c>
      <c r="H20" s="980" t="s">
        <v>2155</v>
      </c>
      <c r="I20" s="136"/>
    </row>
    <row r="21" spans="1:35" ht="15" customHeight="1" thickBot="1">
      <c r="A21" s="1000"/>
      <c r="B21" s="2434" t="s">
        <v>2156</v>
      </c>
      <c r="C21" s="787">
        <f ca="1">ROUND(C19*10000/L19,0)</f>
        <v>232938</v>
      </c>
      <c r="D21" s="788">
        <f ca="1">ROUND(D19*10000/L19,0)</f>
        <v>261822</v>
      </c>
      <c r="E21" s="1000"/>
      <c r="F21" s="2434" t="s">
        <v>2156</v>
      </c>
      <c r="G21" s="147">
        <f ca="1">ROUND(G19*10000/L19,0)</f>
        <v>247380</v>
      </c>
      <c r="H21" s="2435" t="s">
        <v>2155</v>
      </c>
      <c r="I21" s="136"/>
    </row>
    <row r="22" spans="1:35" ht="15" thickBot="1">
      <c r="A22" s="2279" t="s">
        <v>2157</v>
      </c>
      <c r="B22" s="2436"/>
      <c r="C22" s="2437"/>
      <c r="D22" s="789">
        <f ca="1">IF(C19&lt;D19,D19/C19-1,C19/D19-1)</f>
        <v>0.12399674440883368</v>
      </c>
      <c r="E22" s="136"/>
      <c r="F22" s="136"/>
      <c r="G22" s="136"/>
      <c r="H22" s="136"/>
      <c r="I22" s="136"/>
    </row>
    <row r="23" spans="1:35" ht="13.8" thickBot="1">
      <c r="A23" s="2414"/>
      <c r="B23" s="2414"/>
      <c r="C23" s="2414"/>
      <c r="D23" s="2414"/>
      <c r="E23" s="136"/>
      <c r="F23" s="136"/>
      <c r="G23" s="136"/>
      <c r="H23" s="136"/>
      <c r="I23" s="136"/>
    </row>
    <row r="24" spans="1:35" ht="14.4">
      <c r="A24" s="3164" t="s">
        <v>2158</v>
      </c>
      <c r="B24" s="2431" t="s">
        <v>2150</v>
      </c>
      <c r="C24" s="143">
        <f>IF(B30=0,0,D30)</f>
        <v>0</v>
      </c>
      <c r="D24" s="2438"/>
      <c r="E24" s="136"/>
      <c r="F24" s="136"/>
      <c r="G24" s="136"/>
      <c r="H24" s="136"/>
      <c r="I24" s="136"/>
    </row>
    <row r="25" spans="1:35" ht="14.4">
      <c r="A25" s="3165"/>
      <c r="B25" s="1246" t="s">
        <v>2154</v>
      </c>
      <c r="C25" s="148">
        <f>IF(B30=0,0,C30)</f>
        <v>0</v>
      </c>
      <c r="D25" s="2439"/>
      <c r="E25" s="136"/>
      <c r="F25" s="136"/>
      <c r="G25" s="136"/>
      <c r="H25" s="136"/>
      <c r="I25" s="136"/>
    </row>
    <row r="26" spans="1:35" ht="13.5" customHeight="1">
      <c r="A26" s="2440" t="s">
        <v>2159</v>
      </c>
      <c r="B26" s="149" t="s">
        <v>2160</v>
      </c>
      <c r="C26" s="149" t="s">
        <v>2161</v>
      </c>
      <c r="D26" s="150" t="s">
        <v>2162</v>
      </c>
      <c r="E26" s="136"/>
      <c r="F26" s="136"/>
      <c r="G26" s="136"/>
      <c r="H26" s="136"/>
      <c r="I26" s="136"/>
    </row>
    <row r="27" spans="1:35" ht="13.8">
      <c r="A27" s="2440"/>
      <c r="B27" s="149">
        <v>0</v>
      </c>
      <c r="C27" s="149">
        <v>0</v>
      </c>
      <c r="D27" s="150">
        <f>ROUND(C27*B27/10000,0)</f>
        <v>0</v>
      </c>
      <c r="E27" s="136"/>
      <c r="F27" s="136"/>
      <c r="G27" s="136"/>
      <c r="H27" s="136"/>
      <c r="I27" s="136"/>
    </row>
    <row r="28" spans="1:35" ht="13.8">
      <c r="A28" s="2440"/>
      <c r="B28" s="149"/>
      <c r="C28" s="149"/>
      <c r="D28" s="150"/>
      <c r="E28" s="136"/>
      <c r="F28" s="136"/>
      <c r="G28" s="136"/>
      <c r="H28" s="136"/>
      <c r="I28" s="136"/>
    </row>
    <row r="29" spans="1:35" ht="13.8">
      <c r="A29" s="2440"/>
      <c r="B29" s="149"/>
      <c r="C29" s="149"/>
      <c r="D29" s="150"/>
      <c r="E29" s="136"/>
      <c r="F29" s="136"/>
      <c r="G29" s="136"/>
      <c r="H29" s="136"/>
      <c r="I29" s="136"/>
    </row>
    <row r="30" spans="1:35" ht="14.4">
      <c r="A30" s="149" t="s">
        <v>2163</v>
      </c>
      <c r="B30" s="149"/>
      <c r="C30" s="149"/>
      <c r="D30" s="149"/>
      <c r="E30" s="2923" t="s">
        <v>3039</v>
      </c>
      <c r="F30" s="136"/>
      <c r="G30" s="136"/>
      <c r="H30" s="136"/>
      <c r="I30" s="136"/>
    </row>
    <row r="31" spans="1:35" s="2442" customFormat="1" ht="14.4"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 thickBot="1">
      <c r="A32" s="2443" t="s">
        <v>2164</v>
      </c>
      <c r="B32" s="2444"/>
      <c r="C32" s="151">
        <f ca="1">IF(D32="总价",G19-C24,G20-C25)</f>
        <v>272710</v>
      </c>
      <c r="D32" s="2445" t="s">
        <v>2165</v>
      </c>
      <c r="E32" s="136"/>
      <c r="F32" s="136"/>
      <c r="G32" s="136"/>
      <c r="H32" s="136"/>
      <c r="I32" s="136"/>
    </row>
    <row r="33" spans="1:15" ht="14.4">
      <c r="A33" s="957" t="s">
        <v>2166</v>
      </c>
      <c r="B33" s="2446"/>
      <c r="C33" s="2447" t="s">
        <v>3172</v>
      </c>
      <c r="D33" s="2448" t="s">
        <v>3148</v>
      </c>
      <c r="E33" s="2449" t="s">
        <v>2167</v>
      </c>
      <c r="F33" s="2450" t="str">
        <f>IF(D32="楼面单价","取值（单价）","取值（总价）")</f>
        <v>取值（总价）</v>
      </c>
      <c r="G33" s="136"/>
      <c r="H33" s="136"/>
      <c r="I33" s="136"/>
    </row>
    <row r="34" spans="1:15" ht="14.4">
      <c r="A34" s="2451"/>
      <c r="B34" s="2452" t="s">
        <v>2168</v>
      </c>
      <c r="C34" s="155">
        <f ca="1">IF(C33="自定义",F34,C32-C35)</f>
        <v>264801</v>
      </c>
      <c r="D34" s="1055">
        <f ca="1">IF(C33="自定义",ROUND(C34/C32,3),IF(C33="收益比率",SUMIF(INDIRECT("'"&amp;D33&amp;"'"&amp;"!b:b"),"土地收益比率",INDIRECT("'"&amp;D33&amp;"'"&amp;"!c:c")),SUMIF(INDIRECT("'"&amp;D33&amp;"'"&amp;"!b:b"),"土地成本比率",INDIRECT("'"&amp;D33&amp;"'"&amp;"!c:c"))))</f>
        <v>0.97099999999999997</v>
      </c>
      <c r="E34" s="2453" t="s">
        <v>2169</v>
      </c>
      <c r="F34" s="1734"/>
      <c r="G34" s="136"/>
      <c r="H34" s="136"/>
      <c r="I34" s="136"/>
    </row>
    <row r="35" spans="1:15" ht="15" thickBot="1">
      <c r="A35" s="2454"/>
      <c r="B35" s="2455" t="s">
        <v>2170</v>
      </c>
      <c r="C35" s="1440">
        <f ca="1">IF(C33="自定义",F35,ROUND(C32*D35,0))</f>
        <v>7909</v>
      </c>
      <c r="D35" s="1441">
        <f ca="1">IF(C33="自定义",ROUND(C35/C32,3),IF(C33="收益比率",SUMIF(INDIRECT("'"&amp;D33&amp;"'"&amp;"!b:b"),"建筑物收益比率",INDIRECT("'"&amp;D33&amp;"'"&amp;"!c:c")),SUMIF(INDIRECT("'"&amp;D33&amp;"'"&amp;"!b:b"),"建筑物成本比率",INDIRECT("'"&amp;D33&amp;"'"&amp;"!c:c"))))</f>
        <v>2.9000000000000001E-2</v>
      </c>
      <c r="E35" s="2456" t="s">
        <v>2171</v>
      </c>
      <c r="F35" s="161"/>
      <c r="G35" s="136"/>
      <c r="H35" s="136"/>
      <c r="I35" s="136"/>
    </row>
    <row r="36" spans="1:15" ht="15" thickBot="1">
      <c r="A36" s="3147" t="s">
        <v>2172</v>
      </c>
      <c r="B36" s="2457" t="s">
        <v>2173</v>
      </c>
      <c r="C36" s="152"/>
      <c r="D36" s="2458"/>
      <c r="E36" s="2459"/>
      <c r="F36" s="2460"/>
      <c r="G36" s="136"/>
      <c r="H36" s="136"/>
      <c r="I36" s="136"/>
    </row>
    <row r="37" spans="1:15" ht="15" thickBot="1">
      <c r="A37" s="3148"/>
      <c r="B37" s="2265" t="s">
        <v>2174</v>
      </c>
      <c r="C37" s="154"/>
      <c r="D37" s="1391"/>
      <c r="E37" s="1391"/>
      <c r="F37" s="2460"/>
      <c r="G37" s="136"/>
      <c r="H37" s="136"/>
      <c r="I37" s="136"/>
    </row>
    <row r="38" spans="1:15" ht="15" thickBot="1">
      <c r="A38" s="3149"/>
      <c r="B38" s="2461" t="s">
        <v>2175</v>
      </c>
      <c r="C38" s="725"/>
      <c r="D38" s="2462" t="s">
        <v>2176</v>
      </c>
      <c r="E38" s="1391"/>
      <c r="F38" s="2460"/>
      <c r="G38" s="136"/>
      <c r="H38" s="136"/>
      <c r="I38" s="136"/>
    </row>
    <row r="39" spans="1:15" ht="14.4">
      <c r="A39" s="2433" t="s">
        <v>2177</v>
      </c>
      <c r="B39" s="2463" t="s">
        <v>2178</v>
      </c>
      <c r="C39" s="2464" t="s">
        <v>2179</v>
      </c>
      <c r="D39" s="2464" t="s">
        <v>2180</v>
      </c>
      <c r="E39" s="2465" t="s">
        <v>2181</v>
      </c>
      <c r="F39" s="2460"/>
      <c r="G39" s="136"/>
      <c r="H39" s="136"/>
      <c r="I39" s="136"/>
    </row>
    <row r="40" spans="1:15" ht="13.8">
      <c r="A40" s="2466" t="s">
        <v>2182</v>
      </c>
      <c r="B40" s="156"/>
      <c r="C40" s="157"/>
      <c r="D40" s="157"/>
      <c r="E40" s="158"/>
      <c r="F40" s="2460"/>
      <c r="G40" s="136"/>
      <c r="H40" s="136"/>
      <c r="I40" s="136"/>
    </row>
    <row r="41" spans="1:15" ht="13.8">
      <c r="A41" s="2466" t="s">
        <v>2183</v>
      </c>
      <c r="B41" s="156"/>
      <c r="C41" s="157"/>
      <c r="D41" s="157"/>
      <c r="E41" s="158"/>
      <c r="F41" s="2460"/>
      <c r="G41" s="136"/>
      <c r="H41" s="136"/>
      <c r="I41" s="136"/>
    </row>
    <row r="42" spans="1:15" ht="14.4" thickBot="1">
      <c r="A42" s="2467"/>
      <c r="B42" s="159"/>
      <c r="C42" s="160"/>
      <c r="D42" s="160"/>
      <c r="E42" s="161"/>
      <c r="F42" s="2460"/>
      <c r="G42" s="136"/>
      <c r="H42" s="136"/>
      <c r="I42" s="136"/>
    </row>
    <row r="43" spans="1:15" ht="13.2">
      <c r="A43" s="2164"/>
      <c r="B43" s="2164"/>
      <c r="C43" s="2164"/>
      <c r="D43" s="2164"/>
      <c r="E43" s="2164"/>
      <c r="F43" s="2468"/>
      <c r="G43" s="2468"/>
      <c r="H43" s="2468"/>
      <c r="I43" s="2469"/>
    </row>
    <row r="44" spans="1:15" ht="17.399999999999999" hidden="1">
      <c r="A44" s="2470" t="s">
        <v>2184</v>
      </c>
      <c r="B44" s="2471"/>
      <c r="C44" s="2471"/>
      <c r="D44" s="2472"/>
      <c r="E44" s="2472"/>
      <c r="F44" s="2473"/>
      <c r="G44" s="2473"/>
      <c r="H44" s="2473"/>
      <c r="I44" s="2473"/>
      <c r="J44" s="2474" t="s">
        <v>2185</v>
      </c>
      <c r="K44" s="2475"/>
      <c r="L44" s="2475"/>
      <c r="M44" s="2475"/>
      <c r="N44" s="2475"/>
      <c r="O44" s="2475"/>
    </row>
    <row r="45" spans="1:15" ht="14.25" hidden="1" customHeight="1" thickBot="1">
      <c r="A45" s="3161" t="s">
        <v>2186</v>
      </c>
      <c r="B45" s="3162"/>
      <c r="C45" s="3163"/>
      <c r="D45" s="162">
        <f ca="1">ROUND(H101*F45,0)</f>
        <v>272710</v>
      </c>
      <c r="E45" s="163" t="s">
        <v>2187</v>
      </c>
      <c r="F45" s="164">
        <v>1</v>
      </c>
      <c r="G45" s="165" t="s">
        <v>2188</v>
      </c>
      <c r="H45" s="136"/>
      <c r="I45" s="136"/>
      <c r="J45" s="3081" t="s">
        <v>2189</v>
      </c>
      <c r="K45" s="3081"/>
      <c r="L45" s="3081"/>
      <c r="M45" s="3081"/>
      <c r="N45" s="3081"/>
      <c r="O45" s="3081"/>
    </row>
    <row r="46" spans="1:15" ht="14.25" hidden="1" customHeight="1">
      <c r="A46" s="3158" t="s">
        <v>2190</v>
      </c>
      <c r="B46" s="3159"/>
      <c r="C46" s="3159"/>
      <c r="D46" s="3159"/>
      <c r="E46" s="3159"/>
      <c r="F46" s="3159"/>
      <c r="G46" s="3160"/>
      <c r="H46" s="2476"/>
      <c r="I46" s="166"/>
      <c r="J46" s="1807">
        <v>1</v>
      </c>
      <c r="K46" s="3081" t="s">
        <v>2191</v>
      </c>
      <c r="L46" s="3081"/>
      <c r="M46" s="3082"/>
      <c r="N46" s="3082"/>
      <c r="O46" s="3082"/>
    </row>
    <row r="47" spans="1:15" ht="12" hidden="1" customHeight="1">
      <c r="A47" s="167" t="s">
        <v>2192</v>
      </c>
      <c r="B47" s="168"/>
      <c r="C47" s="169"/>
      <c r="D47" s="170" t="s">
        <v>2193</v>
      </c>
      <c r="E47" s="23" t="s">
        <v>2194</v>
      </c>
      <c r="F47" s="171" t="s">
        <v>2195</v>
      </c>
      <c r="G47" s="172" t="s">
        <v>2196</v>
      </c>
      <c r="H47" s="2476"/>
      <c r="I47" s="166"/>
      <c r="J47" s="1807">
        <v>2</v>
      </c>
      <c r="K47" s="3081" t="s">
        <v>2197</v>
      </c>
      <c r="L47" s="3081"/>
      <c r="M47" s="3083">
        <f>'数据-取费表'!B2</f>
        <v>43332</v>
      </c>
      <c r="N47" s="3083"/>
      <c r="O47" s="3083"/>
    </row>
    <row r="48" spans="1:15" ht="26.4" hidden="1">
      <c r="A48" s="3151" t="s">
        <v>2198</v>
      </c>
      <c r="B48" s="3152"/>
      <c r="C48" s="3152"/>
      <c r="D48" s="138">
        <f>IF(H48="情况1",0,IF(H48="情况2",D52,IF(H48="情况3",D53,IF(H48="情况4",D54))))</f>
        <v>0</v>
      </c>
      <c r="E48" s="1796" t="str">
        <f>IF(H48="情况4","(销售额-原购置价)×税（费）率","销售额×税（费）率")</f>
        <v>销售额×税（费）率</v>
      </c>
      <c r="F48" s="173" t="str">
        <f>IF(H48="情况1","免征",'数据-取费表'!B41)</f>
        <v>免征</v>
      </c>
      <c r="G48" s="2477" t="s">
        <v>2199</v>
      </c>
      <c r="H48" s="2478" t="s">
        <v>2200</v>
      </c>
      <c r="I48" s="2476"/>
      <c r="J48" s="1807">
        <v>3</v>
      </c>
      <c r="K48" s="3081" t="s">
        <v>2201</v>
      </c>
      <c r="L48" s="3081"/>
      <c r="M48" s="3084">
        <f ca="1">H101</f>
        <v>272710</v>
      </c>
      <c r="N48" s="3084"/>
      <c r="O48" s="3084"/>
    </row>
    <row r="49" spans="1:35" ht="25.5" hidden="1" customHeight="1">
      <c r="A49" s="174" t="s">
        <v>2202</v>
      </c>
      <c r="B49" s="3129" t="s">
        <v>2203</v>
      </c>
      <c r="C49" s="3129"/>
      <c r="D49" s="175">
        <v>0</v>
      </c>
      <c r="E49" s="22" t="s">
        <v>2204</v>
      </c>
      <c r="F49" s="27" t="s">
        <v>34</v>
      </c>
      <c r="G49" s="3110"/>
      <c r="H49" s="136"/>
      <c r="I49" s="2479"/>
      <c r="J49" s="1807">
        <v>4</v>
      </c>
      <c r="K49" s="3081" t="str">
        <f>IF(项目基本情况!E8="房地产抵押价值","房地产抵押价值","抵押担保权已注销时的房地产抵押价值")</f>
        <v>房地产抵押价值</v>
      </c>
      <c r="L49" s="3081"/>
      <c r="M49" s="3084">
        <f ca="1">IF(项目基本情况!E8="房地产抵押价值",H107,H109)</f>
        <v>272710</v>
      </c>
      <c r="N49" s="3084"/>
      <c r="O49" s="3084"/>
    </row>
    <row r="50" spans="1:35" ht="25.5" hidden="1" customHeight="1">
      <c r="A50" s="176"/>
      <c r="B50" s="3129" t="s">
        <v>2205</v>
      </c>
      <c r="C50" s="3129"/>
      <c r="D50" s="177"/>
      <c r="E50" s="30"/>
      <c r="F50" s="178"/>
      <c r="G50" s="3111"/>
      <c r="H50" s="136"/>
      <c r="I50" s="2479"/>
      <c r="J50" s="3081" t="s">
        <v>2206</v>
      </c>
      <c r="K50" s="3081"/>
      <c r="L50" s="3081"/>
      <c r="M50" s="3081"/>
      <c r="N50" s="3081"/>
      <c r="O50" s="3081"/>
    </row>
    <row r="51" spans="1:35" ht="12" hidden="1" customHeight="1">
      <c r="A51" s="179"/>
      <c r="B51" s="3129" t="s">
        <v>2207</v>
      </c>
      <c r="C51" s="3129"/>
      <c r="D51" s="180"/>
      <c r="E51" s="29"/>
      <c r="F51" s="178"/>
      <c r="G51" s="3112"/>
      <c r="H51" s="136"/>
      <c r="I51" s="2479"/>
      <c r="J51" s="2480" t="s">
        <v>2208</v>
      </c>
      <c r="K51" s="3081" t="s">
        <v>2209</v>
      </c>
      <c r="L51" s="3081"/>
      <c r="M51" s="2480" t="s">
        <v>2210</v>
      </c>
      <c r="N51" s="2480" t="s">
        <v>2211</v>
      </c>
      <c r="O51" s="2480" t="s">
        <v>2212</v>
      </c>
    </row>
    <row r="52" spans="1:35" ht="24" hidden="1" customHeight="1">
      <c r="A52" s="181" t="s">
        <v>2213</v>
      </c>
      <c r="B52" s="3129" t="s">
        <v>2214</v>
      </c>
      <c r="C52" s="3129"/>
      <c r="D52" s="180">
        <f ca="1">ROUND(D45*'数据-取费表'!B41/(1+'数据-取费表'!C42),0)</f>
        <v>14285</v>
      </c>
      <c r="E52" s="11" t="s">
        <v>2215</v>
      </c>
      <c r="F52" s="182">
        <f>'数据-取费表'!B41</f>
        <v>5.5000000000000007E-2</v>
      </c>
      <c r="G52" s="2481"/>
      <c r="H52" s="136"/>
      <c r="I52" s="2479"/>
      <c r="J52" s="1807">
        <v>1</v>
      </c>
      <c r="K52" s="3104" t="s">
        <v>2216</v>
      </c>
      <c r="L52" s="3104"/>
      <c r="M52" s="1749">
        <f>D48</f>
        <v>0</v>
      </c>
      <c r="N52" s="1807" t="str">
        <f>E48</f>
        <v>销售额×税（费）率</v>
      </c>
      <c r="O52" s="1750" t="str">
        <f>F48</f>
        <v>免征</v>
      </c>
    </row>
    <row r="53" spans="1:35" ht="12" hidden="1" customHeight="1">
      <c r="A53" s="181" t="s">
        <v>2217</v>
      </c>
      <c r="B53" s="3130" t="s">
        <v>2218</v>
      </c>
      <c r="C53" s="3131"/>
      <c r="D53" s="180">
        <f ca="1">ROUND(D45*'数据-取费表'!B41/(1+'数据-取费表'!C42),0)</f>
        <v>14285</v>
      </c>
      <c r="E53" s="11" t="s">
        <v>2215</v>
      </c>
      <c r="F53" s="182">
        <f>'数据-取费表'!B41</f>
        <v>5.5000000000000007E-2</v>
      </c>
      <c r="G53" s="2481"/>
      <c r="H53" s="136"/>
      <c r="I53" s="2479"/>
      <c r="J53" s="1807">
        <v>2</v>
      </c>
      <c r="K53" s="3104" t="s">
        <v>2219</v>
      </c>
      <c r="L53" s="3104"/>
      <c r="M53" s="1749">
        <f t="shared" ref="M53:O54" ca="1" si="0">D55</f>
        <v>136</v>
      </c>
      <c r="N53" s="1807" t="str">
        <f t="shared" si="0"/>
        <v>销售额×税（费）率</v>
      </c>
      <c r="O53" s="1750">
        <f t="shared" si="0"/>
        <v>5.0000000000000001E-4</v>
      </c>
    </row>
    <row r="54" spans="1:35" ht="12" hidden="1" customHeight="1">
      <c r="A54" s="181" t="s">
        <v>2220</v>
      </c>
      <c r="B54" s="3130" t="s">
        <v>2221</v>
      </c>
      <c r="C54" s="3131"/>
      <c r="D54" s="180">
        <f ca="1">C68</f>
        <v>14285</v>
      </c>
      <c r="E54" s="29" t="s">
        <v>2222</v>
      </c>
      <c r="F54" s="182">
        <f>'数据-取费表'!B41</f>
        <v>5.5000000000000007E-2</v>
      </c>
      <c r="G54" s="2481"/>
      <c r="H54" s="2482"/>
      <c r="I54" s="2479"/>
      <c r="J54" s="1807">
        <v>3</v>
      </c>
      <c r="K54" s="3104" t="s">
        <v>2223</v>
      </c>
      <c r="L54" s="3104"/>
      <c r="M54" s="1749">
        <f t="shared" ca="1" si="0"/>
        <v>154600</v>
      </c>
      <c r="N54" s="1807" t="str">
        <f t="shared" si="0"/>
        <v>增值额×税（费）率</v>
      </c>
      <c r="O54" s="1751" t="str">
        <f t="shared" si="0"/>
        <v>——</v>
      </c>
    </row>
    <row r="55" spans="1:35" ht="24" hidden="1" customHeight="1">
      <c r="A55" s="3167" t="s">
        <v>2224</v>
      </c>
      <c r="B55" s="3152"/>
      <c r="C55" s="3152"/>
      <c r="D55" s="183">
        <f ca="1">IF(H55="个人住宅",0,ROUND(D45*I55,0))</f>
        <v>136</v>
      </c>
      <c r="E55" s="11" t="s">
        <v>2225</v>
      </c>
      <c r="F55" s="182">
        <f>IF(H55="正常",I55,"免征")</f>
        <v>5.0000000000000001E-4</v>
      </c>
      <c r="G55" s="2481"/>
      <c r="H55" s="2478" t="s">
        <v>2226</v>
      </c>
      <c r="I55" s="184">
        <f>'数据-取费表'!B49</f>
        <v>5.0000000000000001E-4</v>
      </c>
      <c r="J55" s="1807" t="str">
        <f>IF(H59="非个人房产","",4)</f>
        <v/>
      </c>
      <c r="K55" s="3104" t="str">
        <f>IF(H59="非个人房产","——","个人所得税")</f>
        <v>——</v>
      </c>
      <c r="L55" s="3104"/>
      <c r="M55" s="1752" t="str">
        <f>D59</f>
        <v>——</v>
      </c>
      <c r="N55" s="1805" t="str">
        <f>E59</f>
        <v>——</v>
      </c>
      <c r="O55" s="1753" t="str">
        <f>F59</f>
        <v>——</v>
      </c>
    </row>
    <row r="56" spans="1:35" ht="25.2" hidden="1">
      <c r="A56" s="3167" t="s">
        <v>2227</v>
      </c>
      <c r="B56" s="3152"/>
      <c r="C56" s="3152"/>
      <c r="D56" s="183">
        <f ca="1">IF(H56="个人住宅",D57,D58)</f>
        <v>154600</v>
      </c>
      <c r="E56" s="11" t="s">
        <v>2228</v>
      </c>
      <c r="F56" s="182" t="str">
        <f>IF(H56="正常",F58,"免征")</f>
        <v>——</v>
      </c>
      <c r="G56" s="2483" t="s">
        <v>2229</v>
      </c>
      <c r="H56" s="2484" t="s">
        <v>2226</v>
      </c>
      <c r="I56" s="2485"/>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3.2" hidden="1">
      <c r="A57" s="181" t="s">
        <v>2202</v>
      </c>
      <c r="B57" s="3135" t="s">
        <v>2230</v>
      </c>
      <c r="C57" s="3136"/>
      <c r="D57" s="185">
        <v>0</v>
      </c>
      <c r="E57" s="22" t="s">
        <v>2204</v>
      </c>
      <c r="F57" s="153"/>
      <c r="G57" s="2481"/>
      <c r="H57" s="2485"/>
      <c r="I57" s="2485"/>
      <c r="J57" s="3104">
        <f>IF(AND(J55="",J56=""),4,IF(项目基本情况!K6="上海银行",结果表!J56+1,结果表!J55+1))</f>
        <v>4</v>
      </c>
      <c r="K57" s="3104" t="s">
        <v>2231</v>
      </c>
      <c r="L57" s="2486" t="s">
        <v>2232</v>
      </c>
      <c r="M57" s="1754"/>
      <c r="N57" s="1755">
        <f ca="1">SUMIF(M52:M56,"&lt;9e307")</f>
        <v>154736</v>
      </c>
      <c r="O57" s="2487"/>
      <c r="P57" s="1748">
        <f ca="1">N57/M49</f>
        <v>0.56740126874702068</v>
      </c>
    </row>
    <row r="58" spans="1:35" ht="25.2" hidden="1">
      <c r="A58" s="181" t="s">
        <v>2213</v>
      </c>
      <c r="B58" s="3135" t="s">
        <v>2233</v>
      </c>
      <c r="C58" s="3150"/>
      <c r="D58" s="183">
        <f ca="1">IF(H58="转让取得",C81,C97)</f>
        <v>154600</v>
      </c>
      <c r="E58" s="11" t="s">
        <v>2228</v>
      </c>
      <c r="F58" s="23" t="s">
        <v>34</v>
      </c>
      <c r="G58" s="2481"/>
      <c r="H58" s="2484" t="s">
        <v>2234</v>
      </c>
      <c r="I58" s="2485"/>
      <c r="J58" s="3104"/>
      <c r="K58" s="3104"/>
      <c r="L58" s="2486" t="s">
        <v>2235</v>
      </c>
      <c r="M58" s="1756"/>
      <c r="N58" s="2488" t="str">
        <f ca="1">NUMBERSTRING(INT(N57*10000),2)&amp;"元整"</f>
        <v>壹拾伍亿肆仟柒佰叁拾陆万元整</v>
      </c>
      <c r="O58" s="2489"/>
    </row>
    <row r="59" spans="1:35" ht="24.6" hidden="1" thickBot="1">
      <c r="A59" s="3108" t="s">
        <v>2236</v>
      </c>
      <c r="B59" s="3109"/>
      <c r="C59" s="3109"/>
      <c r="D59" s="186" t="str">
        <f>IF(H59="非个人房产","——",IF(H59="个人住宅",0,ROUND(D45*I59,0)))</f>
        <v>——</v>
      </c>
      <c r="E59" s="187" t="str">
        <f>IF(H59="非个人房产","——","销售额×税（费）率")</f>
        <v>——</v>
      </c>
      <c r="F59" s="188" t="str">
        <f>IF(H59="非个人房产","——",IF(H59="个人住宅","免征",I59))</f>
        <v>——</v>
      </c>
      <c r="G59" s="2490" t="s">
        <v>2229</v>
      </c>
      <c r="H59" s="2484" t="s">
        <v>2237</v>
      </c>
      <c r="I59" s="189">
        <v>0.01</v>
      </c>
      <c r="J59" s="3106">
        <f>J57+1</f>
        <v>5</v>
      </c>
      <c r="K59" s="3104" t="s">
        <v>2238</v>
      </c>
      <c r="L59" s="1807" t="s">
        <v>2232</v>
      </c>
      <c r="M59" s="1757"/>
      <c r="N59" s="1758">
        <f ca="1">M49-N57</f>
        <v>117974</v>
      </c>
      <c r="O59" s="2491"/>
    </row>
    <row r="60" spans="1:35" ht="12" hidden="1" customHeight="1">
      <c r="A60" s="2492"/>
      <c r="B60" s="2414"/>
      <c r="C60" s="2414"/>
      <c r="D60" s="2414"/>
      <c r="E60" s="2165"/>
      <c r="F60" s="2485"/>
      <c r="G60" s="2485"/>
      <c r="H60" s="2493"/>
      <c r="I60" s="136"/>
      <c r="J60" s="3107"/>
      <c r="K60" s="3104"/>
      <c r="L60" s="2486" t="s">
        <v>2235</v>
      </c>
      <c r="M60" s="1756"/>
      <c r="N60" s="2488" t="str">
        <f ca="1">NUMBERSTRING(INT(N59*10000),2)&amp;"元整"</f>
        <v>壹拾壹亿柒仟玖佰柒拾肆万元整</v>
      </c>
      <c r="O60" s="2489"/>
    </row>
    <row r="61" spans="1:35" ht="13.8" hidden="1" thickBot="1">
      <c r="A61" s="3166" t="s">
        <v>2239</v>
      </c>
      <c r="B61" s="3166"/>
      <c r="C61" s="3166"/>
      <c r="D61" s="3166"/>
      <c r="E61" s="3166"/>
      <c r="F61" s="2485"/>
      <c r="G61" s="2485"/>
      <c r="H61" s="2493"/>
      <c r="I61" s="136"/>
      <c r="J61" s="1807">
        <f>J59+1</f>
        <v>6</v>
      </c>
      <c r="K61" s="3104" t="s">
        <v>2240</v>
      </c>
      <c r="L61" s="3104"/>
      <c r="M61" s="1759"/>
      <c r="N61" s="1760">
        <f ca="1">ROUND(N59*10000/'数据-汇总表'!E3,0)</f>
        <v>9336</v>
      </c>
      <c r="O61" s="2494"/>
    </row>
    <row r="62" spans="1:35" ht="13.2" hidden="1">
      <c r="A62" s="3124" t="s">
        <v>2241</v>
      </c>
      <c r="B62" s="3125"/>
      <c r="C62" s="1799"/>
      <c r="D62" s="1799" t="s">
        <v>2242</v>
      </c>
      <c r="E62" s="190" t="s">
        <v>2243</v>
      </c>
      <c r="F62" s="2485"/>
      <c r="G62" s="2485"/>
      <c r="H62" s="2493"/>
      <c r="I62" s="136"/>
    </row>
    <row r="63" spans="1:35" ht="13.2" hidden="1">
      <c r="A63" s="201" t="s">
        <v>775</v>
      </c>
      <c r="B63" s="191" t="s">
        <v>2244</v>
      </c>
      <c r="C63" s="192">
        <f ca="1">ROUND((C64+C65)/(1+'数据-取费表'!C42),0)</f>
        <v>259724</v>
      </c>
      <c r="D63" s="193"/>
      <c r="E63" s="194"/>
      <c r="F63" s="2485"/>
      <c r="G63" s="2485"/>
      <c r="H63" s="2493"/>
      <c r="I63" s="136"/>
      <c r="J63" s="3089" t="s">
        <v>2245</v>
      </c>
      <c r="K63" s="2495" t="s">
        <v>2246</v>
      </c>
      <c r="L63" s="1747">
        <f ca="1">IF(M49&gt;10000,M49*0.5%,IF(AND(M49&gt;1000,M49&lt;=10000),M49*1%,IF(AND(M49&gt;100,M49&lt;=1000),M49*3%,IF(AND(M49&gt;10,M49&lt;=100),M49*5%,M49*8%))))</f>
        <v>1363.55</v>
      </c>
      <c r="M63" s="23">
        <f ca="1">ROUND(L63,1)</f>
        <v>1363.6</v>
      </c>
      <c r="Z63" s="2419"/>
      <c r="AI63" s="2420"/>
    </row>
    <row r="64" spans="1:35" ht="14.25" hidden="1" customHeight="1">
      <c r="A64" s="195" t="s">
        <v>770</v>
      </c>
      <c r="B64" s="196" t="s">
        <v>2247</v>
      </c>
      <c r="C64" s="197">
        <f ca="1">D45</f>
        <v>272710</v>
      </c>
      <c r="D64" s="198" t="s">
        <v>32</v>
      </c>
      <c r="E64" s="199"/>
      <c r="F64" s="2485"/>
      <c r="G64" s="2485"/>
      <c r="H64" s="2493"/>
      <c r="I64" s="136"/>
      <c r="J64" s="3089"/>
      <c r="K64" s="2495" t="s">
        <v>2248</v>
      </c>
      <c r="L64" s="1747">
        <f ca="1">IF(M49&gt;2000,M49*0.5%,IF(AND(M49&gt;1000,M49&lt;=2000),M49*0.6%,IF(AND(M49&gt;500,M49&lt;=1000),M49*0.7%,IF(AND(M49&gt;200,M49&lt;=500),M49*0.8%,IF(AND(M49&gt;100,M49&lt;=200),M49*0.9%,IF(AND(M49&gt;50,M49&lt;=100),M49*1%,IF(AND(M49&gt;20,M49&lt;=50),M49*1.5%,IF(AND(M49&gt;10,M49&lt;=20),M49*2%,IF(AND(M49&gt;1,M49&lt;=10),M49*2.5%)))))))))</f>
        <v>1363.55</v>
      </c>
      <c r="M64" s="23">
        <f t="shared" ref="M64:M65" ca="1" si="1">ROUND(L64,1)</f>
        <v>1363.6</v>
      </c>
      <c r="N64" s="136" t="s">
        <v>2249</v>
      </c>
      <c r="Z64" s="2419"/>
      <c r="AI64" s="2420"/>
    </row>
    <row r="65" spans="1:35" ht="14.25" hidden="1" customHeight="1">
      <c r="A65" s="195" t="s">
        <v>771</v>
      </c>
      <c r="B65" s="196" t="s">
        <v>2250</v>
      </c>
      <c r="C65" s="200"/>
      <c r="D65" s="198"/>
      <c r="E65" s="199"/>
      <c r="F65" s="2485"/>
      <c r="G65" s="2485"/>
      <c r="H65" s="2493"/>
      <c r="I65" s="136"/>
      <c r="J65" s="3089"/>
      <c r="K65" s="2495" t="s">
        <v>2251</v>
      </c>
      <c r="L65" s="1747">
        <f ca="1">IF(M49&gt;1000,M49*0.1%,IF(AND(M49&gt;500,M49&lt;=1000),M49*0.5%,IF(AND(M49&gt;50,M49&lt;=500),M49*1%,IF(AND(M49&gt;1,M49&lt;=50),M49*1.5%))))</f>
        <v>272.70999999999998</v>
      </c>
      <c r="M65" s="23">
        <f t="shared" ca="1" si="1"/>
        <v>272.7</v>
      </c>
      <c r="N65" s="136" t="s">
        <v>2249</v>
      </c>
      <c r="Z65" s="2419"/>
      <c r="AI65" s="2420"/>
    </row>
    <row r="66" spans="1:35" ht="14.25" hidden="1" customHeight="1">
      <c r="A66" s="201" t="s">
        <v>772</v>
      </c>
      <c r="B66" s="202" t="s">
        <v>2252</v>
      </c>
      <c r="C66" s="203"/>
      <c r="D66" s="204" t="s">
        <v>32</v>
      </c>
      <c r="E66" s="1771" t="s">
        <v>1371</v>
      </c>
      <c r="F66" s="2485"/>
      <c r="G66" s="2485"/>
      <c r="H66" s="2493"/>
      <c r="I66" s="136"/>
      <c r="J66" s="3089"/>
      <c r="K66" s="2495" t="s">
        <v>2253</v>
      </c>
      <c r="L66" s="1747">
        <f ca="1">M49*0.5%</f>
        <v>1363.55</v>
      </c>
      <c r="M66" s="23">
        <f ca="1">IF(L66&gt;0.5,0.5,ROUND(L66,0))</f>
        <v>0.5</v>
      </c>
      <c r="N66" s="136" t="s">
        <v>2254</v>
      </c>
      <c r="Z66" s="2419"/>
      <c r="AI66" s="2420"/>
    </row>
    <row r="67" spans="1:35" ht="14.25" hidden="1" customHeight="1">
      <c r="A67" s="201" t="s">
        <v>773</v>
      </c>
      <c r="B67" s="202" t="s">
        <v>2255</v>
      </c>
      <c r="C67" s="205">
        <f ca="1">C63-C66</f>
        <v>259724</v>
      </c>
      <c r="D67" s="198" t="s">
        <v>32</v>
      </c>
      <c r="E67" s="199"/>
      <c r="F67" s="2485"/>
      <c r="G67" s="2485"/>
      <c r="H67" s="2493"/>
      <c r="I67" s="136"/>
      <c r="J67" s="3089"/>
      <c r="K67" s="2495" t="s">
        <v>2256</v>
      </c>
      <c r="L67" s="1747">
        <f ca="1">IF(M49&gt;=10000,(8.25+(M49-10000)*0.01%),IF(AND(M49&gt;=8000,M49&lt;10000),(7.85+(M49-8000)*0.02%),IF(AND(M49&gt;=5000,M49&lt;8000),(6.65+(M49-5000)*0.04%),IF(AND(M49&gt;=2000,M49&lt;5000),(4.25+(PM49-2000)*0.08%),IF(AND(M49&gt;=1000,M49&lt;2000),(2.75+(M49-1000)*0.15%),IF(AND(M49&gt;=100,M49&lt;1000),(0.5+(M49-100)*0.25%),IF(AND(M49&gt;0,M49&lt;100),M49*0.5%)))))))</f>
        <v>34.521000000000001</v>
      </c>
      <c r="M67" s="23">
        <f ca="1">ROUND(L67*0.9,1)</f>
        <v>31.1</v>
      </c>
      <c r="Z67" s="2419"/>
      <c r="AI67" s="2420"/>
    </row>
    <row r="68" spans="1:35" ht="14.25" hidden="1" customHeight="1" thickBot="1">
      <c r="A68" s="206" t="s">
        <v>774</v>
      </c>
      <c r="B68" s="207" t="s">
        <v>2257</v>
      </c>
      <c r="C68" s="208">
        <f ca="1">IF(C67&lt;=0,0,ROUND(C67*D68,0))</f>
        <v>14285</v>
      </c>
      <c r="D68" s="209">
        <f>'数据-取费表'!B41</f>
        <v>5.5000000000000007E-2</v>
      </c>
      <c r="E68" s="210"/>
      <c r="F68" s="2485"/>
      <c r="G68" s="2485"/>
      <c r="H68" s="2493"/>
      <c r="I68" s="136"/>
      <c r="J68" s="3089"/>
      <c r="K68" s="2495" t="s">
        <v>2258</v>
      </c>
      <c r="L68" s="1747">
        <f ca="1">IF(M49&gt;10000,M49*0.5%,IF(AND(M49&gt;5000,M49&lt;=10000),M49*1%,IF(AND(M49&gt;1000,M49&lt;=5000),M49*2%,IF(AND(M49&gt;200,M49&lt;=1000),M49*3%,M49*5%))))</f>
        <v>1363.55</v>
      </c>
      <c r="M68" s="23">
        <f ca="1">ROUND(L68,1)</f>
        <v>1363.6</v>
      </c>
      <c r="Z68" s="2419"/>
      <c r="AI68" s="2420"/>
    </row>
    <row r="69" spans="1:35" s="2442" customFormat="1" ht="16.5" hidden="1" customHeight="1">
      <c r="A69" s="2496"/>
      <c r="B69" s="2497"/>
      <c r="C69" s="2498"/>
      <c r="D69" s="2499"/>
      <c r="E69" s="2500"/>
      <c r="F69" s="2165"/>
      <c r="G69" s="2165"/>
      <c r="H69" s="2164"/>
      <c r="I69" s="2414"/>
      <c r="J69" s="3089"/>
      <c r="K69" s="2495" t="s">
        <v>2259</v>
      </c>
      <c r="L69" s="2501"/>
      <c r="M69" s="23">
        <f ca="1">ROUND(SUM(M63:M68),0)</f>
        <v>4395</v>
      </c>
      <c r="N69" s="1748">
        <f ca="1">M69/M49</f>
        <v>1.6116020681309816E-2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4.4" hidden="1" thickBot="1">
      <c r="A70" s="3133" t="s">
        <v>2260</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124" t="s">
        <v>2241</v>
      </c>
      <c r="B71" s="3125"/>
      <c r="C71" s="1799"/>
      <c r="D71" s="1799" t="s">
        <v>2242</v>
      </c>
      <c r="E71" s="211" t="s">
        <v>2243</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1" t="s">
        <v>775</v>
      </c>
      <c r="B72" s="202" t="s">
        <v>2261</v>
      </c>
      <c r="C72" s="205">
        <f ca="1">ROUND(D45/(1+'数据-取费表'!C42),0)</f>
        <v>259724</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1" t="s">
        <v>772</v>
      </c>
      <c r="B73" s="171" t="s">
        <v>2262</v>
      </c>
      <c r="C73" s="205">
        <f ca="1">C74+C78</f>
        <v>1299</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2263</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5" t="s">
        <v>776</v>
      </c>
      <c r="B75" s="196" t="s">
        <v>2264</v>
      </c>
      <c r="C75" s="216"/>
      <c r="D75" s="198" t="s">
        <v>32</v>
      </c>
      <c r="E75" s="217" t="s">
        <v>2265</v>
      </c>
      <c r="F75" s="2507" t="s">
        <v>2266</v>
      </c>
      <c r="G75" s="217" t="s">
        <v>2267</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2268</v>
      </c>
      <c r="C76" s="198">
        <f>IF(F75="购房发票",ROUND(C75*H75*D76,0),0)</f>
        <v>0</v>
      </c>
      <c r="D76" s="220">
        <v>0.05</v>
      </c>
      <c r="E76" s="3130" t="s">
        <v>2269</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09" t="s">
        <v>2272</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2273</v>
      </c>
      <c r="C78" s="223">
        <f ca="1">ROUND(D45*D78/(1+'数据-取费表'!C42),0)</f>
        <v>1299</v>
      </c>
      <c r="D78" s="224">
        <f>'数据-取费表'!B43</f>
        <v>5.000000000000001E-3</v>
      </c>
      <c r="E78" s="3121" t="s">
        <v>2274</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779</v>
      </c>
      <c r="B79" s="202" t="s">
        <v>2275</v>
      </c>
      <c r="C79" s="205">
        <f ca="1">C72-C73</f>
        <v>258425</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2276</v>
      </c>
      <c r="C80" s="225">
        <f ca="1">IF(C79&lt;=0,0,C79/C73)</f>
        <v>198.94149345650501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7" t="s">
        <v>2277</v>
      </c>
      <c r="C81" s="226">
        <f ca="1">ROUND(IF(C79&lt;=0,0,IF(C80&gt;=200%,C79*60%-C73*35%,IF(C80&gt;=100%,C79*50%-C73*15%,IF(C80&gt;=50%,C79*40%-C73*5%,IF(C80&lt;50%,C79*30%,0))))),0)</f>
        <v>154600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133" t="s">
        <v>2278</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124" t="s">
        <v>2241</v>
      </c>
      <c r="B84" s="3125"/>
      <c r="C84" s="1799"/>
      <c r="D84" s="1799" t="s">
        <v>2242</v>
      </c>
      <c r="E84" s="211" t="s">
        <v>2243</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1" t="s">
        <v>775</v>
      </c>
      <c r="B85" s="202" t="s">
        <v>2261</v>
      </c>
      <c r="C85" s="205">
        <f ca="1">ROUND(D45/(1+'数据-取费表'!C42),0)</f>
        <v>259724</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1" t="s">
        <v>772</v>
      </c>
      <c r="B86" s="171" t="s">
        <v>2262</v>
      </c>
      <c r="C86" s="205">
        <f ca="1">IF(H88="仅含出让金",C87+C90+C91+C92+C93+C94,C87+C91+C92+C93+C94)</f>
        <v>1299</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5" t="s">
        <v>770</v>
      </c>
      <c r="B87" s="196" t="s">
        <v>2279</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5" t="s">
        <v>776</v>
      </c>
      <c r="B88" s="196" t="s">
        <v>2280</v>
      </c>
      <c r="C88" s="234"/>
      <c r="D88" s="224"/>
      <c r="E88" s="235" t="s">
        <v>2281</v>
      </c>
      <c r="F88" s="1795"/>
      <c r="G88" s="236" t="s">
        <v>2282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5" t="s">
        <v>777</v>
      </c>
      <c r="B89" s="196" t="s">
        <v>2270</v>
      </c>
      <c r="C89" s="223">
        <f>ROUND(C88*D89,0)</f>
        <v>0</v>
      </c>
      <c r="D89" s="224">
        <f>'数据-取费表'!B48+'数据-取费表'!B49</f>
        <v>3.0499999999999999E-2</v>
      </c>
      <c r="E89" s="235" t="s">
        <v>2283</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5" t="s">
        <v>771</v>
      </c>
      <c r="B90" s="196" t="s">
        <v>2284</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2285</v>
      </c>
      <c r="B91" s="196" t="s">
        <v>2286</v>
      </c>
      <c r="C91" s="223">
        <f>IF(H91="——",成本法!C33,I91)</f>
        <v>0</v>
      </c>
      <c r="D91" s="224"/>
      <c r="E91" s="3121" t="s">
        <v>2287</v>
      </c>
      <c r="F91" s="3122"/>
      <c r="G91" s="3122"/>
      <c r="H91" s="2514" t="s">
        <v>2288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2289</v>
      </c>
      <c r="B92" s="196" t="s">
        <v>2290</v>
      </c>
      <c r="C92" s="223">
        <f>ROUND((C87+C90+C91)*D92,0)</f>
        <v>0</v>
      </c>
      <c r="D92" s="224">
        <v>0.1</v>
      </c>
      <c r="E92" s="3121" t="s">
        <v>2291</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2292</v>
      </c>
      <c r="B93" s="196" t="s">
        <v>2273</v>
      </c>
      <c r="C93" s="223">
        <f ca="1">ROUND(D45*D93/(1+'数据-取费表'!C42),0)</f>
        <v>1299</v>
      </c>
      <c r="D93" s="224">
        <f>'数据-取费表'!B43</f>
        <v>5.000000000000001E-3</v>
      </c>
      <c r="E93" s="3121" t="s">
        <v>2274</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2293</v>
      </c>
      <c r="B94" s="196" t="s">
        <v>2294</v>
      </c>
      <c r="C94" s="234">
        <f>ROUND((C87+C90+C91)*D94,0)</f>
        <v>0</v>
      </c>
      <c r="D94" s="224">
        <v>0.2</v>
      </c>
      <c r="E94" s="3168" t="s">
        <v>2295</v>
      </c>
      <c r="F94" s="3169"/>
      <c r="G94" s="3169"/>
      <c r="H94" s="317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779</v>
      </c>
      <c r="B95" s="202" t="s">
        <v>2275</v>
      </c>
      <c r="C95" s="205">
        <f ca="1">ROUND(C85-C86,0)</f>
        <v>258425</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2276</v>
      </c>
      <c r="C96" s="225">
        <f ca="1">IF(C95&lt;=0,0,C95/C86)</f>
        <v>198.94149345650501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7" t="s">
        <v>2277</v>
      </c>
      <c r="C97" s="226">
        <f ca="1">ROUND(IF(C95&lt;=0,0,IF(C96&gt;=200%,C95*60%-C86*35%,IF(C96&gt;=100%,C95*50%-C86*15%,IF(C96&gt;=50%,C95*40%-C86*5%,IF(C96&lt;50%,C95*30%,0))))),0)</f>
        <v>154600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6"/>
    </row>
    <row r="99" spans="1:35" ht="21.75" customHeight="1" thickBot="1">
      <c r="A99" s="2470" t="s">
        <v>2296</v>
      </c>
      <c r="B99" s="2414"/>
      <c r="C99" s="2414"/>
      <c r="D99" s="2414"/>
      <c r="E99" s="2165"/>
      <c r="F99" s="2165"/>
      <c r="G99" s="2165"/>
      <c r="H99" s="2164"/>
      <c r="I99" s="136"/>
    </row>
    <row r="100" spans="1:35" ht="18.75" customHeight="1">
      <c r="A100" s="3072" t="s">
        <v>2297</v>
      </c>
      <c r="B100" s="3073"/>
      <c r="C100" s="3073"/>
      <c r="D100" s="3105"/>
      <c r="E100" s="3073" t="s">
        <v>2298</v>
      </c>
      <c r="F100" s="3073"/>
      <c r="G100" s="3073"/>
      <c r="H100" s="3105"/>
      <c r="I100" s="136"/>
    </row>
    <row r="101" spans="1:35" ht="18.75" customHeight="1">
      <c r="A101" s="3113" t="s">
        <v>2299</v>
      </c>
      <c r="B101" s="3114"/>
      <c r="C101" s="734" t="str">
        <f>C4</f>
        <v>成本法</v>
      </c>
      <c r="D101" s="735" t="str">
        <f>D4</f>
        <v>假设开发法</v>
      </c>
      <c r="E101" s="3085" t="s">
        <v>2300</v>
      </c>
      <c r="F101" s="3086"/>
      <c r="G101" s="2516" t="s">
        <v>2301</v>
      </c>
      <c r="H101" s="1045">
        <f ca="1">H118</f>
        <v>272710</v>
      </c>
      <c r="I101" s="136"/>
    </row>
    <row r="102" spans="1:35" ht="18.75" customHeight="1">
      <c r="A102" s="3115" t="s">
        <v>2302</v>
      </c>
      <c r="B102" s="2516" t="s">
        <v>2301</v>
      </c>
      <c r="C102" s="734">
        <f ca="1">C19</f>
        <v>256789</v>
      </c>
      <c r="D102" s="735">
        <f ca="1">D19</f>
        <v>288630</v>
      </c>
      <c r="E102" s="3085"/>
      <c r="F102" s="3086"/>
      <c r="G102" s="2516" t="s">
        <v>2303</v>
      </c>
      <c r="H102" s="369">
        <f ca="1">I118</f>
        <v>21580</v>
      </c>
      <c r="I102" s="136"/>
    </row>
    <row r="103" spans="1:35" ht="42.75" customHeight="1">
      <c r="A103" s="3115"/>
      <c r="B103" s="2516" t="s">
        <v>2303</v>
      </c>
      <c r="C103" s="736">
        <f ca="1">C20</f>
        <v>20320</v>
      </c>
      <c r="D103" s="737">
        <f ca="1">D20</f>
        <v>22840</v>
      </c>
      <c r="E103" s="3079" t="s">
        <v>2304</v>
      </c>
      <c r="F103" s="3080"/>
      <c r="G103" s="2517" t="s">
        <v>2305</v>
      </c>
      <c r="H103" s="1045">
        <f>IF(D36="正常操作",H104+H105+H106,H105+H106)</f>
        <v>0</v>
      </c>
      <c r="I103" s="136"/>
    </row>
    <row r="104" spans="1:35" ht="18.75" customHeight="1">
      <c r="A104" s="3115" t="s">
        <v>2306</v>
      </c>
      <c r="B104" s="2518" t="s">
        <v>2301</v>
      </c>
      <c r="C104" s="738">
        <f ca="1">H118</f>
        <v>272710</v>
      </c>
      <c r="D104" s="739"/>
      <c r="E104" s="2265" t="s">
        <v>2307</v>
      </c>
      <c r="F104" s="2257"/>
      <c r="G104" s="2517" t="s">
        <v>2305</v>
      </c>
      <c r="H104" s="1046">
        <f>IF(D36="同一抵押权人同一抵押物续贷",C36&amp;"（未扣减，详见特别提示）",C36)</f>
        <v>0</v>
      </c>
      <c r="I104" s="136"/>
    </row>
    <row r="105" spans="1:35" ht="18.75" customHeight="1" thickBot="1">
      <c r="A105" s="3127"/>
      <c r="B105" s="2519" t="s">
        <v>2303</v>
      </c>
      <c r="C105" s="740">
        <f ca="1">I118</f>
        <v>21580</v>
      </c>
      <c r="D105" s="741"/>
      <c r="E105" s="2265" t="s">
        <v>2308</v>
      </c>
      <c r="F105" s="2257"/>
      <c r="G105" s="2517" t="s">
        <v>2305</v>
      </c>
      <c r="H105" s="1046">
        <f>C37</f>
        <v>0</v>
      </c>
      <c r="I105" s="136"/>
    </row>
    <row r="106" spans="1:35" ht="18.75" customHeight="1">
      <c r="A106" s="2414" t="s">
        <v>2309</v>
      </c>
      <c r="B106" s="2414"/>
      <c r="C106" s="2414"/>
      <c r="D106" s="2414"/>
      <c r="E106" s="2520" t="s">
        <v>2310</v>
      </c>
      <c r="F106" s="2257"/>
      <c r="G106" s="2517" t="s">
        <v>2305</v>
      </c>
      <c r="H106" s="1046">
        <f>C38</f>
        <v>0</v>
      </c>
      <c r="I106" s="136"/>
    </row>
    <row r="107" spans="1:35" ht="18.75" customHeight="1">
      <c r="A107" s="136"/>
      <c r="B107" s="136"/>
      <c r="C107" s="136"/>
      <c r="D107" s="136"/>
      <c r="E107" s="3116" t="str">
        <f>IF(项目基本情况!E8="已注销","——","3.房地产抵押价值")</f>
        <v>3.房地产抵押价值</v>
      </c>
      <c r="F107" s="3086"/>
      <c r="G107" s="2516" t="s">
        <v>2301</v>
      </c>
      <c r="H107" s="1045">
        <f ca="1">IF(E107="——","——",H101-H103)</f>
        <v>272710</v>
      </c>
      <c r="I107" s="136"/>
    </row>
    <row r="108" spans="1:35" ht="18.75" customHeight="1">
      <c r="A108" s="136"/>
      <c r="B108" s="136"/>
      <c r="C108" s="136"/>
      <c r="D108" s="136"/>
      <c r="E108" s="3116"/>
      <c r="F108" s="3086"/>
      <c r="G108" s="2516" t="s">
        <v>2303</v>
      </c>
      <c r="H108" s="369">
        <f ca="1">ROUND(H107*10000/'数据-汇总表'!E3,0)</f>
        <v>21580</v>
      </c>
      <c r="I108" s="136"/>
    </row>
    <row r="109" spans="1:35" ht="18.75" customHeight="1">
      <c r="A109" s="136"/>
      <c r="B109" s="136"/>
      <c r="C109" s="136"/>
      <c r="D109" s="136"/>
      <c r="E109" s="3116" t="str">
        <f>IF(项目基本情况!E8="已注销及未注销","4.抵押担保权已注销时的房地产抵押价值",IF(项目基本情况!E8="已注销","3.抵押担保权已注销时的房地产抵押价值","——"))</f>
        <v>——</v>
      </c>
      <c r="F109" s="3086"/>
      <c r="G109" s="2516" t="s">
        <v>2301</v>
      </c>
      <c r="H109" s="346" t="str">
        <f>IF(E109="——","——",H101-H105-H106)</f>
        <v>——</v>
      </c>
      <c r="I109" s="136"/>
    </row>
    <row r="110" spans="1:35" ht="18.75" customHeight="1">
      <c r="A110" s="136"/>
      <c r="B110" s="136"/>
      <c r="C110" s="136"/>
      <c r="D110" s="136"/>
      <c r="E110" s="3116"/>
      <c r="F110" s="3086"/>
      <c r="G110" s="2516" t="s">
        <v>2303</v>
      </c>
      <c r="H110" s="369" t="str">
        <f>IF(H109="——","——",ROUND(H109*10000/'数据-汇总表'!E3,0))</f>
        <v>——</v>
      </c>
      <c r="I110" s="136"/>
    </row>
    <row r="111" spans="1:35" ht="18.75" customHeight="1">
      <c r="A111" s="136"/>
      <c r="B111" s="136"/>
      <c r="C111" s="136"/>
      <c r="D111" s="136"/>
      <c r="E111" s="3117" t="str">
        <f>IF(项目基本情况!E9="抵押净值",IF(OR(项目基本情况!E8="已注销",项目基本情况!E8="房地产抵押价值"),"4.抵押净值","5.抵押净值"),"——")</f>
        <v>——</v>
      </c>
      <c r="F111" s="3118"/>
      <c r="G111" s="2516" t="s">
        <v>2301</v>
      </c>
      <c r="H111" s="1045" t="str">
        <f>IF(E111="——","——",N59)</f>
        <v>——</v>
      </c>
      <c r="I111" s="136"/>
    </row>
    <row r="112" spans="1:35" ht="18.75" customHeight="1" thickBot="1">
      <c r="A112" s="136"/>
      <c r="B112" s="136"/>
      <c r="C112" s="136"/>
      <c r="D112" s="136"/>
      <c r="E112" s="3119"/>
      <c r="F112" s="3120"/>
      <c r="G112" s="2521" t="s">
        <v>2303</v>
      </c>
      <c r="H112" s="788" t="str">
        <f>IF(E111="——","——",N61)</f>
        <v>——</v>
      </c>
      <c r="I112" s="136"/>
    </row>
    <row r="113" spans="1:11" ht="18.75" customHeight="1">
      <c r="A113" s="136"/>
      <c r="B113" s="136"/>
      <c r="C113" s="136"/>
      <c r="D113" s="136"/>
      <c r="E113" s="3128" t="s">
        <v>2309</v>
      </c>
      <c r="F113" s="3128"/>
      <c r="G113" s="3128"/>
      <c r="H113" s="3128"/>
      <c r="I113" s="136"/>
    </row>
    <row r="114" spans="1:11" ht="3.75" customHeight="1">
      <c r="A114" s="2414"/>
      <c r="B114" s="2414"/>
      <c r="C114" s="2414"/>
      <c r="D114" s="2414"/>
      <c r="E114" s="2492"/>
      <c r="F114" s="2492"/>
      <c r="G114" s="2492"/>
      <c r="H114" s="2492"/>
      <c r="I114" s="2414"/>
    </row>
    <row r="115" spans="1:11" ht="18.75" customHeight="1">
      <c r="A115" s="3141" t="s">
        <v>2311</v>
      </c>
      <c r="B115" s="3142"/>
      <c r="C115" s="3142"/>
      <c r="D115" s="3142"/>
      <c r="E115" s="3142"/>
      <c r="F115" s="3142"/>
      <c r="G115" s="3142"/>
      <c r="H115" s="3142"/>
      <c r="I115" s="3143"/>
    </row>
    <row r="116" spans="1:11" ht="27" customHeight="1">
      <c r="A116" s="3051" t="s">
        <v>2312</v>
      </c>
      <c r="B116" s="3095" t="s">
        <v>2313</v>
      </c>
      <c r="C116" s="3095" t="s">
        <v>2314</v>
      </c>
      <c r="D116" s="3101" t="s">
        <v>2315</v>
      </c>
      <c r="E116" s="3102"/>
      <c r="F116" s="3137" t="s">
        <v>2316</v>
      </c>
      <c r="G116" s="3137"/>
      <c r="H116" s="3051" t="s">
        <v>2317</v>
      </c>
      <c r="I116" s="3051"/>
    </row>
    <row r="117" spans="1:11" ht="18.75" customHeight="1">
      <c r="A117" s="3051"/>
      <c r="B117" s="3096"/>
      <c r="C117" s="3096"/>
      <c r="D117" s="1793" t="s">
        <v>2318</v>
      </c>
      <c r="E117" s="1793" t="s">
        <v>2319</v>
      </c>
      <c r="F117" s="1793" t="s">
        <v>2318</v>
      </c>
      <c r="G117" s="1793" t="s">
        <v>2320</v>
      </c>
      <c r="H117" s="1793" t="s">
        <v>2318</v>
      </c>
      <c r="I117" s="1793" t="s">
        <v>2320</v>
      </c>
    </row>
    <row r="118" spans="1:11" ht="24.75" customHeight="1">
      <c r="A118" s="2522" t="str">
        <f>项目基本情况!S2</f>
        <v>北京市出让国有建设用地使用权及在建建筑物房地产</v>
      </c>
      <c r="B118" s="1793">
        <f>M18</f>
        <v>126370.20000000001</v>
      </c>
      <c r="C118" s="1793">
        <f>M19</f>
        <v>11023.92</v>
      </c>
      <c r="D118" s="1793">
        <f ca="1">ROUND(IF(D32="总价",C34,E118*B118/10000),0)</f>
        <v>264801</v>
      </c>
      <c r="E118" s="1793">
        <f ca="1">ROUND(IF(C33="自定义",IF(D32="楼面单价",C34,D118*10000/B118),I118-G118),0)</f>
        <v>20954</v>
      </c>
      <c r="F118" s="1793">
        <f ca="1">ROUND(IF(D32="总价",C35,G118*B118/10000),0)</f>
        <v>7909</v>
      </c>
      <c r="G118" s="1793">
        <f ca="1">ROUND(IF(D32="楼面单价",C35,F118*10000/B118),0)</f>
        <v>626</v>
      </c>
      <c r="H118" s="1793">
        <f ca="1">ROUND(IF(D32="总价",C32,I118*B118/10000),0)</f>
        <v>272710</v>
      </c>
      <c r="I118" s="1793">
        <f ca="1">ROUND(IF(D32="楼面单价",C32,H118*10000/B118),0)</f>
        <v>21580</v>
      </c>
    </row>
    <row r="119" spans="1:11" ht="18.75" customHeight="1">
      <c r="A119" s="3051" t="s">
        <v>2321</v>
      </c>
      <c r="B119" s="3051"/>
      <c r="C119" s="3051"/>
      <c r="D119" s="3097" t="str">
        <f ca="1">NUMBERSTRING(INT(D118*10000),2)&amp;"元整"</f>
        <v>贰拾陆亿肆仟捌佰零壹万元整</v>
      </c>
      <c r="E119" s="3098"/>
      <c r="F119" s="3097" t="str">
        <f ca="1">NUMBERSTRING(INT(F118*10000),2)&amp;"元整"</f>
        <v>柒仟玖佰零玖万元整</v>
      </c>
      <c r="G119" s="3098"/>
      <c r="H119" s="3097" t="str">
        <f ca="1">NUMBERSTRING(INT(H118*10000),2)&amp;"元整"</f>
        <v>贰拾柒亿贰仟柒佰壹拾万元整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故，本次评估不存在估价师知悉的法定优先受偿款</v>
      </c>
    </row>
    <row r="121" spans="1:11" ht="18.75" customHeight="1">
      <c r="A121" s="3138" t="s">
        <v>2321</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272710</v>
      </c>
      <c r="E122" s="3093"/>
      <c r="F122" s="3093"/>
      <c r="G122" s="3093"/>
      <c r="H122" s="3093"/>
      <c r="I122" s="3094"/>
    </row>
    <row r="123" spans="1:11" ht="18.75" customHeight="1">
      <c r="A123" s="3051" t="s">
        <v>2321</v>
      </c>
      <c r="B123" s="3051"/>
      <c r="C123" s="3051"/>
      <c r="D123" s="3097" t="str">
        <f ca="1">NUMBERSTRING(INT(D122*10000),2)&amp;"元整"</f>
        <v>贰拾柒亿贰仟柒佰壹拾万元整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1" t="s">
        <v>2321</v>
      </c>
      <c r="B125" s="3051"/>
      <c r="C125" s="3051"/>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1" t="s">
        <v>2321</v>
      </c>
      <c r="B127" s="3051"/>
      <c r="C127" s="3051"/>
      <c r="D127" s="3097" t="e">
        <f>NUMBERSTRING(INT(D126*10000),2)&amp;"元整"</f>
        <v>#VALUE!</v>
      </c>
      <c r="E127" s="3099"/>
      <c r="F127" s="3099"/>
      <c r="G127" s="3099"/>
      <c r="H127" s="3099"/>
      <c r="I127" s="3098"/>
    </row>
    <row r="128" spans="1:11" ht="21.75" customHeight="1">
      <c r="A128" s="3100" t="s">
        <v>2322</v>
      </c>
      <c r="B128" s="3100"/>
      <c r="C128" s="3100"/>
      <c r="D128" s="3100"/>
      <c r="E128" s="3100"/>
      <c r="F128" s="3100"/>
      <c r="G128" s="3100"/>
      <c r="H128" s="3100"/>
      <c r="I128" s="3100"/>
    </row>
    <row r="129" spans="1:35" ht="21.75" customHeight="1">
      <c r="A129" s="2523" t="s">
        <v>2323</v>
      </c>
      <c r="B129" s="2524"/>
      <c r="C129" s="2525" t="s">
        <v>2324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2325</v>
      </c>
      <c r="G135" s="2540"/>
      <c r="H135" s="2540"/>
      <c r="I135" s="2541" t="s">
        <v>2326</v>
      </c>
    </row>
    <row r="136" spans="1:35" ht="21.75" customHeight="1">
      <c r="A136" s="793"/>
      <c r="B136" s="2542"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2328</v>
      </c>
    </row>
    <row r="139" spans="1:35" ht="21.75" customHeight="1">
      <c r="A139" s="793"/>
      <c r="B139" s="2542" t="s">
        <v>2329</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2328</v>
      </c>
    </row>
    <row r="142" spans="1:35" ht="21.75" customHeight="1">
      <c r="A142" s="793"/>
      <c r="B142" s="2542"/>
      <c r="C142" s="2543"/>
      <c r="D142" s="2544"/>
      <c r="E142" s="2544"/>
      <c r="F142" s="2339"/>
      <c r="G142" s="793"/>
      <c r="H142" s="793"/>
      <c r="I142" s="793"/>
    </row>
    <row r="143" spans="1:35" s="137" customFormat="1" ht="21.75" customHeight="1">
      <c r="A143" s="793"/>
      <c r="B143" s="2542"/>
      <c r="C143" s="2543"/>
      <c r="D143" s="2544"/>
      <c r="E143" s="2544"/>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7" stopIfTrue="1" operator="equal">
      <formula>25</formula>
    </cfRule>
  </conditionalFormatting>
  <conditionalFormatting sqref="C8:C9">
    <cfRule type="cellIs" dxfId="157" priority="25" stopIfTrue="1" operator="equal">
      <formula>15</formula>
    </cfRule>
  </conditionalFormatting>
  <conditionalFormatting sqref="C14:C16">
    <cfRule type="cellIs" dxfId="156" priority="19" stopIfTrue="1" operator="equal">
      <formula>30</formula>
    </cfRule>
  </conditionalFormatting>
  <conditionalFormatting sqref="C90">
    <cfRule type="expression" dxfId="155" priority="9" stopIfTrue="1">
      <formula>$H$88&lt;&gt;"仅含出让金"</formula>
    </cfRule>
  </conditionalFormatting>
  <conditionalFormatting sqref="C91">
    <cfRule type="expression" dxfId="154" priority="8" stopIfTrue="1">
      <formula>$H$91="由企业提供"</formula>
    </cfRule>
  </conditionalFormatting>
  <conditionalFormatting sqref="E36">
    <cfRule type="expression" dxfId="153" priority="7" stopIfTrue="1">
      <formula>$D$36="同一抵押权人同一抵押物续贷"</formula>
    </cfRule>
  </conditionalFormatting>
  <conditionalFormatting sqref="C10:C13">
    <cfRule type="cellIs" dxfId="152" priority="6" stopIfTrue="1" operator="equal">
      <formula>15</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北京市出让国有建设用地使用权及在建建筑物房地产抵押价值预评估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郑燚（注册号：1120070131)、吴薇（注册号：1419970001)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2330</v>
      </c>
      <c r="B1" s="1935"/>
      <c r="C1" s="240"/>
      <c r="D1" s="240"/>
      <c r="E1" s="240"/>
      <c r="F1" s="240"/>
      <c r="G1" s="1378">
        <f>MATCH(B1,'数据-取费表'!A6:A16,0)+5</f>
        <v>10</v>
      </c>
    </row>
    <row r="2" spans="1:9" s="242" customFormat="1" ht="18" customHeight="1">
      <c r="A2" s="243" t="s">
        <v>2331</v>
      </c>
      <c r="B2" s="244">
        <f ca="1">IF(D2="——",C52,C52-E2)</f>
        <v>256789</v>
      </c>
      <c r="C2" s="241" t="s">
        <v>2332</v>
      </c>
      <c r="D2" s="2545" t="s">
        <v>70</v>
      </c>
      <c r="E2" s="1439" t="e">
        <f ca="1">SUMIF(INDIRECT("'"&amp;G2&amp;"'"&amp;"!A:A"),"承租人权益价值",INDIRECT("'"&amp;G2&amp;"'"&amp;"!c:c"))</f>
        <v>#REF!</v>
      </c>
      <c r="F2" s="2546" t="s">
        <v>2332</v>
      </c>
      <c r="G2" s="2547"/>
    </row>
    <row r="3" spans="1:9" s="242" customFormat="1" ht="18" customHeight="1" thickBot="1">
      <c r="A3" s="245" t="s">
        <v>2333</v>
      </c>
      <c r="B3" s="246">
        <f ca="1">ROUND(B2*10000/(IF(B1="",'数据-汇总表'!E3,INDIRECT("'数据-取费表'!k"&amp;$G$1))),0)</f>
        <v>20320</v>
      </c>
      <c r="C3" s="241" t="s">
        <v>2334</v>
      </c>
      <c r="D3" s="241"/>
      <c r="E3" s="241"/>
      <c r="F3" s="241"/>
      <c r="G3" s="241"/>
    </row>
    <row r="4" spans="1:9" s="250" customFormat="1" ht="16.2">
      <c r="A4" s="247" t="s">
        <v>2335</v>
      </c>
      <c r="B4" s="248"/>
      <c r="C4" s="248"/>
      <c r="D4" s="248"/>
      <c r="E4" s="248"/>
      <c r="F4" s="248"/>
      <c r="G4" s="249"/>
    </row>
    <row r="5" spans="1:9" s="256" customFormat="1" ht="13.5" customHeight="1">
      <c r="A5" s="297" t="s">
        <v>2336</v>
      </c>
      <c r="B5" s="252" t="s">
        <v>2337</v>
      </c>
      <c r="C5" s="253">
        <f ca="1">C6+C7+C8</f>
        <v>217369</v>
      </c>
      <c r="D5" s="253" t="s">
        <v>2338</v>
      </c>
      <c r="E5" s="254" t="s">
        <v>2339</v>
      </c>
      <c r="F5" s="254" t="s">
        <v>2340</v>
      </c>
      <c r="G5" s="255"/>
    </row>
    <row r="6" spans="1:9" s="256" customFormat="1" ht="13.5" customHeight="1">
      <c r="A6" s="949" t="s">
        <v>2341</v>
      </c>
      <c r="B6" s="257" t="s">
        <v>2342</v>
      </c>
      <c r="C6" s="258">
        <f>'土地比较法-住宅、综合'!B2</f>
        <v>208483</v>
      </c>
      <c r="D6" s="259"/>
      <c r="E6" s="260"/>
      <c r="F6" s="260"/>
      <c r="G6" s="261"/>
    </row>
    <row r="7" spans="1:9" s="256" customFormat="1" ht="13.5" customHeight="1">
      <c r="A7" s="949" t="s">
        <v>2343</v>
      </c>
      <c r="B7" s="257" t="s">
        <v>2344</v>
      </c>
      <c r="C7" s="262">
        <f>ROUND(C6*F7,0)</f>
        <v>6359</v>
      </c>
      <c r="D7" s="262"/>
      <c r="E7" s="260"/>
      <c r="F7" s="263">
        <f>'数据-取费表'!B48+'数据-取费表'!B49</f>
        <v>3.0499999999999999E-2</v>
      </c>
      <c r="G7" s="261"/>
    </row>
    <row r="8" spans="1:9" s="265" customFormat="1">
      <c r="A8" s="949" t="s">
        <v>2345</v>
      </c>
      <c r="B8" s="257" t="s">
        <v>2346</v>
      </c>
      <c r="C8" s="262">
        <f ca="1">IF(G8="已包含在土地购买价格中","0",IF(B1="",'数据-取费表'!B29,IF(G9="全部缴纳",C9+C10,H9)))</f>
        <v>2527</v>
      </c>
      <c r="D8" s="264"/>
      <c r="E8" s="262"/>
      <c r="F8" s="263"/>
      <c r="G8" s="2548" t="s">
        <v>3147</v>
      </c>
    </row>
    <row r="9" spans="1:9" s="256" customFormat="1" ht="13.5" customHeight="1">
      <c r="A9" s="950" t="s">
        <v>800</v>
      </c>
      <c r="B9" s="266" t="s">
        <v>2347</v>
      </c>
      <c r="C9" s="267">
        <f ca="1">ROUND(D9*E9/10000,0)</f>
        <v>0</v>
      </c>
      <c r="D9" s="1032">
        <f ca="1">IF(B1="",'数据-汇总表'!E5,IF(INDIRECT("'数据-取费表'!c"&amp;$G$1)="住宅",INDIRECT("'数据-取费表'!k"&amp;$G$1),0))</f>
        <v>0</v>
      </c>
      <c r="E9" s="267">
        <f>'数据-取费表'!B27</f>
        <v>0</v>
      </c>
      <c r="F9" s="263"/>
      <c r="G9" s="2549"/>
      <c r="H9" s="1389"/>
      <c r="I9" s="2550" t="s">
        <v>2348</v>
      </c>
    </row>
    <row r="10" spans="1:9" s="256" customFormat="1" ht="13.5" customHeight="1">
      <c r="A10" s="950" t="s">
        <v>801</v>
      </c>
      <c r="B10" s="266" t="s">
        <v>2349</v>
      </c>
      <c r="C10" s="267">
        <f ca="1">ROUND(D10*E10/10000,0)</f>
        <v>2527</v>
      </c>
      <c r="D10" s="1032">
        <f ca="1">IF(B1="",'数据-汇总表'!E6,IF(INDIRECT("'数据-取费表'!c"&amp;$G$1)="住宅",INDIRECT("'数据-取费表'!s"&amp;$G$1),INDIRECT("'数据-取费表'!k"&amp;$G$1)+INDIRECT("'数据-取费表'!s"&amp;$G$1)))</f>
        <v>126370.20000000001</v>
      </c>
      <c r="E10" s="267">
        <f>'数据-取费表'!B28</f>
        <v>200</v>
      </c>
      <c r="F10" s="263"/>
      <c r="G10" s="268"/>
    </row>
    <row r="11" spans="1:9" s="256" customFormat="1" ht="13.5" hidden="1" customHeight="1">
      <c r="A11" s="269" t="s">
        <v>7</v>
      </c>
      <c r="B11" s="257" t="s">
        <v>2350</v>
      </c>
      <c r="C11" s="253"/>
      <c r="D11" s="1034"/>
      <c r="E11" s="260"/>
      <c r="F11" s="260"/>
      <c r="G11" s="261"/>
    </row>
    <row r="12" spans="1:9" s="256" customFormat="1" ht="13.5" hidden="1" customHeight="1">
      <c r="A12" s="269" t="s">
        <v>8</v>
      </c>
      <c r="B12" s="257" t="s">
        <v>2351</v>
      </c>
      <c r="C12" s="253">
        <v>0</v>
      </c>
      <c r="D12" s="1034"/>
      <c r="E12" s="270"/>
      <c r="F12" s="263">
        <v>3.0499999999999999E-2</v>
      </c>
      <c r="G12" s="261"/>
    </row>
    <row r="13" spans="1:9" s="256" customFormat="1" ht="13.5" hidden="1" customHeight="1">
      <c r="A13" s="269" t="s">
        <v>9</v>
      </c>
      <c r="B13" s="257" t="s">
        <v>2352</v>
      </c>
      <c r="C13" s="253"/>
      <c r="D13" s="1034"/>
      <c r="E13" s="260"/>
      <c r="F13" s="260"/>
      <c r="G13" s="261"/>
    </row>
    <row r="14" spans="1:9" s="256" customFormat="1" ht="13.5" hidden="1" customHeight="1">
      <c r="A14" s="269" t="s">
        <v>10</v>
      </c>
      <c r="B14" s="257" t="s">
        <v>2353</v>
      </c>
      <c r="C14" s="253"/>
      <c r="D14" s="1034"/>
      <c r="E14" s="260"/>
      <c r="F14" s="260"/>
      <c r="G14" s="261" t="s">
        <v>2354</v>
      </c>
    </row>
    <row r="15" spans="1:9" s="256" customFormat="1" ht="13.5" hidden="1" customHeight="1">
      <c r="A15" s="269" t="s">
        <v>11</v>
      </c>
      <c r="B15" s="257" t="s">
        <v>2355</v>
      </c>
      <c r="C15" s="262"/>
      <c r="D15" s="1034"/>
      <c r="E15" s="260"/>
      <c r="F15" s="260"/>
      <c r="G15" s="261" t="s">
        <v>2356</v>
      </c>
    </row>
    <row r="16" spans="1:9" s="256" customFormat="1" ht="13.5" hidden="1" customHeight="1">
      <c r="A16" s="269" t="s">
        <v>12</v>
      </c>
      <c r="B16" s="257" t="s">
        <v>2353</v>
      </c>
      <c r="C16" s="262"/>
      <c r="D16" s="1034"/>
      <c r="E16" s="260"/>
      <c r="F16" s="260"/>
      <c r="G16" s="261"/>
    </row>
    <row r="17" spans="1:7" s="256" customFormat="1" ht="13.5" hidden="1" customHeight="1">
      <c r="A17" s="269" t="s">
        <v>13</v>
      </c>
      <c r="B17" s="257" t="s">
        <v>2357</v>
      </c>
      <c r="C17" s="271"/>
      <c r="D17" s="1035"/>
      <c r="E17" s="271"/>
      <c r="F17" s="271"/>
      <c r="G17" s="261" t="s">
        <v>2356</v>
      </c>
    </row>
    <row r="18" spans="1:7" s="256" customFormat="1" ht="13.5" hidden="1" customHeight="1">
      <c r="A18" s="269" t="s">
        <v>14</v>
      </c>
      <c r="B18" s="257" t="s">
        <v>2358</v>
      </c>
      <c r="C18" s="262">
        <v>0</v>
      </c>
      <c r="D18" s="1034"/>
      <c r="E18" s="260"/>
      <c r="F18" s="263">
        <v>3.0499999999999999E-2</v>
      </c>
      <c r="G18" s="261" t="s">
        <v>2359</v>
      </c>
    </row>
    <row r="19" spans="1:7" s="265" customFormat="1" ht="13.5" customHeight="1">
      <c r="A19" s="297" t="s">
        <v>2360</v>
      </c>
      <c r="B19" s="252" t="s">
        <v>2361</v>
      </c>
      <c r="C19" s="253" t="str">
        <f>IF(G19="已包含在土地取得成本中","0",ROUND(D19*E19/10000,0))</f>
        <v>0</v>
      </c>
      <c r="D19" s="1036">
        <f ca="1">D9+D10</f>
        <v>126370.20000000001</v>
      </c>
      <c r="E19" s="253">
        <f>'数据-取费表'!B31</f>
        <v>200</v>
      </c>
      <c r="F19" s="273"/>
      <c r="G19" s="2548" t="s">
        <v>3190</v>
      </c>
    </row>
    <row r="20" spans="1:7" s="256" customFormat="1" ht="13.5" customHeight="1">
      <c r="A20" s="297" t="s">
        <v>2362</v>
      </c>
      <c r="B20" s="252" t="s">
        <v>2363</v>
      </c>
      <c r="C20" s="274">
        <f ca="1">ROUND((C5+C19)*F20,0)</f>
        <v>4347</v>
      </c>
      <c r="D20" s="274"/>
      <c r="E20" s="274"/>
      <c r="F20" s="275">
        <f>'数据-取费表'!B37</f>
        <v>0.02</v>
      </c>
      <c r="G20" s="276" t="s">
        <v>2364</v>
      </c>
    </row>
    <row r="21" spans="1:7" s="256" customFormat="1" ht="13.5" customHeight="1">
      <c r="A21" s="297" t="s">
        <v>2365</v>
      </c>
      <c r="B21" s="252" t="s">
        <v>2366</v>
      </c>
      <c r="C21" s="277">
        <f>F21</f>
        <v>0.02</v>
      </c>
      <c r="D21" s="278" t="s">
        <v>2367</v>
      </c>
      <c r="E21" s="274"/>
      <c r="F21" s="275">
        <f>'数据-取费表'!B38</f>
        <v>0.02</v>
      </c>
      <c r="G21" s="276" t="s">
        <v>2368</v>
      </c>
    </row>
    <row r="22" spans="1:7" s="256" customFormat="1" ht="13.5" customHeight="1">
      <c r="A22" s="297" t="s">
        <v>2369</v>
      </c>
      <c r="B22" s="252" t="s">
        <v>2370</v>
      </c>
      <c r="C22" s="1353">
        <f ca="1">ROUND(SUM(C23:C25),0)</f>
        <v>3698</v>
      </c>
      <c r="D22" s="277">
        <f ca="1">C26</f>
        <v>2.0000000000000001E-4</v>
      </c>
      <c r="E22" s="278" t="s">
        <v>2367</v>
      </c>
      <c r="F22" s="279">
        <f ca="1">'数据-取费表'!B40</f>
        <v>4.7500000000000001E-2</v>
      </c>
      <c r="G22" s="276" t="str">
        <f>IF('数据-取费表'!B22&lt;=1,"单利计息","复利计息")</f>
        <v>复利计息</v>
      </c>
    </row>
    <row r="23" spans="1:7" s="256" customFormat="1" ht="13.5" customHeight="1">
      <c r="A23" s="951" t="s">
        <v>2371</v>
      </c>
      <c r="B23" s="257" t="s">
        <v>2372</v>
      </c>
      <c r="C23" s="1354">
        <f ca="1">ROUND(IF('数据-取费表'!B22&lt;=1,C5*F22*'数据-取费表'!B23,C5*(POWER((1+F22),'数据-取费表'!B23)-1)),0)</f>
        <v>3662</v>
      </c>
      <c r="D23" s="280"/>
      <c r="E23" s="280"/>
      <c r="F23" s="281"/>
      <c r="G23" s="282" t="s">
        <v>2373</v>
      </c>
    </row>
    <row r="24" spans="1:7" s="256" customFormat="1" ht="13.5" customHeight="1">
      <c r="A24" s="951" t="s">
        <v>2374</v>
      </c>
      <c r="B24" s="257" t="s">
        <v>2375</v>
      </c>
      <c r="C24" s="1354">
        <f ca="1">ROUND(IF('数据-取费表'!B22&lt;=1,C19*F22*('数据-取费表'!B19/2+'数据-取费表'!B21),C19*(POWER((1+F22),('数据-取费表'!B19/2+'数据-取费表'!B21))-1)),0)</f>
        <v>0</v>
      </c>
      <c r="D24" s="280"/>
      <c r="E24" s="280"/>
      <c r="F24" s="281"/>
      <c r="G24" s="282" t="s">
        <v>2376</v>
      </c>
    </row>
    <row r="25" spans="1:7" s="256" customFormat="1" ht="24">
      <c r="A25" s="951" t="s">
        <v>2377</v>
      </c>
      <c r="B25" s="257" t="s">
        <v>2378</v>
      </c>
      <c r="C25" s="1354">
        <f ca="1">ROUND(IF('数据-取费表'!B22&lt;=1,C20*F22*'数据-取费表'!B23/2,C20*(POWER((1+F22),'数据-取费表'!B23/2)-1)),0)</f>
        <v>36</v>
      </c>
      <c r="D25" s="280"/>
      <c r="E25" s="283"/>
      <c r="F25" s="281"/>
      <c r="G25" s="284" t="s">
        <v>2379</v>
      </c>
    </row>
    <row r="26" spans="1:7" s="256" customFormat="1">
      <c r="A26" s="951" t="s">
        <v>795</v>
      </c>
      <c r="B26" s="257" t="s">
        <v>2380</v>
      </c>
      <c r="C26" s="280">
        <f ca="1">ROUND(IF('数据-取费表'!B22&lt;=1,F21*F22*'数据-取费表'!B23/2,F21*(POWER((1+F22),'数据-取费表'!B23/2)-1)),4)</f>
        <v>2.0000000000000001E-4</v>
      </c>
      <c r="D26" s="280"/>
      <c r="E26" s="283"/>
      <c r="F26" s="281"/>
      <c r="G26" s="285"/>
    </row>
    <row r="27" spans="1:7" s="256" customFormat="1" ht="26.4">
      <c r="A27" s="297" t="s">
        <v>2381</v>
      </c>
      <c r="B27" s="286" t="s">
        <v>2382</v>
      </c>
      <c r="C27" s="287">
        <f ca="1">C28</f>
        <v>5587</v>
      </c>
      <c r="D27" s="277">
        <f ca="1">C29</f>
        <v>5.0000000000000001E-4</v>
      </c>
      <c r="E27" s="278" t="s">
        <v>2383</v>
      </c>
      <c r="F27" s="288">
        <f ca="1">IF(B1="",'数据-取费表'!Q16,INDIRECT("'数据-取费表'!q"&amp;$G$1))</f>
        <v>0.21</v>
      </c>
      <c r="G27" s="289" t="s">
        <v>2384</v>
      </c>
    </row>
    <row r="28" spans="1:7" s="256" customFormat="1" ht="13.5" customHeight="1">
      <c r="A28" s="951" t="s">
        <v>791</v>
      </c>
      <c r="B28" s="290" t="s">
        <v>2385</v>
      </c>
      <c r="C28" s="291">
        <f ca="1">ROUND((C5+C19+C20)*F27*'数据-取费表'!B21/'数据-取费表'!B20,0)</f>
        <v>5587</v>
      </c>
      <c r="D28" s="277"/>
      <c r="E28" s="278"/>
      <c r="F28" s="288"/>
      <c r="G28" s="289"/>
    </row>
    <row r="29" spans="1:7" s="256" customFormat="1" ht="13.5" customHeight="1">
      <c r="A29" s="951" t="s">
        <v>792</v>
      </c>
      <c r="B29" s="290" t="s">
        <v>2386</v>
      </c>
      <c r="C29" s="280">
        <f ca="1">ROUND(C21*F27*'数据-取费表'!B21/'数据-取费表'!B20,4)</f>
        <v>5.0000000000000001E-4</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249219</v>
      </c>
      <c r="D31" s="272"/>
      <c r="E31" s="253"/>
      <c r="F31" s="292"/>
      <c r="G31" s="276" t="s">
        <v>2391</v>
      </c>
    </row>
    <row r="32" spans="1:7" s="250" customFormat="1" ht="16.2">
      <c r="A32" s="294" t="s">
        <v>2392</v>
      </c>
      <c r="B32" s="295"/>
      <c r="C32" s="295"/>
      <c r="D32" s="295"/>
      <c r="E32" s="295"/>
      <c r="F32" s="295"/>
      <c r="G32" s="296"/>
    </row>
    <row r="33" spans="1:7" s="256" customFormat="1" ht="13.5" customHeight="1">
      <c r="A33" s="297" t="s">
        <v>782</v>
      </c>
      <c r="B33" s="252" t="s">
        <v>2393</v>
      </c>
      <c r="C33" s="298">
        <f ca="1">SUM(C34:C38)</f>
        <v>5624</v>
      </c>
      <c r="D33" s="274"/>
      <c r="E33" s="254"/>
      <c r="F33" s="283"/>
      <c r="G33" s="276"/>
    </row>
    <row r="34" spans="1:7" s="300" customFormat="1" ht="13.5" customHeight="1">
      <c r="A34" s="951" t="s">
        <v>791</v>
      </c>
      <c r="B34" s="257" t="s">
        <v>2394</v>
      </c>
      <c r="C34" s="262">
        <f ca="1">IF(B1="",IF(F34=100%,'数据-取费表'!M16,'数据-取费表'!O16),IF(F34=100%,INDIRECT("'数据-取费表'!m"&amp;$G$1)+INDIRECT("'数据-取费表'!t"&amp;$G$1),INDIRECT("'数据-取费表'!o"&amp;$G$1)+INDIRECT("'数据-取费表'!aq"&amp;$G$1)))</f>
        <v>5092</v>
      </c>
      <c r="D34" s="259"/>
      <c r="E34" s="262"/>
      <c r="F34" s="299">
        <f ca="1">IF('数据-取费表'!B24=0,1,IF(B1="",'数据-取费表'!N16,INDIRECT("'数据-取费表'!n"&amp;$G$1)))</f>
        <v>0.12</v>
      </c>
      <c r="G34" s="261" t="s">
        <v>2395</v>
      </c>
    </row>
    <row r="35" spans="1:7" ht="13.5" customHeight="1">
      <c r="A35" s="951" t="s">
        <v>796</v>
      </c>
      <c r="B35" s="257" t="s">
        <v>2396</v>
      </c>
      <c r="C35" s="262">
        <f ca="1">ROUND(C34*F35,0)</f>
        <v>153</v>
      </c>
      <c r="D35" s="262"/>
      <c r="E35" s="262"/>
      <c r="F35" s="301">
        <f>'数据-取费表'!B33</f>
        <v>0.03</v>
      </c>
      <c r="G35" s="261" t="s">
        <v>2397</v>
      </c>
    </row>
    <row r="36" spans="1:7" ht="24">
      <c r="A36" s="951"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2399</v>
      </c>
    </row>
    <row r="37" spans="1:7" s="300" customFormat="1" ht="13.5" customHeight="1">
      <c r="A37" s="951" t="s">
        <v>798</v>
      </c>
      <c r="B37" s="257" t="s">
        <v>2400</v>
      </c>
      <c r="C37" s="291">
        <f ca="1">ROUND(E37*D37*F34/10000,0)</f>
        <v>303</v>
      </c>
      <c r="D37" s="259">
        <f ca="1">D19</f>
        <v>126370.20000000001</v>
      </c>
      <c r="E37" s="291">
        <f>'数据-取费表'!B35</f>
        <v>200</v>
      </c>
      <c r="F37" s="301"/>
      <c r="G37" s="303" t="s">
        <v>2401</v>
      </c>
    </row>
    <row r="38" spans="1:7" ht="13.5" customHeight="1">
      <c r="A38" s="951" t="s">
        <v>799</v>
      </c>
      <c r="B38" s="257" t="s">
        <v>2402</v>
      </c>
      <c r="C38" s="262">
        <f ca="1">ROUND(C34*F38,0)</f>
        <v>76</v>
      </c>
      <c r="D38" s="262"/>
      <c r="E38" s="262"/>
      <c r="F38" s="301">
        <f>'数据-取费表'!B36</f>
        <v>1.4999999999999999E-2</v>
      </c>
      <c r="G38" s="261" t="s">
        <v>2397</v>
      </c>
    </row>
    <row r="39" spans="1:7" s="256" customFormat="1" ht="13.5" customHeight="1">
      <c r="A39" s="297" t="s">
        <v>2403</v>
      </c>
      <c r="B39" s="252" t="s">
        <v>2404</v>
      </c>
      <c r="C39" s="274">
        <f ca="1">ROUND(C33*F20,0)</f>
        <v>112</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48</v>
      </c>
      <c r="D41" s="277">
        <f ca="1">C44</f>
        <v>2.0000000000000001E-4</v>
      </c>
      <c r="E41" s="278" t="s">
        <v>2408</v>
      </c>
      <c r="F41" s="279"/>
      <c r="G41" s="276" t="str">
        <f>IF('数据-取费表'!B22&lt;=1,"单利计息","复利计息")</f>
        <v>复利计息</v>
      </c>
    </row>
    <row r="42" spans="1:7" ht="13.5" customHeight="1">
      <c r="A42" s="951" t="s">
        <v>791</v>
      </c>
      <c r="B42" s="257" t="s">
        <v>2412</v>
      </c>
      <c r="C42" s="280">
        <f ca="1">ROUND(IF('数据-取费表'!B22&lt;=1,C33*F22*'数据-取费表'!B21/2,C33*(POWER((1+F22),'数据-取费表'!B21/2)-1)),0)</f>
        <v>47</v>
      </c>
      <c r="D42" s="280"/>
      <c r="E42" s="280"/>
      <c r="F42" s="281"/>
      <c r="G42" s="3171" t="s">
        <v>2413</v>
      </c>
    </row>
    <row r="43" spans="1:7" ht="13.5" customHeight="1">
      <c r="A43" s="951" t="s">
        <v>792</v>
      </c>
      <c r="B43" s="257" t="s">
        <v>2414</v>
      </c>
      <c r="C43" s="280">
        <f ca="1">ROUND(IF('数据-取费表'!B22&lt;=1,C39*F22*'数据-取费表'!B21/2,C39*(POWER((1+F22),'数据-取费表'!B21/2)-1)),0)</f>
        <v>1</v>
      </c>
      <c r="D43" s="280"/>
      <c r="E43" s="280"/>
      <c r="F43" s="281"/>
      <c r="G43" s="3172"/>
    </row>
    <row r="44" spans="1:7" ht="13.5" customHeight="1">
      <c r="A44" s="951" t="s">
        <v>793</v>
      </c>
      <c r="B44" s="257" t="s">
        <v>2415</v>
      </c>
      <c r="C44" s="280">
        <f ca="1">ROUND(IF('数据-取费表'!B22&lt;=1,C40*F22*'数据-取费表'!B21/2,C40*(POWER((1+F22),'数据-取费表'!B21/2)-1)),4)</f>
        <v>2.0000000000000001E-4</v>
      </c>
      <c r="D44" s="280"/>
      <c r="E44" s="280"/>
      <c r="F44" s="281"/>
      <c r="G44" s="3173"/>
    </row>
    <row r="45" spans="1:7" s="256" customFormat="1" ht="13.5" customHeight="1">
      <c r="A45" s="297" t="s">
        <v>2416</v>
      </c>
      <c r="B45" s="286" t="s">
        <v>2382</v>
      </c>
      <c r="C45" s="287">
        <f ca="1">C46</f>
        <v>1205</v>
      </c>
      <c r="D45" s="277">
        <f ca="1">C47</f>
        <v>4.1999999999999997E-3</v>
      </c>
      <c r="E45" s="278" t="s">
        <v>2408</v>
      </c>
      <c r="F45" s="288"/>
      <c r="G45" s="289" t="s">
        <v>2417</v>
      </c>
    </row>
    <row r="46" spans="1:7" s="256" customFormat="1" ht="13.5" customHeight="1">
      <c r="A46" s="951" t="s">
        <v>791</v>
      </c>
      <c r="B46" s="290" t="s">
        <v>2418</v>
      </c>
      <c r="C46" s="291">
        <f ca="1">ROUND((C33+C39)*F27,0)</f>
        <v>1205</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1726">
        <f>ROUND(F30/(1+'数据-取费表'!C42),4)</f>
        <v>5.2400000000000002E-2</v>
      </c>
      <c r="D48" s="278" t="s">
        <v>2408</v>
      </c>
      <c r="E48" s="274"/>
      <c r="F48" s="279"/>
      <c r="G48" s="276" t="s">
        <v>2421</v>
      </c>
    </row>
    <row r="49" spans="1:7" ht="16.5" customHeight="1">
      <c r="A49" s="297" t="s">
        <v>2387</v>
      </c>
      <c r="B49" s="252" t="s">
        <v>2422</v>
      </c>
      <c r="C49" s="274">
        <f ca="1">ROUND((C33+C39+C41+C45)/(1-C40-D41-D45-C48),0)</f>
        <v>7570</v>
      </c>
      <c r="D49" s="274"/>
      <c r="E49" s="274"/>
      <c r="F49" s="306"/>
      <c r="G49" s="276" t="s">
        <v>2423</v>
      </c>
    </row>
    <row r="50" spans="1:7" s="300" customFormat="1" ht="24">
      <c r="A50" s="297" t="s">
        <v>2424</v>
      </c>
      <c r="B50" s="252" t="s">
        <v>2425</v>
      </c>
      <c r="C50" s="274"/>
      <c r="D50" s="274"/>
      <c r="E50" s="274"/>
      <c r="F50" s="306">
        <f>IF('数据-取费表'!B24=0,'数据-取费表'!N16,1)</f>
        <v>1</v>
      </c>
      <c r="G50" s="289" t="s">
        <v>2426</v>
      </c>
    </row>
    <row r="51" spans="1:7" ht="16.5" customHeight="1">
      <c r="A51" s="297" t="s">
        <v>2427</v>
      </c>
      <c r="B51" s="252" t="s">
        <v>2428</v>
      </c>
      <c r="C51" s="274">
        <f ca="1">ROUND(C49*F50,0)</f>
        <v>7570</v>
      </c>
      <c r="D51" s="274"/>
      <c r="E51" s="274"/>
      <c r="F51" s="306"/>
      <c r="G51" s="276" t="s">
        <v>2429</v>
      </c>
    </row>
    <row r="52" spans="1:7" s="250" customFormat="1" ht="16.8" thickBot="1">
      <c r="A52" s="307" t="s">
        <v>2430</v>
      </c>
      <c r="B52" s="308"/>
      <c r="C52" s="309">
        <f ca="1">C31+C51</f>
        <v>256789</v>
      </c>
      <c r="D52" s="308"/>
      <c r="E52" s="308"/>
      <c r="F52" s="308"/>
      <c r="G52" s="310"/>
    </row>
    <row r="55" spans="1:7" ht="15">
      <c r="B55" s="312" t="s">
        <v>2431</v>
      </c>
      <c r="C55" s="313"/>
    </row>
    <row r="56" spans="1:7">
      <c r="B56" s="315" t="s">
        <v>1514</v>
      </c>
      <c r="C56" s="317">
        <f ca="1">1-C57</f>
        <v>0.97099999999999997</v>
      </c>
    </row>
    <row r="57" spans="1:7">
      <c r="B57" s="315" t="s">
        <v>1515</v>
      </c>
      <c r="C57" s="316">
        <f ca="1">ROUND(C51/C52,3)</f>
        <v>2.9000000000000001E-2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2330</v>
      </c>
      <c r="B1" s="1935"/>
      <c r="C1" s="2551" t="s">
        <v>2432</v>
      </c>
      <c r="D1" s="240"/>
      <c r="E1" s="240"/>
      <c r="F1" s="240"/>
      <c r="G1" s="1378">
        <f>MATCH(B1,'数据-取费表'!A6:A16,0)+5</f>
        <v>10</v>
      </c>
      <c r="H1" s="1281" t="str">
        <f>IF(ISERROR(FIND("住宅",B1)),"非住宅","住宅")</f>
        <v>非住宅</v>
      </c>
    </row>
    <row r="2" spans="1:8" s="242" customFormat="1" ht="18" customHeight="1">
      <c r="A2" s="243" t="s">
        <v>2331</v>
      </c>
      <c r="B2" s="244">
        <f ca="1">ROUND(IF(D2="——",C52/10000,C52/10000-E2),0)</f>
        <v>74064</v>
      </c>
      <c r="C2" s="241" t="s">
        <v>2332</v>
      </c>
      <c r="D2" s="2545" t="s">
        <v>70</v>
      </c>
      <c r="E2" s="1439" t="e">
        <f ca="1">SUMIF(INDIRECT("'"&amp;G2&amp;"'"&amp;"!A:A"),"承租人权益价值",INDIRECT("'"&amp;G2&amp;"'"&amp;"!c:c"))</f>
        <v>#REF!</v>
      </c>
      <c r="F2" s="2546" t="s">
        <v>2332</v>
      </c>
      <c r="G2" s="2547"/>
    </row>
    <row r="3" spans="1:8" s="242" customFormat="1" ht="18" customHeight="1" thickBot="1">
      <c r="A3" s="245" t="s">
        <v>2333</v>
      </c>
      <c r="B3" s="246">
        <f ca="1">ROUND(B2*10000/(IF(B1="",'数据-汇总表'!E3,INDIRECT("'数据-取费表'!k"&amp;$G$1))),0)</f>
        <v>5861</v>
      </c>
      <c r="C3" s="241" t="s">
        <v>2334</v>
      </c>
      <c r="D3" s="241"/>
      <c r="E3" s="241"/>
      <c r="F3" s="241"/>
      <c r="G3" s="241"/>
    </row>
    <row r="4" spans="1:8" s="250" customFormat="1" ht="16.2">
      <c r="A4" s="247" t="s">
        <v>2335</v>
      </c>
      <c r="B4" s="248"/>
      <c r="C4" s="248"/>
      <c r="D4" s="248"/>
      <c r="E4" s="248"/>
      <c r="F4" s="248"/>
      <c r="G4" s="249"/>
    </row>
    <row r="5" spans="1:8" s="256" customFormat="1" ht="13.5" customHeight="1">
      <c r="A5" s="297" t="s">
        <v>2336</v>
      </c>
      <c r="B5" s="252" t="s">
        <v>2337</v>
      </c>
      <c r="C5" s="253">
        <f ca="1">C6+C7+C8</f>
        <v>25274040</v>
      </c>
      <c r="D5" s="253" t="s">
        <v>2338</v>
      </c>
      <c r="E5" s="254" t="s">
        <v>2339</v>
      </c>
      <c r="F5" s="254" t="s">
        <v>2340</v>
      </c>
      <c r="G5" s="255"/>
    </row>
    <row r="6" spans="1:8" s="256" customFormat="1" ht="13.5" customHeight="1">
      <c r="A6" s="949" t="s">
        <v>2341</v>
      </c>
      <c r="B6" s="257" t="s">
        <v>2342</v>
      </c>
      <c r="C6" s="258"/>
      <c r="D6" s="259"/>
      <c r="E6" s="260"/>
      <c r="F6" s="260"/>
      <c r="G6" s="261"/>
    </row>
    <row r="7" spans="1:8" s="256" customFormat="1" ht="13.5" customHeight="1">
      <c r="A7" s="949" t="s">
        <v>2343</v>
      </c>
      <c r="B7" s="257" t="s">
        <v>2344</v>
      </c>
      <c r="C7" s="262">
        <f>ROUND(C6*F7,0)</f>
        <v>0</v>
      </c>
      <c r="D7" s="262"/>
      <c r="E7" s="260"/>
      <c r="F7" s="263">
        <f>'数据-取费表'!B48+'数据-取费表'!B49</f>
        <v>3.0499999999999999E-2</v>
      </c>
      <c r="G7" s="261"/>
    </row>
    <row r="8" spans="1:8" s="265" customFormat="1">
      <c r="A8" s="949" t="s">
        <v>2345</v>
      </c>
      <c r="B8" s="257" t="s">
        <v>2346</v>
      </c>
      <c r="C8" s="262">
        <f ca="1">IF(G8="已包含在土地购买价格中",0,C9+C10)</f>
        <v>25274040</v>
      </c>
      <c r="D8" s="264"/>
      <c r="E8" s="262"/>
      <c r="F8" s="263"/>
      <c r="G8" s="2548"/>
    </row>
    <row r="9" spans="1:8" s="256" customFormat="1" ht="13.5" customHeight="1">
      <c r="A9" s="950" t="s">
        <v>800</v>
      </c>
      <c r="B9" s="266" t="s">
        <v>2347</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2349</v>
      </c>
      <c r="C10" s="267">
        <f ca="1">ROUND(D10*E10,0)</f>
        <v>25274040</v>
      </c>
      <c r="D10" s="1032">
        <f ca="1">IF(B1="",'数据-汇总表'!E6,IF(INDIRECT("'数据-取费表'!c"&amp;$G$1)="住宅",INDIRECT("'数据-取费表'!s"&amp;$G$1),INDIRECT("'数据-取费表'!k"&amp;$G$1)+INDIRECT("'数据-取费表'!s"&amp;$G$1)))</f>
        <v>126370.20000000001</v>
      </c>
      <c r="E10" s="267">
        <f>'数据-取费表'!B28</f>
        <v>200</v>
      </c>
      <c r="F10" s="263"/>
      <c r="G10" s="268"/>
    </row>
    <row r="11" spans="1:8" s="256" customFormat="1" ht="13.5" hidden="1" customHeight="1">
      <c r="A11" s="269" t="s">
        <v>7</v>
      </c>
      <c r="B11" s="257" t="s">
        <v>2350</v>
      </c>
      <c r="C11" s="253"/>
      <c r="D11" s="1034"/>
      <c r="E11" s="260"/>
      <c r="F11" s="260"/>
      <c r="G11" s="261"/>
    </row>
    <row r="12" spans="1:8" s="256" customFormat="1" ht="13.5" hidden="1" customHeight="1">
      <c r="A12" s="269" t="s">
        <v>8</v>
      </c>
      <c r="B12" s="257" t="s">
        <v>2433</v>
      </c>
      <c r="C12" s="253">
        <v>0</v>
      </c>
      <c r="D12" s="1034"/>
      <c r="E12" s="270"/>
      <c r="F12" s="263">
        <v>3.0499999999999999E-2</v>
      </c>
      <c r="G12" s="261"/>
    </row>
    <row r="13" spans="1:8" s="256" customFormat="1" ht="13.5" hidden="1" customHeight="1">
      <c r="A13" s="269" t="s">
        <v>9</v>
      </c>
      <c r="B13" s="257" t="s">
        <v>2434</v>
      </c>
      <c r="C13" s="253"/>
      <c r="D13" s="1034"/>
      <c r="E13" s="260"/>
      <c r="F13" s="260"/>
      <c r="G13" s="261"/>
    </row>
    <row r="14" spans="1:8" s="256" customFormat="1" ht="13.5" hidden="1" customHeight="1">
      <c r="A14" s="269" t="s">
        <v>10</v>
      </c>
      <c r="B14" s="257" t="s">
        <v>2346</v>
      </c>
      <c r="C14" s="253"/>
      <c r="D14" s="1034"/>
      <c r="E14" s="260"/>
      <c r="F14" s="260"/>
      <c r="G14" s="261" t="s">
        <v>2435</v>
      </c>
    </row>
    <row r="15" spans="1:8" s="256" customFormat="1" ht="13.5" hidden="1" customHeight="1">
      <c r="A15" s="269" t="s">
        <v>11</v>
      </c>
      <c r="B15" s="257" t="s">
        <v>2436</v>
      </c>
      <c r="C15" s="262"/>
      <c r="D15" s="1034"/>
      <c r="E15" s="260"/>
      <c r="F15" s="260"/>
      <c r="G15" s="261" t="s">
        <v>2437</v>
      </c>
    </row>
    <row r="16" spans="1:8" s="256" customFormat="1" ht="13.5" hidden="1" customHeight="1">
      <c r="A16" s="269" t="s">
        <v>12</v>
      </c>
      <c r="B16" s="257" t="s">
        <v>2346</v>
      </c>
      <c r="C16" s="262"/>
      <c r="D16" s="1034"/>
      <c r="E16" s="260"/>
      <c r="F16" s="260"/>
      <c r="G16" s="261"/>
    </row>
    <row r="17" spans="1:7" s="256" customFormat="1" ht="13.5" hidden="1" customHeight="1">
      <c r="A17" s="269" t="s">
        <v>13</v>
      </c>
      <c r="B17" s="257" t="s">
        <v>2438</v>
      </c>
      <c r="C17" s="271"/>
      <c r="D17" s="1035"/>
      <c r="E17" s="271"/>
      <c r="F17" s="271"/>
      <c r="G17" s="261" t="s">
        <v>2437</v>
      </c>
    </row>
    <row r="18" spans="1:7" s="256" customFormat="1" ht="13.5" hidden="1" customHeight="1">
      <c r="A18" s="269" t="s">
        <v>14</v>
      </c>
      <c r="B18" s="257" t="s">
        <v>2439</v>
      </c>
      <c r="C18" s="262">
        <v>0</v>
      </c>
      <c r="D18" s="1034"/>
      <c r="E18" s="260"/>
      <c r="F18" s="263">
        <v>3.0499999999999999E-2</v>
      </c>
      <c r="G18" s="261" t="s">
        <v>2440</v>
      </c>
    </row>
    <row r="19" spans="1:7" s="265" customFormat="1" ht="13.5" customHeight="1">
      <c r="A19" s="297" t="s">
        <v>2441</v>
      </c>
      <c r="B19" s="252" t="s">
        <v>2442</v>
      </c>
      <c r="C19" s="253">
        <f ca="1">IF(G19="已包含在土地取得成本中","0",ROUND(D19*E19,0))</f>
        <v>25274040</v>
      </c>
      <c r="D19" s="1036">
        <f ca="1">D9+D10</f>
        <v>126370.20000000001</v>
      </c>
      <c r="E19" s="253">
        <f>'数据-取费表'!B31</f>
        <v>200</v>
      </c>
      <c r="F19" s="273"/>
      <c r="G19" s="2548"/>
    </row>
    <row r="20" spans="1:7" s="256" customFormat="1" ht="13.5" customHeight="1">
      <c r="A20" s="297" t="s">
        <v>2443</v>
      </c>
      <c r="B20" s="252" t="s">
        <v>2444</v>
      </c>
      <c r="C20" s="274">
        <f ca="1">ROUND((C5+C19)*F20,0)</f>
        <v>1010962</v>
      </c>
      <c r="D20" s="274"/>
      <c r="E20" s="274"/>
      <c r="F20" s="275">
        <f>'数据-取费表'!B37</f>
        <v>0.02</v>
      </c>
      <c r="G20" s="276" t="s">
        <v>2445</v>
      </c>
    </row>
    <row r="21" spans="1:7" s="256" customFormat="1" ht="13.5" customHeight="1">
      <c r="A21" s="297" t="s">
        <v>2446</v>
      </c>
      <c r="B21" s="252" t="s">
        <v>2447</v>
      </c>
      <c r="C21" s="277">
        <f>F21</f>
        <v>0.02</v>
      </c>
      <c r="D21" s="278" t="s">
        <v>2448</v>
      </c>
      <c r="E21" s="274"/>
      <c r="F21" s="275">
        <f>'数据-取费表'!B38</f>
        <v>0.02</v>
      </c>
      <c r="G21" s="276" t="s">
        <v>2449</v>
      </c>
    </row>
    <row r="22" spans="1:7" s="256" customFormat="1" ht="13.5" customHeight="1">
      <c r="A22" s="297" t="s">
        <v>2450</v>
      </c>
      <c r="B22" s="252" t="s">
        <v>2451</v>
      </c>
      <c r="C22" s="1379">
        <f ca="1">ROUND(SUM(C23:C25),0)</f>
        <v>7623546</v>
      </c>
      <c r="D22" s="277">
        <f ca="1">C26</f>
        <v>1.4E-3</v>
      </c>
      <c r="E22" s="278" t="s">
        <v>2448</v>
      </c>
      <c r="F22" s="279">
        <f ca="1">'数据-取费表'!B40</f>
        <v>4.7500000000000001E-2</v>
      </c>
      <c r="G22" s="276" t="str">
        <f>IF('数据-取费表'!B22&lt;=1,"单利计息","复利计息")</f>
        <v>复利计息</v>
      </c>
    </row>
    <row r="23" spans="1:7" s="256" customFormat="1" ht="13.5" customHeight="1">
      <c r="A23" s="951" t="s">
        <v>2341</v>
      </c>
      <c r="B23" s="257" t="s">
        <v>2452</v>
      </c>
      <c r="C23" s="1380">
        <f ca="1">ROUND(IF('数据-取费表'!B22&lt;=1,C5*F22*'数据-取费表'!B22,C5*(POWER((1+F22),'数据-取费表'!B22)-1)),0)</f>
        <v>3775333</v>
      </c>
      <c r="D23" s="280"/>
      <c r="E23" s="280"/>
      <c r="F23" s="281"/>
      <c r="G23" s="282" t="s">
        <v>2453</v>
      </c>
    </row>
    <row r="24" spans="1:7" s="256" customFormat="1" ht="13.5" customHeight="1">
      <c r="A24" s="951" t="s">
        <v>2343</v>
      </c>
      <c r="B24" s="257" t="s">
        <v>2454</v>
      </c>
      <c r="C24" s="1380">
        <f ca="1">ROUND(IF('数据-取费表'!B22&lt;=1,C19*F22*('数据-取费表'!B19/2+'数据-取费表'!B20),C19*(POWER((1+F22),('数据-取费表'!B19/2+'数据-取费表'!B20))-1)),0)</f>
        <v>3775333</v>
      </c>
      <c r="D24" s="280"/>
      <c r="E24" s="280"/>
      <c r="F24" s="281"/>
      <c r="G24" s="282" t="s">
        <v>2455</v>
      </c>
    </row>
    <row r="25" spans="1:7" s="256" customFormat="1" ht="24">
      <c r="A25" s="951" t="s">
        <v>2345</v>
      </c>
      <c r="B25" s="257" t="s">
        <v>2456</v>
      </c>
      <c r="C25" s="1380">
        <f ca="1">ROUND(IF('数据-取费表'!B22&lt;=1,C20*F22*'数据-取费表'!B22/2,C20*(POWER((1+F22),'数据-取费表'!B22/2)-1)),0)</f>
        <v>72880</v>
      </c>
      <c r="D25" s="280"/>
      <c r="E25" s="283"/>
      <c r="F25" s="281"/>
      <c r="G25" s="284" t="s">
        <v>2457</v>
      </c>
    </row>
    <row r="26" spans="1:7" s="256" customFormat="1">
      <c r="A26" s="951" t="s">
        <v>795</v>
      </c>
      <c r="B26" s="257" t="s">
        <v>2380</v>
      </c>
      <c r="C26" s="280">
        <f ca="1">ROUND(IF('数据-取费表'!B22&lt;=1,F21*F22*'数据-取费表'!B22/2,F21*(POWER((1+F22),'数据-取费表'!B22/2)-1)),4)</f>
        <v>1.4E-3</v>
      </c>
      <c r="D26" s="280"/>
      <c r="E26" s="283"/>
      <c r="F26" s="281"/>
      <c r="G26" s="285"/>
    </row>
    <row r="27" spans="1:7" s="256" customFormat="1" ht="26.4">
      <c r="A27" s="297" t="s">
        <v>2381</v>
      </c>
      <c r="B27" s="286" t="s">
        <v>2382</v>
      </c>
      <c r="C27" s="287">
        <f ca="1">C28</f>
        <v>10827399</v>
      </c>
      <c r="D27" s="277">
        <f ca="1">C29</f>
        <v>4.1999999999999997E-3</v>
      </c>
      <c r="E27" s="278" t="s">
        <v>2383</v>
      </c>
      <c r="F27" s="288">
        <f ca="1">IF(B1="",'数据-取费表'!Q16,INDIRECT("'数据-取费表'!q"&amp;$G$1))</f>
        <v>0.21</v>
      </c>
      <c r="G27" s="289" t="s">
        <v>2384</v>
      </c>
    </row>
    <row r="28" spans="1:7" s="256" customFormat="1" ht="13.5" customHeight="1">
      <c r="A28" s="951" t="s">
        <v>791</v>
      </c>
      <c r="B28" s="290" t="s">
        <v>2385</v>
      </c>
      <c r="C28" s="291">
        <f ca="1">ROUND((C5+C19+C20)*F27,0)</f>
        <v>10827399</v>
      </c>
      <c r="D28" s="277"/>
      <c r="E28" s="278"/>
      <c r="F28" s="288"/>
      <c r="G28" s="289"/>
    </row>
    <row r="29" spans="1:7" s="256" customFormat="1" ht="13.5" customHeight="1">
      <c r="A29" s="951" t="s">
        <v>792</v>
      </c>
      <c r="B29" s="290" t="s">
        <v>2386</v>
      </c>
      <c r="C29" s="280">
        <f ca="1">ROUND(C21*F27,4)</f>
        <v>4.1999999999999997E-3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75932741</v>
      </c>
      <c r="D31" s="272"/>
      <c r="E31" s="253"/>
      <c r="F31" s="292"/>
      <c r="G31" s="276" t="s">
        <v>2391</v>
      </c>
    </row>
    <row r="32" spans="1:7" s="250" customFormat="1" ht="16.2">
      <c r="A32" s="294" t="s">
        <v>2458</v>
      </c>
      <c r="B32" s="295"/>
      <c r="C32" s="295"/>
      <c r="D32" s="295"/>
      <c r="E32" s="295"/>
      <c r="F32" s="295"/>
      <c r="G32" s="296"/>
    </row>
    <row r="33" spans="1:7" s="256" customFormat="1" ht="13.5" customHeight="1">
      <c r="A33" s="297" t="s">
        <v>782</v>
      </c>
      <c r="B33" s="252" t="s">
        <v>2459</v>
      </c>
      <c r="C33" s="298">
        <f ca="1">SUM(C34:C38)</f>
        <v>468646170</v>
      </c>
      <c r="D33" s="274"/>
      <c r="E33" s="254"/>
      <c r="F33" s="283"/>
      <c r="G33" s="276"/>
    </row>
    <row r="34" spans="1:7" s="300" customFormat="1" ht="13.5" customHeight="1">
      <c r="A34" s="951" t="s">
        <v>791</v>
      </c>
      <c r="B34" s="257" t="s">
        <v>2394</v>
      </c>
      <c r="C34" s="262">
        <f ca="1">ROUND(IF(B1="",SUMPRODUCT('数据-取费表'!K6:K14,'数据-取费表'!L6:L14),INDIRECT("'数据-取费表'!l"&amp;$G$1)*INDIRECT("'数据-取费表'!k"&amp;$G$1)+'数据-取费表'!L14*INDIRECT("'数据-取费表'!S"&amp;$G$1)),0)</f>
        <v>424279550</v>
      </c>
      <c r="D34" s="259"/>
      <c r="E34" s="262"/>
      <c r="F34" s="299"/>
      <c r="G34" s="261"/>
    </row>
    <row r="35" spans="1:7" ht="13.5" customHeight="1">
      <c r="A35" s="951" t="s">
        <v>796</v>
      </c>
      <c r="B35" s="257" t="s">
        <v>2396</v>
      </c>
      <c r="C35" s="262">
        <f ca="1">ROUND(C34*F35,0)</f>
        <v>12728387</v>
      </c>
      <c r="D35" s="262"/>
      <c r="E35" s="262"/>
      <c r="F35" s="301">
        <f>'数据-取费表'!B33</f>
        <v>0.03</v>
      </c>
      <c r="G35" s="261" t="s">
        <v>2397</v>
      </c>
    </row>
    <row r="36" spans="1:7" ht="24">
      <c r="A36" s="951" t="s">
        <v>797</v>
      </c>
      <c r="B36" s="257" t="s">
        <v>2398</v>
      </c>
      <c r="C36" s="262">
        <f ca="1">ROUND(IF(B1="",SUM('数据-取费表'!AP6:AP13)*F36,IF(INDIRECT("'数据-取费表'!c"&amp;$G$1)="住宅",INDIRECT("'数据-取费表'!k"&amp;$G$1)*INDIRECT("'数据-取费表'!l"&amp;$G$1)*F36,0)),0)</f>
        <v>0</v>
      </c>
      <c r="D36" s="262"/>
      <c r="E36" s="262"/>
      <c r="F36" s="301">
        <f>'数据-取费表'!B34</f>
        <v>0.05</v>
      </c>
      <c r="G36" s="302" t="s">
        <v>2399</v>
      </c>
    </row>
    <row r="37" spans="1:7" s="300" customFormat="1" ht="13.5" customHeight="1">
      <c r="A37" s="951" t="s">
        <v>798</v>
      </c>
      <c r="B37" s="257" t="s">
        <v>2400</v>
      </c>
      <c r="C37" s="291">
        <f ca="1">ROUND(E37*D37,0)</f>
        <v>25274040</v>
      </c>
      <c r="D37" s="259">
        <f ca="1">D19</f>
        <v>126370.20000000001</v>
      </c>
      <c r="E37" s="291">
        <f>'数据-取费表'!B35</f>
        <v>200</v>
      </c>
      <c r="F37" s="301"/>
      <c r="G37" s="303"/>
    </row>
    <row r="38" spans="1:7" ht="13.5" customHeight="1">
      <c r="A38" s="951" t="s">
        <v>799</v>
      </c>
      <c r="B38" s="257" t="s">
        <v>2402</v>
      </c>
      <c r="C38" s="262">
        <f ca="1">ROUND(C34*F38,0)</f>
        <v>6364193</v>
      </c>
      <c r="D38" s="262"/>
      <c r="E38" s="262"/>
      <c r="F38" s="301">
        <f>'数据-取费表'!B36</f>
        <v>1.4999999999999999E-2</v>
      </c>
      <c r="G38" s="261" t="s">
        <v>2397</v>
      </c>
    </row>
    <row r="39" spans="1:7" s="256" customFormat="1" ht="13.5" customHeight="1">
      <c r="A39" s="297" t="s">
        <v>2403</v>
      </c>
      <c r="B39" s="252" t="s">
        <v>2404</v>
      </c>
      <c r="C39" s="274">
        <f ca="1">ROUND(C33*F20,0)</f>
        <v>9372923</v>
      </c>
      <c r="D39" s="274"/>
      <c r="E39" s="274"/>
      <c r="F39" s="275"/>
      <c r="G39" s="276" t="s">
        <v>2405</v>
      </c>
    </row>
    <row r="40" spans="1:7" s="256" customFormat="1" ht="13.5" customHeight="1">
      <c r="A40" s="297" t="s">
        <v>2406</v>
      </c>
      <c r="B40" s="252" t="s">
        <v>2407</v>
      </c>
      <c r="C40" s="1726">
        <f>F21</f>
        <v>0.02</v>
      </c>
      <c r="D40" s="278" t="s">
        <v>2408</v>
      </c>
      <c r="E40" s="274"/>
      <c r="F40" s="275"/>
      <c r="G40" s="276" t="s">
        <v>2409</v>
      </c>
    </row>
    <row r="41" spans="1:7" s="256" customFormat="1" ht="13.5" customHeight="1">
      <c r="A41" s="297" t="s">
        <v>2410</v>
      </c>
      <c r="B41" s="252" t="s">
        <v>2411</v>
      </c>
      <c r="C41" s="274">
        <f ca="1">ROUND(SUM(C42:C43),0)</f>
        <v>34460163</v>
      </c>
      <c r="D41" s="277">
        <f ca="1">C44</f>
        <v>1.4E-3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ROUND(IF('数据-取费表'!B22&lt;=1,C33*F22*'数据-取费表'!B20/2,C33*(POWER((1+F22),'数据-取费表'!B20/2)-1)),0)</f>
        <v>33784474</v>
      </c>
      <c r="D42" s="280"/>
      <c r="E42" s="280"/>
      <c r="F42" s="281"/>
      <c r="G42" s="3171" t="s">
        <v>2460</v>
      </c>
    </row>
    <row r="43" spans="1:7" ht="13.5" customHeight="1">
      <c r="A43" s="951" t="s">
        <v>792</v>
      </c>
      <c r="B43" s="257" t="s">
        <v>2414</v>
      </c>
      <c r="C43" s="280">
        <f ca="1">ROUND(IF('数据-取费表'!B22&lt;=1,C39*F22*'数据-取费表'!B20/2,C39*(POWER((1+F22),'数据-取费表'!B20/2)-1)),0)</f>
        <v>675689</v>
      </c>
      <c r="D43" s="280"/>
      <c r="E43" s="280"/>
      <c r="F43" s="281"/>
      <c r="G43" s="3172"/>
    </row>
    <row r="44" spans="1:7" ht="13.5" customHeight="1">
      <c r="A44" s="951" t="s">
        <v>793</v>
      </c>
      <c r="B44" s="257" t="s">
        <v>2415</v>
      </c>
      <c r="C44" s="280">
        <f ca="1">ROUND(IF('数据-取费表'!B22&lt;=1,C40*F22*'数据-取费表'!B20/2,C40*(POWER((1+F22),'数据-取费表'!B20/2)-1)),4)</f>
        <v>1.4E-3</v>
      </c>
      <c r="D44" s="280"/>
      <c r="E44" s="280"/>
      <c r="F44" s="281"/>
      <c r="G44" s="3173"/>
    </row>
    <row r="45" spans="1:7" s="256" customFormat="1" ht="13.5" customHeight="1">
      <c r="A45" s="297" t="s">
        <v>2416</v>
      </c>
      <c r="B45" s="286" t="s">
        <v>2382</v>
      </c>
      <c r="C45" s="287">
        <f ca="1">C46</f>
        <v>100384010</v>
      </c>
      <c r="D45" s="277">
        <f ca="1">C47</f>
        <v>4.1999999999999997E-3</v>
      </c>
      <c r="E45" s="278" t="s">
        <v>2408</v>
      </c>
      <c r="F45" s="288"/>
      <c r="G45" s="289" t="s">
        <v>2417</v>
      </c>
    </row>
    <row r="46" spans="1:7" s="256" customFormat="1" ht="13.5" customHeight="1">
      <c r="A46" s="951" t="s">
        <v>791</v>
      </c>
      <c r="B46" s="290" t="s">
        <v>2418</v>
      </c>
      <c r="C46" s="291">
        <f ca="1">ROUND((C33+C39)*F27,0)</f>
        <v>100384010</v>
      </c>
      <c r="D46" s="305"/>
      <c r="E46" s="278"/>
      <c r="F46" s="288"/>
      <c r="G46" s="289"/>
    </row>
    <row r="47" spans="1:7" s="256" customFormat="1" ht="13.5" customHeight="1">
      <c r="A47" s="951" t="s">
        <v>792</v>
      </c>
      <c r="B47" s="290" t="s">
        <v>2419</v>
      </c>
      <c r="C47" s="280">
        <f ca="1">ROUND(C40*F27,4)</f>
        <v>4.1999999999999997E-3</v>
      </c>
      <c r="D47" s="305"/>
      <c r="E47" s="278"/>
      <c r="F47" s="288"/>
      <c r="G47" s="289"/>
    </row>
    <row r="48" spans="1:7" s="256" customFormat="1" ht="13.5" customHeight="1">
      <c r="A48" s="297" t="s">
        <v>2381</v>
      </c>
      <c r="B48" s="252" t="s">
        <v>2420</v>
      </c>
      <c r="C48" s="304">
        <f>ROUND(F30/(1+'数据-取费表'!C42),4)</f>
        <v>5.2400000000000002E-2</v>
      </c>
      <c r="D48" s="278" t="s">
        <v>2408</v>
      </c>
      <c r="E48" s="274"/>
      <c r="F48" s="279"/>
      <c r="G48" s="276" t="s">
        <v>2421</v>
      </c>
    </row>
    <row r="49" spans="1:7" ht="16.5" customHeight="1">
      <c r="A49" s="297" t="s">
        <v>2387</v>
      </c>
      <c r="B49" s="252" t="s">
        <v>2461</v>
      </c>
      <c r="C49" s="274">
        <f ca="1">ROUND((C33+C39+C41+C45)/(1-C40-D41-D45-C48),0)</f>
        <v>664710701</v>
      </c>
      <c r="D49" s="274"/>
      <c r="E49" s="274"/>
      <c r="F49" s="306"/>
      <c r="G49" s="276" t="s">
        <v>2423</v>
      </c>
    </row>
    <row r="50" spans="1:7" s="300" customFormat="1">
      <c r="A50" s="297" t="s">
        <v>2424</v>
      </c>
      <c r="B50" s="252" t="s">
        <v>2425</v>
      </c>
      <c r="C50" s="274"/>
      <c r="D50" s="274"/>
      <c r="E50" s="274"/>
      <c r="F50" s="306">
        <f>IF('数据-取费表'!B24=0,'数据-取费表'!N16,1)</f>
        <v>1</v>
      </c>
      <c r="G50" s="289"/>
    </row>
    <row r="51" spans="1:7" ht="16.5" customHeight="1">
      <c r="A51" s="297" t="s">
        <v>2427</v>
      </c>
      <c r="B51" s="252" t="s">
        <v>2462</v>
      </c>
      <c r="C51" s="274">
        <f ca="1">ROUND(C49*F50,0)</f>
        <v>664710701</v>
      </c>
      <c r="D51" s="274"/>
      <c r="E51" s="274"/>
      <c r="F51" s="306"/>
      <c r="G51" s="276" t="s">
        <v>2429</v>
      </c>
    </row>
    <row r="52" spans="1:7" s="250" customFormat="1" ht="16.8" thickBot="1">
      <c r="A52" s="307" t="s">
        <v>2430</v>
      </c>
      <c r="B52" s="308"/>
      <c r="C52" s="309">
        <f ca="1">C31+C51</f>
        <v>740643442</v>
      </c>
      <c r="D52" s="308"/>
      <c r="E52" s="308"/>
      <c r="F52" s="308"/>
      <c r="G52" s="310"/>
    </row>
    <row r="55" spans="1:7" ht="15">
      <c r="B55" s="312" t="s">
        <v>2431</v>
      </c>
      <c r="C55" s="313"/>
    </row>
    <row r="56" spans="1:7">
      <c r="B56" s="315" t="s">
        <v>1514</v>
      </c>
      <c r="C56" s="317">
        <f ca="1">1-C57</f>
        <v>0.10299999999999998</v>
      </c>
    </row>
    <row r="57" spans="1:7">
      <c r="B57" s="315" t="s">
        <v>1515</v>
      </c>
      <c r="C57" s="316">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90" zoomScaleNormal="90" workbookViewId="0">
      <selection activeCell="K21" sqref="K21"/>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2745</v>
      </c>
      <c r="B1" s="393"/>
      <c r="C1" s="394"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2331</v>
      </c>
      <c r="B2" s="669">
        <f>F66</f>
        <v>208483</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2333</v>
      </c>
      <c r="B3" s="607">
        <f>ROUND(IF(D3="",B2*10000/'数据-汇总表'!E3,B2*10000/D3),0)</f>
        <v>16498</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30">
      <c r="A5" s="402"/>
      <c r="B5" s="403"/>
      <c r="C5" s="3185" t="s">
        <v>2543</v>
      </c>
      <c r="D5" s="3186"/>
      <c r="E5" s="3183" t="str">
        <f>案例!A3</f>
        <v>朝阳区金盏乡楼梓庄村1113-602地块</v>
      </c>
      <c r="F5" s="3184"/>
      <c r="G5" s="3185" t="str">
        <f>案例!A5</f>
        <v>朝阳区金盏乡楼梓庄村1113-603地块</v>
      </c>
      <c r="H5" s="3186"/>
      <c r="I5" s="3185" t="str">
        <f>案例!A6</f>
        <v>朝阳区金盏乡楼梓庄村1113-604地块</v>
      </c>
      <c r="J5" s="3186"/>
      <c r="K5" s="608"/>
      <c r="L5" s="1130"/>
      <c r="M5" s="1131"/>
      <c r="N5" s="1131"/>
      <c r="O5" s="1131"/>
      <c r="P5" s="3198"/>
      <c r="Q5" s="3199"/>
      <c r="R5" s="3181"/>
      <c r="S5" s="3182"/>
      <c r="T5" s="3181"/>
      <c r="U5" s="3182"/>
      <c r="V5" s="3204"/>
      <c r="W5" s="3204"/>
      <c r="X5" s="1811"/>
      <c r="Y5" s="3181"/>
      <c r="Z5" s="3182"/>
      <c r="AA5" s="3175"/>
      <c r="AB5" s="3175"/>
      <c r="AC5" s="3175"/>
    </row>
    <row r="6" spans="1:30" ht="1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30" s="115" customFormat="1" ht="15" thickBot="1">
      <c r="A7" s="406" t="s">
        <v>2549</v>
      </c>
      <c r="B7" s="407"/>
      <c r="C7" s="408">
        <f>'数据-取费表'!B2</f>
        <v>43332</v>
      </c>
      <c r="D7" s="409">
        <v>100</v>
      </c>
      <c r="E7" s="410" t="str">
        <f>案例!H3</f>
        <v>2017-04-14</v>
      </c>
      <c r="F7" s="411">
        <f>SUMIF(70:70,YEAR(E7)&amp;"-"&amp;INT((MONTH(E7)+2)/3),71:71)</f>
        <v>95</v>
      </c>
      <c r="G7" s="2694" t="str">
        <f>案例!H5</f>
        <v>2017-03-30</v>
      </c>
      <c r="H7" s="409">
        <f>SUMIF(70:70,YEAR(G7)&amp;"-"&amp;INT((MONTH(G7)+2)/3),71:71)</f>
        <v>94</v>
      </c>
      <c r="I7" s="2694" t="str">
        <f>案例!H6</f>
        <v>2017-03-30</v>
      </c>
      <c r="J7" s="409">
        <f>SUMIF(70:70,YEAR(I7)&amp;"-"&amp;INT((MONTH(I7)+2)/3),71:71)</f>
        <v>94</v>
      </c>
      <c r="K7" s="609"/>
      <c r="L7" s="1132"/>
      <c r="M7" s="1133"/>
      <c r="N7" s="1133"/>
      <c r="O7" s="1133"/>
      <c r="P7" s="3177" t="s">
        <v>2550</v>
      </c>
      <c r="Q7" s="3205"/>
      <c r="R7" s="768" t="s">
        <v>17</v>
      </c>
      <c r="S7" s="769">
        <f t="shared" ref="S7:S15" si="0">F7</f>
        <v>95</v>
      </c>
      <c r="T7" s="768" t="s">
        <v>17</v>
      </c>
      <c r="U7" s="769">
        <f t="shared" ref="U7:U15" si="1">H7</f>
        <v>94</v>
      </c>
      <c r="V7" s="768" t="s">
        <v>17</v>
      </c>
      <c r="W7" s="769">
        <f t="shared" ref="W7:W15" si="2">J7</f>
        <v>94</v>
      </c>
      <c r="X7" s="770"/>
      <c r="Y7" s="3177" t="s">
        <v>2550</v>
      </c>
      <c r="Z7" s="3178"/>
      <c r="AA7" s="771">
        <f>D7/F7</f>
        <v>1.0526315789473684</v>
      </c>
      <c r="AB7" s="771">
        <f>D7/H7</f>
        <v>1.0638297872340425</v>
      </c>
      <c r="AC7" s="771">
        <f>D7/J7</f>
        <v>1.0638297872340425</v>
      </c>
    </row>
    <row r="8" spans="1:30" s="115" customFormat="1" ht="15" thickBot="1">
      <c r="A8" s="406" t="s">
        <v>2551</v>
      </c>
      <c r="B8" s="407"/>
      <c r="C8" s="412" t="s">
        <v>2552</v>
      </c>
      <c r="D8" s="409">
        <v>100</v>
      </c>
      <c r="E8" s="412" t="s">
        <v>3121</v>
      </c>
      <c r="F8" s="411">
        <f>SUMIF(73:73,E8,74:74)-SUMIF(73:73,C8,74:74)+100</f>
        <v>100</v>
      </c>
      <c r="G8" s="412" t="s">
        <v>3121</v>
      </c>
      <c r="H8" s="409">
        <f>SUMIF(73:73,G8,74:74)-SUMIF(73:73,C8,74:74)+100</f>
        <v>100</v>
      </c>
      <c r="I8" s="412" t="s">
        <v>3121</v>
      </c>
      <c r="J8" s="409">
        <f>SUMIF(73:73,I8,74:74)-SUMIF(73:73,C8,74:74)+100</f>
        <v>100</v>
      </c>
      <c r="K8" s="609"/>
      <c r="L8" s="1132"/>
      <c r="M8" s="1133"/>
      <c r="N8" s="1133"/>
      <c r="O8" s="1133"/>
      <c r="P8" s="3177" t="s">
        <v>2553</v>
      </c>
      <c r="Q8" s="3178"/>
      <c r="R8" s="768" t="s">
        <v>17</v>
      </c>
      <c r="S8" s="769">
        <f t="shared" si="0"/>
        <v>100</v>
      </c>
      <c r="T8" s="768" t="s">
        <v>17</v>
      </c>
      <c r="U8" s="769">
        <f t="shared" si="1"/>
        <v>100</v>
      </c>
      <c r="V8" s="768" t="s">
        <v>17</v>
      </c>
      <c r="W8" s="769">
        <f t="shared" si="2"/>
        <v>100</v>
      </c>
      <c r="X8" s="770"/>
      <c r="Y8" s="3177" t="s">
        <v>2553</v>
      </c>
      <c r="Z8" s="3178"/>
      <c r="AA8" s="771">
        <f t="shared" ref="AA8:AA45" si="3">D8/F8</f>
        <v>1</v>
      </c>
      <c r="AB8" s="771">
        <f t="shared" ref="AB8:AB45" si="4">D8/H8</f>
        <v>1</v>
      </c>
      <c r="AC8" s="771">
        <f t="shared" ref="AC8:AC45" si="5">D8/J8</f>
        <v>1</v>
      </c>
    </row>
    <row r="9" spans="1:30" s="115" customFormat="1" ht="14.4">
      <c r="A9" s="413" t="s">
        <v>2554</v>
      </c>
      <c r="B9" s="70" t="s">
        <v>2555</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30" s="425" customFormat="1" ht="28.8">
      <c r="A10" s="419"/>
      <c r="B10" s="420" t="s">
        <v>2558</v>
      </c>
      <c r="C10" s="430"/>
      <c r="D10" s="134">
        <v>100</v>
      </c>
      <c r="E10" s="463"/>
      <c r="F10" s="134">
        <f>ROUND(100/'数据-取费表'!G16,0)</f>
        <v>105</v>
      </c>
      <c r="G10" s="461"/>
      <c r="H10" s="134">
        <f>ROUND(100/'数据-取费表'!G16,0)</f>
        <v>105</v>
      </c>
      <c r="I10" s="461"/>
      <c r="J10" s="134">
        <f>ROUND(100/'数据-取费表'!G16,0)</f>
        <v>105</v>
      </c>
      <c r="K10" s="670"/>
      <c r="L10" s="1135"/>
      <c r="M10" s="1136"/>
      <c r="N10" s="1136"/>
      <c r="O10" s="1137"/>
      <c r="P10" s="3191"/>
      <c r="Q10" s="1793" t="str">
        <f t="shared" si="6"/>
        <v>土地使用年限（年）</v>
      </c>
      <c r="R10" s="768" t="s">
        <v>17</v>
      </c>
      <c r="S10" s="769">
        <f t="shared" si="0"/>
        <v>105</v>
      </c>
      <c r="T10" s="768" t="s">
        <v>17</v>
      </c>
      <c r="U10" s="769">
        <f t="shared" si="1"/>
        <v>105</v>
      </c>
      <c r="V10" s="768" t="s">
        <v>17</v>
      </c>
      <c r="W10" s="769">
        <f t="shared" si="2"/>
        <v>105</v>
      </c>
      <c r="X10" s="770"/>
      <c r="Y10" s="3051"/>
      <c r="Z10" s="54" t="str">
        <f t="shared" si="7"/>
        <v>土地使用年限（年）</v>
      </c>
      <c r="AA10" s="771">
        <f t="shared" si="3"/>
        <v>0.95238095238095233</v>
      </c>
      <c r="AB10" s="771">
        <f t="shared" si="4"/>
        <v>0.95238095238095233</v>
      </c>
      <c r="AC10" s="771">
        <f t="shared" si="5"/>
        <v>0.95238095238095233</v>
      </c>
    </row>
    <row r="11" spans="1:30" ht="15">
      <c r="A11" s="426"/>
      <c r="B11" s="420" t="s">
        <v>2559</v>
      </c>
      <c r="C11" s="427">
        <f>'数据-汇总表'!I6</f>
        <v>8.02</v>
      </c>
      <c r="D11" s="134">
        <v>100</v>
      </c>
      <c r="E11" s="427">
        <f>案例!F3</f>
        <v>3</v>
      </c>
      <c r="F11" s="134">
        <f>LOOKUP(E11,80:80,81:81)-LOOKUP(C11,80:80,81:81)+100</f>
        <v>105</v>
      </c>
      <c r="G11" s="428">
        <f>案例!F5</f>
        <v>2</v>
      </c>
      <c r="H11" s="134">
        <f>LOOKUP(G11,80:80,81:81)-LOOKUP(C11,80:80,81:81)+100</f>
        <v>106</v>
      </c>
      <c r="I11" s="427">
        <f>案例!F6</f>
        <v>2</v>
      </c>
      <c r="J11" s="134">
        <f>LOOKUP(I11,80:80,81:81)-LOOKUP(C11,80:80,81:81)+100</f>
        <v>106</v>
      </c>
      <c r="K11" s="671">
        <f>'[1]土地比较法-住宅、综合'!$K$11</f>
        <v>1</v>
      </c>
      <c r="L11" s="1138"/>
      <c r="M11" s="1131"/>
      <c r="N11" s="1131"/>
      <c r="O11" s="1139"/>
      <c r="P11" s="3191"/>
      <c r="Q11" s="1793" t="str">
        <f t="shared" si="6"/>
        <v>容积率</v>
      </c>
      <c r="R11" s="768" t="s">
        <v>17</v>
      </c>
      <c r="S11" s="769">
        <f t="shared" si="0"/>
        <v>105</v>
      </c>
      <c r="T11" s="768" t="s">
        <v>17</v>
      </c>
      <c r="U11" s="769">
        <f t="shared" si="1"/>
        <v>106</v>
      </c>
      <c r="V11" s="768" t="s">
        <v>17</v>
      </c>
      <c r="W11" s="769">
        <f t="shared" si="2"/>
        <v>106</v>
      </c>
      <c r="X11" s="770"/>
      <c r="Y11" s="3051"/>
      <c r="Z11" s="54" t="str">
        <f t="shared" si="7"/>
        <v>容积率</v>
      </c>
      <c r="AA11" s="771">
        <f t="shared" si="3"/>
        <v>0.95238095238095233</v>
      </c>
      <c r="AB11" s="771">
        <f t="shared" si="4"/>
        <v>0.94339622641509435</v>
      </c>
      <c r="AC11" s="771">
        <f t="shared" si="5"/>
        <v>0.94339622641509435</v>
      </c>
    </row>
    <row r="12" spans="1:30" s="115" customFormat="1" ht="15">
      <c r="A12" s="429"/>
      <c r="B12" s="2598" t="s">
        <v>2748</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91"/>
      <c r="Q12" s="1793" t="str">
        <f t="shared" si="6"/>
        <v>配建</v>
      </c>
      <c r="R12" s="768" t="s">
        <v>17</v>
      </c>
      <c r="S12" s="769">
        <f t="shared" si="0"/>
        <v>100</v>
      </c>
      <c r="T12" s="768" t="s">
        <v>17</v>
      </c>
      <c r="U12" s="769">
        <f t="shared" si="1"/>
        <v>100</v>
      </c>
      <c r="V12" s="768" t="s">
        <v>17</v>
      </c>
      <c r="W12" s="769">
        <f t="shared" si="2"/>
        <v>100</v>
      </c>
      <c r="X12" s="770"/>
      <c r="Y12" s="3051"/>
      <c r="Z12" s="54"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D13/F13</f>
        <v>1</v>
      </c>
      <c r="AB13" s="771">
        <f>D13/H13</f>
        <v>1</v>
      </c>
      <c r="AC13" s="771">
        <f>D13/J13</f>
        <v>1</v>
      </c>
    </row>
    <row r="14" spans="1:30" ht="15.6"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D14/F14</f>
        <v>1</v>
      </c>
      <c r="AB14" s="771">
        <f>D14/H14</f>
        <v>1</v>
      </c>
      <c r="AC14" s="771">
        <f>D14/J14</f>
        <v>1</v>
      </c>
    </row>
    <row r="15" spans="1:30" ht="96.6" hidden="1">
      <c r="A15" s="438" t="s">
        <v>2560</v>
      </c>
      <c r="B15" s="68" t="s">
        <v>2091</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06" t="s">
        <v>2561</v>
      </c>
      <c r="Q15" s="1808" t="str">
        <f t="shared" si="6"/>
        <v>居住社区成熟度</v>
      </c>
      <c r="R15" s="772" t="s">
        <v>17</v>
      </c>
      <c r="S15" s="773">
        <f t="shared" si="0"/>
        <v>100</v>
      </c>
      <c r="T15" s="772" t="s">
        <v>17</v>
      </c>
      <c r="U15" s="773">
        <f t="shared" si="1"/>
        <v>100</v>
      </c>
      <c r="V15" s="772" t="s">
        <v>17</v>
      </c>
      <c r="W15" s="773">
        <f t="shared" si="2"/>
        <v>100</v>
      </c>
      <c r="X15" s="1811"/>
      <c r="Y15" s="3206" t="s">
        <v>2561</v>
      </c>
      <c r="Z15" s="1812" t="str">
        <f t="shared" si="7"/>
        <v>居住社区成熟度</v>
      </c>
      <c r="AA15" s="1809">
        <f t="shared" si="3"/>
        <v>1</v>
      </c>
      <c r="AB15" s="1809">
        <f t="shared" si="4"/>
        <v>1</v>
      </c>
      <c r="AC15" s="1809">
        <f t="shared" si="5"/>
        <v>1</v>
      </c>
    </row>
    <row r="16" spans="1:30" ht="15" hidden="1">
      <c r="A16" s="426"/>
      <c r="B16" s="444"/>
      <c r="C16" s="445"/>
      <c r="D16" s="446"/>
      <c r="E16" s="2603"/>
      <c r="F16" s="446"/>
      <c r="G16" s="2603"/>
      <c r="H16" s="448"/>
      <c r="I16" s="2602"/>
      <c r="J16" s="446"/>
      <c r="K16" s="670"/>
      <c r="L16" s="1140"/>
      <c r="M16" s="1131"/>
      <c r="N16" s="1131"/>
      <c r="O16" s="1139"/>
      <c r="P16" s="3207"/>
      <c r="Q16" s="1808"/>
      <c r="R16" s="772"/>
      <c r="S16" s="773"/>
      <c r="T16" s="772"/>
      <c r="U16" s="773"/>
      <c r="V16" s="772"/>
      <c r="W16" s="773"/>
      <c r="X16" s="1811"/>
      <c r="Y16" s="3207"/>
      <c r="Z16" s="1812"/>
      <c r="AA16" s="1809">
        <v>1</v>
      </c>
      <c r="AB16" s="1809">
        <v>1</v>
      </c>
      <c r="AC16" s="1809">
        <v>1</v>
      </c>
    </row>
    <row r="17" spans="1:29" ht="96.6">
      <c r="A17" s="426"/>
      <c r="B17" s="449" t="s">
        <v>2654</v>
      </c>
      <c r="C17" s="2662" t="str">
        <f>估价对象房地状况!C16</f>
        <v>估价对象位于通州运河核心区，周边商业氛围成熟度一般，人流量一般，商业繁华度一般。</v>
      </c>
      <c r="D17" s="448">
        <v>100</v>
      </c>
      <c r="E17" s="450" t="s">
        <v>3210</v>
      </c>
      <c r="F17" s="448">
        <f>SUMIF(90:90,E18,91:91)-SUMIF(90:90,C18,91:91)+100</f>
        <v>100</v>
      </c>
      <c r="G17" s="450" t="s">
        <v>3210</v>
      </c>
      <c r="H17" s="453">
        <f>SUMIF(90:90,G18,91:91)-SUMIF(90:90,C18,91:91)+100</f>
        <v>100</v>
      </c>
      <c r="I17" s="450" t="s">
        <v>3210</v>
      </c>
      <c r="J17" s="453">
        <f>SUMIF(90:90,I18,91:91)-SUMIF(90:90,C18,91:91)+100</f>
        <v>100</v>
      </c>
      <c r="K17" s="671"/>
      <c r="L17" s="1140"/>
      <c r="M17" s="1131"/>
      <c r="N17" s="1131"/>
      <c r="O17" s="1139"/>
      <c r="P17" s="3207"/>
      <c r="Q17" s="1808" t="str">
        <f>B17</f>
        <v>商业繁华度</v>
      </c>
      <c r="R17" s="772" t="s">
        <v>17</v>
      </c>
      <c r="S17" s="773">
        <f>F17</f>
        <v>100</v>
      </c>
      <c r="T17" s="772" t="s">
        <v>17</v>
      </c>
      <c r="U17" s="773">
        <f>H17</f>
        <v>100</v>
      </c>
      <c r="V17" s="772" t="s">
        <v>17</v>
      </c>
      <c r="W17" s="773">
        <f>J17</f>
        <v>100</v>
      </c>
      <c r="X17" s="1811"/>
      <c r="Y17" s="3207"/>
      <c r="Z17" s="1812" t="str">
        <f>Q17</f>
        <v>商业繁华度</v>
      </c>
      <c r="AA17" s="1809">
        <f t="shared" si="3"/>
        <v>1</v>
      </c>
      <c r="AB17" s="1809">
        <f t="shared" si="4"/>
        <v>1</v>
      </c>
      <c r="AC17" s="1809">
        <f t="shared" si="5"/>
        <v>1</v>
      </c>
    </row>
    <row r="18" spans="1:29" ht="15" hidden="1">
      <c r="A18" s="426"/>
      <c r="B18" s="454"/>
      <c r="C18" s="2606" t="s">
        <v>3130</v>
      </c>
      <c r="D18" s="448"/>
      <c r="E18" s="2606" t="s">
        <v>3130</v>
      </c>
      <c r="F18" s="448"/>
      <c r="G18" s="2606" t="s">
        <v>3130</v>
      </c>
      <c r="H18" s="446"/>
      <c r="I18" s="2606" t="s">
        <v>3130</v>
      </c>
      <c r="J18" s="446"/>
      <c r="K18" s="670"/>
      <c r="L18" s="1140"/>
      <c r="M18" s="1131"/>
      <c r="N18" s="1131"/>
      <c r="O18" s="1139"/>
      <c r="P18" s="3207"/>
      <c r="Q18" s="1808"/>
      <c r="R18" s="772"/>
      <c r="S18" s="773"/>
      <c r="T18" s="772"/>
      <c r="U18" s="773"/>
      <c r="V18" s="772"/>
      <c r="W18" s="773"/>
      <c r="X18" s="1811"/>
      <c r="Y18" s="3207"/>
      <c r="Z18" s="1812"/>
      <c r="AA18" s="1809">
        <v>1</v>
      </c>
      <c r="AB18" s="1809">
        <v>1</v>
      </c>
      <c r="AC18" s="1809">
        <v>1</v>
      </c>
    </row>
    <row r="19" spans="1:29" ht="96.6">
      <c r="A19" s="426"/>
      <c r="B19" s="449" t="s">
        <v>2688</v>
      </c>
      <c r="C19" s="2662" t="str">
        <f>估价对象房地状况!C17</f>
        <v>估价对象位于通州运河核心区，周边办公楼项目数量一般，入驻率一般，办公集聚程度一般。</v>
      </c>
      <c r="D19" s="453">
        <v>100</v>
      </c>
      <c r="E19" s="2974" t="s">
        <v>3211</v>
      </c>
      <c r="F19" s="453">
        <f>SUMIF(92:92,E20,93:93)-SUMIF(92:92,C20,93:93)+100</f>
        <v>100</v>
      </c>
      <c r="G19" s="2974" t="s">
        <v>3211</v>
      </c>
      <c r="H19" s="448">
        <f>SUMIF(92:92,G20,93:93)-SUMIF(92:92,C20,93:93)+100</f>
        <v>100</v>
      </c>
      <c r="I19" s="2974" t="s">
        <v>3211</v>
      </c>
      <c r="J19" s="448">
        <f>SUMIF(92:92,I20,93:93)-SUMIF(92:92,C20,93:93)+100</f>
        <v>100</v>
      </c>
      <c r="K19" s="671"/>
      <c r="L19" s="1140"/>
      <c r="M19" s="1131"/>
      <c r="N19" s="1131"/>
      <c r="O19" s="1139"/>
      <c r="P19" s="3207"/>
      <c r="Q19" s="1808" t="str">
        <f>B19</f>
        <v>办公集聚程度</v>
      </c>
      <c r="R19" s="772" t="s">
        <v>17</v>
      </c>
      <c r="S19" s="773">
        <f>F19</f>
        <v>100</v>
      </c>
      <c r="T19" s="772" t="s">
        <v>17</v>
      </c>
      <c r="U19" s="773">
        <f>H19</f>
        <v>100</v>
      </c>
      <c r="V19" s="772" t="s">
        <v>17</v>
      </c>
      <c r="W19" s="773">
        <f>J19</f>
        <v>100</v>
      </c>
      <c r="X19" s="1811"/>
      <c r="Y19" s="3207"/>
      <c r="Z19" s="1812" t="str">
        <f>Q19</f>
        <v>办公集聚程度</v>
      </c>
      <c r="AA19" s="1809">
        <f t="shared" si="3"/>
        <v>1</v>
      </c>
      <c r="AB19" s="1809">
        <f t="shared" si="4"/>
        <v>1</v>
      </c>
      <c r="AC19" s="1809">
        <f t="shared" si="5"/>
        <v>1</v>
      </c>
    </row>
    <row r="20" spans="1:29" ht="15" hidden="1">
      <c r="A20" s="426"/>
      <c r="B20" s="454"/>
      <c r="C20" s="445" t="s">
        <v>3130</v>
      </c>
      <c r="D20" s="446"/>
      <c r="E20" s="2603" t="s">
        <v>3130</v>
      </c>
      <c r="F20" s="446"/>
      <c r="G20" s="2603" t="s">
        <v>3130</v>
      </c>
      <c r="H20" s="446"/>
      <c r="I20" s="2603" t="s">
        <v>3130</v>
      </c>
      <c r="J20" s="446"/>
      <c r="K20" s="670"/>
      <c r="L20" s="1140"/>
      <c r="M20" s="1131"/>
      <c r="N20" s="1131"/>
      <c r="O20" s="1139"/>
      <c r="P20" s="3207"/>
      <c r="Q20" s="1808"/>
      <c r="R20" s="772"/>
      <c r="S20" s="773"/>
      <c r="T20" s="772"/>
      <c r="U20" s="773"/>
      <c r="V20" s="772"/>
      <c r="W20" s="773"/>
      <c r="X20" s="1811"/>
      <c r="Y20" s="3207"/>
      <c r="Z20" s="1812"/>
      <c r="AA20" s="1809">
        <v>1</v>
      </c>
      <c r="AB20" s="1809">
        <v>1</v>
      </c>
      <c r="AC20" s="1809">
        <v>1</v>
      </c>
    </row>
    <row r="21" spans="1:29" ht="110.4">
      <c r="A21" s="426"/>
      <c r="B21" s="449" t="s">
        <v>2710</v>
      </c>
      <c r="C21" s="2605" t="str">
        <f>估价对象房地状况!C18</f>
        <v>附近主要有317路、552路、809、通49路等公交线路，紧邻地铁6号线，路网密集度较好，交通便捷度较好。</v>
      </c>
      <c r="D21" s="448">
        <v>100</v>
      </c>
      <c r="E21" s="450" t="s">
        <v>3212</v>
      </c>
      <c r="F21" s="453">
        <f>SUMIF(94:94,E22,95:95)-SUMIF(94:94,C22,95:95)+100</f>
        <v>100</v>
      </c>
      <c r="G21" s="450" t="s">
        <v>3212</v>
      </c>
      <c r="H21" s="448">
        <f>SUMIF(94:94,G22,95:95)-SUMIF(94:94,C22,95:95)+100</f>
        <v>100</v>
      </c>
      <c r="I21" s="450" t="s">
        <v>3212</v>
      </c>
      <c r="J21" s="448">
        <f>SUMIF(94:94,I22,95:95)-SUMIF(94:94,C22,95:95)+100</f>
        <v>100</v>
      </c>
      <c r="K21" s="671"/>
      <c r="L21" s="1140"/>
      <c r="M21" s="1131"/>
      <c r="N21" s="1131"/>
      <c r="O21" s="1139"/>
      <c r="P21" s="3207"/>
      <c r="Q21" s="1808" t="str">
        <f>B21</f>
        <v>交通便捷度</v>
      </c>
      <c r="R21" s="772" t="s">
        <v>17</v>
      </c>
      <c r="S21" s="773">
        <f>F21</f>
        <v>100</v>
      </c>
      <c r="T21" s="772" t="s">
        <v>17</v>
      </c>
      <c r="U21" s="773">
        <f>H21</f>
        <v>100</v>
      </c>
      <c r="V21" s="772" t="s">
        <v>17</v>
      </c>
      <c r="W21" s="773">
        <f>J21</f>
        <v>100</v>
      </c>
      <c r="X21" s="1811"/>
      <c r="Y21" s="3207"/>
      <c r="Z21" s="1812" t="str">
        <f>Q21</f>
        <v>交通便捷度</v>
      </c>
      <c r="AA21" s="1809">
        <f t="shared" si="3"/>
        <v>1</v>
      </c>
      <c r="AB21" s="1809">
        <f t="shared" si="4"/>
        <v>1</v>
      </c>
      <c r="AC21" s="1809">
        <f t="shared" si="5"/>
        <v>1</v>
      </c>
    </row>
    <row r="22" spans="1:29" ht="15" hidden="1">
      <c r="A22" s="426"/>
      <c r="B22" s="1383"/>
      <c r="C22" s="445" t="s">
        <v>3132</v>
      </c>
      <c r="D22" s="448"/>
      <c r="E22" s="2603" t="s">
        <v>3132</v>
      </c>
      <c r="F22" s="446"/>
      <c r="G22" s="2603" t="s">
        <v>3132</v>
      </c>
      <c r="H22" s="446"/>
      <c r="I22" s="2603" t="s">
        <v>3132</v>
      </c>
      <c r="J22" s="446"/>
      <c r="K22" s="670"/>
      <c r="L22" s="1140"/>
      <c r="M22" s="1131"/>
      <c r="N22" s="1131"/>
      <c r="O22" s="1139"/>
      <c r="P22" s="3207"/>
      <c r="Q22" s="1808"/>
      <c r="R22" s="772"/>
      <c r="S22" s="773"/>
      <c r="T22" s="772"/>
      <c r="U22" s="773"/>
      <c r="V22" s="772"/>
      <c r="W22" s="773"/>
      <c r="X22" s="1811"/>
      <c r="Y22" s="3207"/>
      <c r="Z22" s="1812"/>
      <c r="AA22" s="1809">
        <v>1</v>
      </c>
      <c r="AB22" s="1809">
        <v>1</v>
      </c>
      <c r="AC22" s="1809">
        <v>1</v>
      </c>
    </row>
    <row r="23" spans="1:29" ht="28.8">
      <c r="A23" s="402"/>
      <c r="B23" s="449" t="s">
        <v>2749</v>
      </c>
      <c r="C23" s="1388">
        <f>估价对象房地状况!C19</f>
        <v>0</v>
      </c>
      <c r="D23" s="453">
        <v>100</v>
      </c>
      <c r="E23" s="2958" t="s">
        <v>3213</v>
      </c>
      <c r="F23" s="453">
        <f>SUMIF(96:96,E24,97:97)-SUMIF(96:96,C24,97:97)+100</f>
        <v>100</v>
      </c>
      <c r="G23" s="2958" t="s">
        <v>3213</v>
      </c>
      <c r="H23" s="453">
        <f>SUMIF(96:96,G24,97:97)-SUMIF(96:96,C24,97:97)+100</f>
        <v>100</v>
      </c>
      <c r="I23" s="2958" t="s">
        <v>3213</v>
      </c>
      <c r="J23" s="453">
        <f>SUMIF(96:96,I24,97:97)-SUMIF(96:96,C24,97:97)+100</f>
        <v>100</v>
      </c>
      <c r="K23" s="671"/>
      <c r="L23" s="1140"/>
      <c r="M23" s="1131"/>
      <c r="N23" s="1131"/>
      <c r="O23" s="1139"/>
      <c r="P23" s="3207"/>
      <c r="Q23" s="1808" t="str">
        <f t="shared" ref="Q23:Q37" si="8">B23</f>
        <v>区域土地利用方向</v>
      </c>
      <c r="R23" s="772" t="s">
        <v>17</v>
      </c>
      <c r="S23" s="773">
        <f>F23</f>
        <v>100</v>
      </c>
      <c r="T23" s="772" t="s">
        <v>17</v>
      </c>
      <c r="U23" s="773">
        <f>H23</f>
        <v>100</v>
      </c>
      <c r="V23" s="772" t="s">
        <v>17</v>
      </c>
      <c r="W23" s="773">
        <f>J23</f>
        <v>100</v>
      </c>
      <c r="X23" s="1811"/>
      <c r="Y23" s="3207"/>
      <c r="Z23" s="1812" t="str">
        <f>Q23</f>
        <v>区域土地利用方向</v>
      </c>
      <c r="AA23" s="1809">
        <f t="shared" si="3"/>
        <v>1</v>
      </c>
      <c r="AB23" s="1809">
        <f t="shared" si="4"/>
        <v>1</v>
      </c>
      <c r="AC23" s="1809">
        <f t="shared" si="5"/>
        <v>1</v>
      </c>
    </row>
    <row r="24" spans="1:29" ht="15" hidden="1">
      <c r="A24" s="402"/>
      <c r="B24" s="454"/>
      <c r="C24" s="614" t="s">
        <v>3132</v>
      </c>
      <c r="D24" s="446"/>
      <c r="E24" s="614" t="s">
        <v>3132</v>
      </c>
      <c r="F24" s="446"/>
      <c r="G24" s="614" t="s">
        <v>3132</v>
      </c>
      <c r="H24" s="446"/>
      <c r="I24" s="614" t="s">
        <v>3132</v>
      </c>
      <c r="J24" s="446"/>
      <c r="K24" s="809"/>
      <c r="L24" s="1140"/>
      <c r="M24" s="1131"/>
      <c r="N24" s="1131"/>
      <c r="O24" s="1139"/>
      <c r="P24" s="3207"/>
      <c r="Q24" s="1808"/>
      <c r="R24" s="772"/>
      <c r="S24" s="773"/>
      <c r="T24" s="772"/>
      <c r="U24" s="773"/>
      <c r="V24" s="772"/>
      <c r="W24" s="773"/>
      <c r="X24" s="1811"/>
      <c r="Y24" s="3207"/>
      <c r="Z24" s="1812"/>
      <c r="AA24" s="1809"/>
      <c r="AB24" s="1809"/>
      <c r="AC24" s="1809"/>
    </row>
    <row r="25" spans="1:29" ht="138">
      <c r="A25" s="402"/>
      <c r="B25" s="1383" t="s">
        <v>2750</v>
      </c>
      <c r="C25" s="2662" t="str">
        <f>估价对象房地状况!C20</f>
        <v>估价对象周边有水系、运河奥体公园，自然环境较好；周边有大运河美术馆等人文设施，人文环境较好；综合评价环境状况较好。</v>
      </c>
      <c r="D25" s="448">
        <v>100</v>
      </c>
      <c r="E25" s="2958" t="s">
        <v>3214</v>
      </c>
      <c r="F25" s="448">
        <f>SUMIF(98:98,E26,99:99)-SUMIF(98:98,C26,99:99)+100</f>
        <v>100</v>
      </c>
      <c r="G25" s="2958" t="s">
        <v>3214</v>
      </c>
      <c r="H25" s="448">
        <f>SUMIF(98:98,G26,99:99)-SUMIF(98:98,C26,99:99)+100</f>
        <v>100</v>
      </c>
      <c r="I25" s="2958" t="s">
        <v>3214</v>
      </c>
      <c r="J25" s="448">
        <f>SUMIF(98:98,I26,99:99)-SUMIF(98:98,C26,99:99)+100</f>
        <v>100</v>
      </c>
      <c r="K25" s="671"/>
      <c r="L25" s="1140"/>
      <c r="M25" s="1131"/>
      <c r="N25" s="1131"/>
      <c r="O25" s="1139"/>
      <c r="P25" s="3207"/>
      <c r="Q25" s="1808" t="str">
        <f t="shared" si="8"/>
        <v>自然及人文环境状况</v>
      </c>
      <c r="R25" s="772" t="s">
        <v>17</v>
      </c>
      <c r="S25" s="773">
        <f>F25</f>
        <v>100</v>
      </c>
      <c r="T25" s="772" t="s">
        <v>17</v>
      </c>
      <c r="U25" s="773">
        <f>H25</f>
        <v>100</v>
      </c>
      <c r="V25" s="772" t="s">
        <v>17</v>
      </c>
      <c r="W25" s="773">
        <f>J25</f>
        <v>100</v>
      </c>
      <c r="X25" s="1811"/>
      <c r="Y25" s="3207"/>
      <c r="Z25" s="1812" t="str">
        <f>Q25</f>
        <v>自然及人文环境状况</v>
      </c>
      <c r="AA25" s="1809">
        <f t="shared" si="3"/>
        <v>1</v>
      </c>
      <c r="AB25" s="1809">
        <f t="shared" si="4"/>
        <v>1</v>
      </c>
      <c r="AC25" s="1809">
        <f t="shared" si="5"/>
        <v>1</v>
      </c>
    </row>
    <row r="26" spans="1:29" ht="15" hidden="1">
      <c r="A26" s="402"/>
      <c r="B26" s="454"/>
      <c r="C26" s="445" t="s">
        <v>3132</v>
      </c>
      <c r="D26" s="446"/>
      <c r="E26" s="445" t="s">
        <v>3132</v>
      </c>
      <c r="F26" s="446"/>
      <c r="G26" s="445" t="s">
        <v>3132</v>
      </c>
      <c r="H26" s="446"/>
      <c r="I26" s="445" t="s">
        <v>3132</v>
      </c>
      <c r="J26" s="446"/>
      <c r="K26" s="670"/>
      <c r="L26" s="1140"/>
      <c r="M26" s="1131"/>
      <c r="N26" s="1131"/>
      <c r="O26" s="1139"/>
      <c r="P26" s="3207"/>
      <c r="Q26" s="1808"/>
      <c r="R26" s="772"/>
      <c r="S26" s="773"/>
      <c r="T26" s="772"/>
      <c r="U26" s="773"/>
      <c r="V26" s="772"/>
      <c r="W26" s="773"/>
      <c r="X26" s="1811"/>
      <c r="Y26" s="3207"/>
      <c r="Z26" s="1812"/>
      <c r="AA26" s="1809">
        <v>1</v>
      </c>
      <c r="AB26" s="1809">
        <v>1</v>
      </c>
      <c r="AC26" s="1809">
        <v>1</v>
      </c>
    </row>
    <row r="27" spans="1:29" s="115" customFormat="1" ht="193.2">
      <c r="A27" s="647"/>
      <c r="B27" s="1383" t="s">
        <v>2655</v>
      </c>
      <c r="C27" s="2605" t="str">
        <f>估价对象房地状况!C21</f>
        <v>估价对象周边有银行（兴业银行（北京通州运河支行）等）、医院（北京京通医院等）、超市（隆品源超市等）、学校（北京通州芙蓉小学等），公共配套设施齐备情况较好。</v>
      </c>
      <c r="D27" s="448">
        <v>100</v>
      </c>
      <c r="E27" s="2958" t="s">
        <v>3215</v>
      </c>
      <c r="F27" s="448">
        <f>SUMIF(100:100,E28,101:101)-SUMIF(100:100,C28,101:101)+100</f>
        <v>100</v>
      </c>
      <c r="G27" s="2958" t="s">
        <v>3215</v>
      </c>
      <c r="H27" s="448">
        <f>SUMIF(100:100,G28,101:101)-SUMIF(100:100,C28,101:101)+100</f>
        <v>100</v>
      </c>
      <c r="I27" s="2958" t="s">
        <v>3215</v>
      </c>
      <c r="J27" s="448">
        <f>SUMIF(100:100,I28,101:101)-SUMIF(100:100,C28,101:101)+100</f>
        <v>100</v>
      </c>
      <c r="K27" s="671"/>
      <c r="L27" s="1132"/>
      <c r="M27" s="1133"/>
      <c r="N27" s="1133"/>
      <c r="O27" s="1134"/>
      <c r="P27" s="3207"/>
      <c r="Q27" s="1793" t="str">
        <f t="shared" si="8"/>
        <v>公共配套设施</v>
      </c>
      <c r="R27" s="768" t="s">
        <v>17</v>
      </c>
      <c r="S27" s="769">
        <f>F27</f>
        <v>100</v>
      </c>
      <c r="T27" s="768" t="s">
        <v>17</v>
      </c>
      <c r="U27" s="769">
        <f>H27</f>
        <v>100</v>
      </c>
      <c r="V27" s="768" t="s">
        <v>17</v>
      </c>
      <c r="W27" s="769">
        <f>J27</f>
        <v>100</v>
      </c>
      <c r="X27" s="770"/>
      <c r="Y27" s="3207"/>
      <c r="Z27" s="54" t="str">
        <f>Q27</f>
        <v>公共配套设施</v>
      </c>
      <c r="AA27" s="1809">
        <f>D27/F27</f>
        <v>1</v>
      </c>
      <c r="AB27" s="1809">
        <f>D27/H27</f>
        <v>1</v>
      </c>
      <c r="AC27" s="1809">
        <f>D27/J27</f>
        <v>1</v>
      </c>
    </row>
    <row r="28" spans="1:29" s="115" customFormat="1" ht="15" hidden="1">
      <c r="A28" s="647"/>
      <c r="B28" s="454"/>
      <c r="C28" s="2698" t="s">
        <v>3132</v>
      </c>
      <c r="D28" s="446"/>
      <c r="E28" s="2698" t="s">
        <v>3132</v>
      </c>
      <c r="F28" s="446"/>
      <c r="G28" s="2698" t="s">
        <v>3132</v>
      </c>
      <c r="H28" s="446"/>
      <c r="I28" s="2698" t="s">
        <v>3132</v>
      </c>
      <c r="J28" s="446"/>
      <c r="K28" s="670"/>
      <c r="L28" s="1132"/>
      <c r="M28" s="1133"/>
      <c r="N28" s="1133"/>
      <c r="O28" s="1134"/>
      <c r="P28" s="3207"/>
      <c r="Q28" s="1793"/>
      <c r="R28" s="768"/>
      <c r="S28" s="769"/>
      <c r="T28" s="768"/>
      <c r="U28" s="769"/>
      <c r="V28" s="768"/>
      <c r="W28" s="769"/>
      <c r="X28" s="770"/>
      <c r="Y28" s="3207"/>
      <c r="Z28" s="54"/>
      <c r="AA28" s="1809">
        <v>1</v>
      </c>
      <c r="AB28" s="1809">
        <v>1</v>
      </c>
      <c r="AC28" s="1809">
        <v>1</v>
      </c>
    </row>
    <row r="29" spans="1:29" s="115" customFormat="1" ht="15">
      <c r="A29" s="647"/>
      <c r="B29" s="1383" t="s">
        <v>2656</v>
      </c>
      <c r="C29" s="2605" t="str">
        <f>估价对象房地状况!C22</f>
        <v>七通。</v>
      </c>
      <c r="D29" s="448">
        <v>100</v>
      </c>
      <c r="E29" s="2958" t="s">
        <v>3216</v>
      </c>
      <c r="F29" s="448">
        <f>SUMIF(102:102,E30,103:103)-SUMIF(102:102,C30,103:103)+100</f>
        <v>100</v>
      </c>
      <c r="G29" s="2958" t="s">
        <v>3216</v>
      </c>
      <c r="H29" s="448">
        <f>SUMIF(102:102,G30,103:103)-SUMIF(102:102,C30,103:103)+100</f>
        <v>100</v>
      </c>
      <c r="I29" s="2958" t="s">
        <v>3216</v>
      </c>
      <c r="J29" s="448">
        <f>SUMIF(102:102,I30,103:103)-SUMIF(102:102,C30,103:103)+100</f>
        <v>100</v>
      </c>
      <c r="K29" s="671"/>
      <c r="L29" s="1132"/>
      <c r="M29" s="1133"/>
      <c r="N29" s="1133"/>
      <c r="O29" s="1134"/>
      <c r="P29" s="3207"/>
      <c r="Q29" s="1793" t="str">
        <f t="shared" ref="Q29" si="9">B29</f>
        <v>基础设施水平</v>
      </c>
      <c r="R29" s="768" t="s">
        <v>17</v>
      </c>
      <c r="S29" s="769">
        <f>F29</f>
        <v>100</v>
      </c>
      <c r="T29" s="768" t="s">
        <v>17</v>
      </c>
      <c r="U29" s="769">
        <f>H29</f>
        <v>100</v>
      </c>
      <c r="V29" s="768" t="s">
        <v>17</v>
      </c>
      <c r="W29" s="769">
        <f>J29</f>
        <v>100</v>
      </c>
      <c r="X29" s="770"/>
      <c r="Y29" s="3207"/>
      <c r="Z29" s="54" t="str">
        <f>Q29</f>
        <v>基础设施水平</v>
      </c>
      <c r="AA29" s="1809">
        <f>D29/F29</f>
        <v>1</v>
      </c>
      <c r="AB29" s="1809">
        <f>D29/H29</f>
        <v>1</v>
      </c>
      <c r="AC29" s="1809">
        <f>D29/J29</f>
        <v>1</v>
      </c>
    </row>
    <row r="30" spans="1:29" s="115" customFormat="1" ht="15" hidden="1">
      <c r="A30" s="647"/>
      <c r="B30" s="454"/>
      <c r="C30" s="2698" t="s">
        <v>3133</v>
      </c>
      <c r="D30" s="446"/>
      <c r="E30" s="2698" t="s">
        <v>3133</v>
      </c>
      <c r="F30" s="446"/>
      <c r="G30" s="2698" t="s">
        <v>3133</v>
      </c>
      <c r="H30" s="446"/>
      <c r="I30" s="2698" t="s">
        <v>3133</v>
      </c>
      <c r="J30" s="446"/>
      <c r="K30" s="670"/>
      <c r="L30" s="1132"/>
      <c r="M30" s="1133"/>
      <c r="N30" s="1133"/>
      <c r="O30" s="1134"/>
      <c r="P30" s="3207"/>
      <c r="Q30" s="1793"/>
      <c r="R30" s="768"/>
      <c r="S30" s="769"/>
      <c r="T30" s="768"/>
      <c r="U30" s="769"/>
      <c r="V30" s="768"/>
      <c r="W30" s="769"/>
      <c r="X30" s="770"/>
      <c r="Y30" s="3207"/>
      <c r="Z30" s="54"/>
      <c r="AA30" s="1809">
        <v>1</v>
      </c>
      <c r="AB30" s="1809">
        <v>1</v>
      </c>
      <c r="AC30" s="1809">
        <v>1</v>
      </c>
    </row>
    <row r="31" spans="1:29" ht="15" hidden="1">
      <c r="A31" s="426"/>
      <c r="B31" s="454" t="s">
        <v>2657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0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7"/>
      <c r="Z31" s="1812" t="str">
        <f t="shared" ref="Z31:Z45" si="13">Q31</f>
        <v>临街状况</v>
      </c>
      <c r="AA31" s="1809">
        <f t="shared" si="3"/>
        <v>1</v>
      </c>
      <c r="AB31" s="1809">
        <f t="shared" si="4"/>
        <v>1</v>
      </c>
      <c r="AC31" s="1809">
        <f t="shared" si="5"/>
        <v>1</v>
      </c>
    </row>
    <row r="32" spans="1:29" ht="28.8">
      <c r="A32" s="426"/>
      <c r="B32" s="1383" t="s">
        <v>2692</v>
      </c>
      <c r="C32" s="2957" t="str">
        <f>估价对象房地状况!C10</f>
        <v>城市支路——永顺南街</v>
      </c>
      <c r="D32" s="448">
        <v>100</v>
      </c>
      <c r="E32" s="2958" t="s">
        <v>3131</v>
      </c>
      <c r="F32" s="448">
        <f>SUMIF(106:106,E33,107:107)-SUMIF(106:106,C33,107:107)+100</f>
        <v>102</v>
      </c>
      <c r="G32" s="2958" t="s">
        <v>3131</v>
      </c>
      <c r="H32" s="448">
        <f>SUMIF(106:106,G33,107:107)-SUMIF(106:106,C33,107:107)+100</f>
        <v>102</v>
      </c>
      <c r="I32" s="2958" t="s">
        <v>3131</v>
      </c>
      <c r="J32" s="448">
        <f>SUMIF(106:106,I33,107:107)-SUMIF(106:106,C33,107:107)+100</f>
        <v>102</v>
      </c>
      <c r="K32" s="671">
        <f>'[1]土地比较法-住宅、综合'!$K$32</f>
        <v>1</v>
      </c>
      <c r="L32" s="1140"/>
      <c r="M32" s="1131"/>
      <c r="N32" s="1131"/>
      <c r="O32" s="1139"/>
      <c r="P32" s="3207"/>
      <c r="Q32" s="1808" t="str">
        <f t="shared" si="8"/>
        <v>毗邻道路的类型与等级</v>
      </c>
      <c r="R32" s="772" t="s">
        <v>17</v>
      </c>
      <c r="S32" s="773">
        <f t="shared" si="10"/>
        <v>102</v>
      </c>
      <c r="T32" s="772" t="s">
        <v>17</v>
      </c>
      <c r="U32" s="773">
        <f t="shared" si="11"/>
        <v>102</v>
      </c>
      <c r="V32" s="772" t="s">
        <v>17</v>
      </c>
      <c r="W32" s="773">
        <f t="shared" si="12"/>
        <v>102</v>
      </c>
      <c r="X32" s="1811"/>
      <c r="Y32" s="3207"/>
      <c r="Z32" s="1812" t="str">
        <f t="shared" si="13"/>
        <v>毗邻道路的类型与等级</v>
      </c>
      <c r="AA32" s="1809">
        <f t="shared" si="3"/>
        <v>0.98039215686274506</v>
      </c>
      <c r="AB32" s="1809">
        <f t="shared" si="4"/>
        <v>0.98039215686274506</v>
      </c>
      <c r="AC32" s="1809">
        <f t="shared" si="5"/>
        <v>0.98039215686274506</v>
      </c>
    </row>
    <row r="33" spans="1:29" ht="15" hidden="1">
      <c r="A33" s="426"/>
      <c r="B33" s="454"/>
      <c r="C33" s="445" t="s">
        <v>3143</v>
      </c>
      <c r="D33" s="446"/>
      <c r="E33" s="2609" t="s">
        <v>3144</v>
      </c>
      <c r="F33" s="446"/>
      <c r="G33" s="2609" t="s">
        <v>3144</v>
      </c>
      <c r="H33" s="446"/>
      <c r="I33" s="2609" t="s">
        <v>3144</v>
      </c>
      <c r="J33" s="446"/>
      <c r="K33" s="611"/>
      <c r="L33" s="1140"/>
      <c r="M33" s="1131"/>
      <c r="N33" s="1131"/>
      <c r="O33" s="1139"/>
      <c r="P33" s="3207"/>
      <c r="Q33" s="1808"/>
      <c r="R33" s="772"/>
      <c r="S33" s="773"/>
      <c r="T33" s="772"/>
      <c r="U33" s="773"/>
      <c r="V33" s="772"/>
      <c r="W33" s="773"/>
      <c r="X33" s="1811"/>
      <c r="Y33" s="3207"/>
      <c r="Z33" s="1812"/>
      <c r="AA33" s="1809">
        <v>1</v>
      </c>
      <c r="AB33" s="1809">
        <v>1</v>
      </c>
      <c r="AC33" s="1809">
        <v>1</v>
      </c>
    </row>
    <row r="34" spans="1:29" ht="15">
      <c r="A34" s="426"/>
      <c r="B34" s="420" t="s">
        <v>2751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07"/>
      <c r="Q34" s="1808" t="str">
        <f t="shared" si="8"/>
        <v>土地级别</v>
      </c>
      <c r="R34" s="772" t="s">
        <v>17</v>
      </c>
      <c r="S34" s="773">
        <f t="shared" si="10"/>
        <v>100</v>
      </c>
      <c r="T34" s="772" t="s">
        <v>17</v>
      </c>
      <c r="U34" s="773">
        <f t="shared" si="11"/>
        <v>100</v>
      </c>
      <c r="V34" s="772" t="s">
        <v>17</v>
      </c>
      <c r="W34" s="773">
        <f t="shared" si="12"/>
        <v>100</v>
      </c>
      <c r="X34" s="1811"/>
      <c r="Y34" s="3207"/>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07"/>
      <c r="Q35" s="1808">
        <f t="shared" si="8"/>
        <v>111</v>
      </c>
      <c r="R35" s="772" t="s">
        <v>17</v>
      </c>
      <c r="S35" s="773">
        <f t="shared" si="10"/>
        <v>100</v>
      </c>
      <c r="T35" s="772" t="s">
        <v>17</v>
      </c>
      <c r="U35" s="773">
        <f t="shared" si="11"/>
        <v>100</v>
      </c>
      <c r="V35" s="772" t="s">
        <v>17</v>
      </c>
      <c r="W35" s="773">
        <f t="shared" si="12"/>
        <v>100</v>
      </c>
      <c r="X35" s="1811"/>
      <c r="Y35" s="3207"/>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08" t="s">
        <v>2566</v>
      </c>
      <c r="Q36" s="1808">
        <f t="shared" si="8"/>
        <v>111</v>
      </c>
      <c r="R36" s="772" t="s">
        <v>17</v>
      </c>
      <c r="S36" s="773">
        <f t="shared" si="10"/>
        <v>100</v>
      </c>
      <c r="T36" s="772" t="s">
        <v>17</v>
      </c>
      <c r="U36" s="773">
        <f t="shared" si="11"/>
        <v>100</v>
      </c>
      <c r="V36" s="772" t="s">
        <v>17</v>
      </c>
      <c r="W36" s="773">
        <f t="shared" si="12"/>
        <v>100</v>
      </c>
      <c r="X36" s="1811"/>
      <c r="Y36" s="3209" t="s">
        <v>2566</v>
      </c>
      <c r="Z36" s="1812">
        <f t="shared" si="13"/>
        <v>111</v>
      </c>
      <c r="AA36" s="1809">
        <f t="shared" si="3"/>
        <v>1</v>
      </c>
      <c r="AB36" s="1809">
        <f t="shared" si="4"/>
        <v>1</v>
      </c>
      <c r="AC36" s="1809">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9"/>
      <c r="Q37" s="1808">
        <f t="shared" si="8"/>
        <v>111</v>
      </c>
      <c r="R37" s="775" t="s">
        <v>17</v>
      </c>
      <c r="S37" s="776">
        <f t="shared" si="10"/>
        <v>100</v>
      </c>
      <c r="T37" s="775" t="s">
        <v>17</v>
      </c>
      <c r="U37" s="776">
        <f t="shared" si="11"/>
        <v>100</v>
      </c>
      <c r="V37" s="775" t="s">
        <v>17</v>
      </c>
      <c r="W37" s="776">
        <f t="shared" si="12"/>
        <v>100</v>
      </c>
      <c r="X37" s="777"/>
      <c r="Y37" s="3209"/>
      <c r="Z37" s="778">
        <f t="shared" si="13"/>
        <v>111</v>
      </c>
      <c r="AA37" s="1809">
        <f t="shared" si="3"/>
        <v>1</v>
      </c>
      <c r="AB37" s="1809">
        <f t="shared" si="4"/>
        <v>1</v>
      </c>
      <c r="AC37" s="1809">
        <f t="shared" si="5"/>
        <v>1</v>
      </c>
    </row>
    <row r="38" spans="1:29" ht="15.6">
      <c r="A38" s="470" t="s">
        <v>2564</v>
      </c>
      <c r="B38" s="454" t="s">
        <v>2752</v>
      </c>
      <c r="C38" s="677">
        <f>'数据-基础表'!A3</f>
        <v>11023.921</v>
      </c>
      <c r="D38" s="465">
        <v>100</v>
      </c>
      <c r="E38" s="677">
        <f>案例!D3</f>
        <v>39744.120000000003</v>
      </c>
      <c r="F38" s="465">
        <f>LOOKUP(E38,117:117,118:118)-LOOKUP(C38,117:117,118:118)+100</f>
        <v>102</v>
      </c>
      <c r="G38" s="677">
        <f>案例!D5</f>
        <v>46165.91</v>
      </c>
      <c r="H38" s="465">
        <f>LOOKUP(G38,117:117,118:118)-LOOKUP(C38,117:117,118:118)+100</f>
        <v>103</v>
      </c>
      <c r="I38" s="528">
        <f>案例!D6</f>
        <v>38100</v>
      </c>
      <c r="J38" s="465">
        <f>LOOKUP(I38,117:117,118:118)-LOOKUP(C38,117:117,118:118)+100</f>
        <v>102</v>
      </c>
      <c r="K38" s="611"/>
      <c r="L38" s="1140"/>
      <c r="M38" s="1131"/>
      <c r="N38" s="1131"/>
      <c r="O38" s="1139"/>
      <c r="P38" s="3209"/>
      <c r="Q38" s="1808" t="str">
        <f>B38</f>
        <v>宗地面积</v>
      </c>
      <c r="R38" s="772" t="s">
        <v>17</v>
      </c>
      <c r="S38" s="773">
        <f t="shared" si="10"/>
        <v>102</v>
      </c>
      <c r="T38" s="772" t="s">
        <v>17</v>
      </c>
      <c r="U38" s="773">
        <f t="shared" si="11"/>
        <v>103</v>
      </c>
      <c r="V38" s="772" t="s">
        <v>17</v>
      </c>
      <c r="W38" s="773">
        <f t="shared" si="12"/>
        <v>102</v>
      </c>
      <c r="X38" s="1811"/>
      <c r="Y38" s="3209"/>
      <c r="Z38" s="1812" t="str">
        <f t="shared" si="13"/>
        <v>宗地面积</v>
      </c>
      <c r="AA38" s="1809">
        <f t="shared" si="3"/>
        <v>0.98039215686274506</v>
      </c>
      <c r="AB38" s="1809">
        <f t="shared" si="4"/>
        <v>0.970873786407767</v>
      </c>
      <c r="AC38" s="1809">
        <f t="shared" si="5"/>
        <v>0.98039215686274506</v>
      </c>
    </row>
    <row r="39" spans="1:29" ht="15">
      <c r="A39" s="470"/>
      <c r="B39" s="420" t="s">
        <v>2753</v>
      </c>
      <c r="C39" s="2611" t="s">
        <v>3145</v>
      </c>
      <c r="D39" s="433">
        <v>100</v>
      </c>
      <c r="E39" s="2611" t="s">
        <v>3145</v>
      </c>
      <c r="F39" s="433">
        <f>SUMIF(119:119,E39,120:120)-SUMIF(119:119,C39,120:120)+100</f>
        <v>100</v>
      </c>
      <c r="G39" s="2611" t="s">
        <v>3145</v>
      </c>
      <c r="H39" s="433">
        <f>SUMIF(119:119,G39,120:120)-SUMIF(119:119,C39,120:120)+100</f>
        <v>100</v>
      </c>
      <c r="I39" s="2611" t="s">
        <v>3145</v>
      </c>
      <c r="J39" s="433">
        <f>SUMIF(119:119,I39,120:120)-SUMIF(119:119,C39,120:120)+100</f>
        <v>100</v>
      </c>
      <c r="K39" s="610"/>
      <c r="L39" s="1140"/>
      <c r="M39" s="1131"/>
      <c r="N39" s="1131"/>
      <c r="O39" s="1139"/>
      <c r="P39" s="3209"/>
      <c r="Q39" s="1808" t="str">
        <f t="shared" ref="Q39:Q45" si="14">B39</f>
        <v>宗地形状</v>
      </c>
      <c r="R39" s="772" t="s">
        <v>17</v>
      </c>
      <c r="S39" s="773">
        <f t="shared" si="10"/>
        <v>100</v>
      </c>
      <c r="T39" s="772" t="s">
        <v>17</v>
      </c>
      <c r="U39" s="773">
        <f t="shared" si="11"/>
        <v>100</v>
      </c>
      <c r="V39" s="772" t="s">
        <v>17</v>
      </c>
      <c r="W39" s="773">
        <f t="shared" si="12"/>
        <v>100</v>
      </c>
      <c r="X39" s="1811"/>
      <c r="Y39" s="3209"/>
      <c r="Z39" s="1812" t="str">
        <f t="shared" si="13"/>
        <v>宗地形状</v>
      </c>
      <c r="AA39" s="1809">
        <f t="shared" si="3"/>
        <v>1</v>
      </c>
      <c r="AB39" s="1809">
        <f t="shared" si="4"/>
        <v>1</v>
      </c>
      <c r="AC39" s="1809">
        <f t="shared" si="5"/>
        <v>1</v>
      </c>
    </row>
    <row r="40" spans="1:29" ht="15">
      <c r="A40" s="470"/>
      <c r="B40" s="420" t="s">
        <v>2754</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40"/>
      <c r="M40" s="1131"/>
      <c r="N40" s="1131"/>
      <c r="O40" s="1139"/>
      <c r="P40" s="3209"/>
      <c r="Q40" s="1808" t="str">
        <f t="shared" si="14"/>
        <v>临街宽度及深度</v>
      </c>
      <c r="R40" s="772" t="s">
        <v>17</v>
      </c>
      <c r="S40" s="773">
        <f t="shared" si="10"/>
        <v>100</v>
      </c>
      <c r="T40" s="772" t="s">
        <v>17</v>
      </c>
      <c r="U40" s="773">
        <f t="shared" si="11"/>
        <v>100</v>
      </c>
      <c r="V40" s="772" t="s">
        <v>17</v>
      </c>
      <c r="W40" s="773">
        <f t="shared" si="12"/>
        <v>100</v>
      </c>
      <c r="X40" s="1811"/>
      <c r="Y40" s="3209"/>
      <c r="Z40" s="1812" t="str">
        <f t="shared" si="13"/>
        <v>临街宽度及深度</v>
      </c>
      <c r="AA40" s="1809">
        <f t="shared" si="3"/>
        <v>1</v>
      </c>
      <c r="AB40" s="1809">
        <f t="shared" si="4"/>
        <v>1</v>
      </c>
      <c r="AC40" s="1809">
        <f t="shared" si="5"/>
        <v>1</v>
      </c>
    </row>
    <row r="41" spans="1:29" s="115" customFormat="1" ht="15">
      <c r="A41" s="471"/>
      <c r="B41" s="420" t="s">
        <v>2755</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2"/>
      <c r="M41" s="1133"/>
      <c r="N41" s="1133"/>
      <c r="O41" s="1134"/>
      <c r="P41" s="3209"/>
      <c r="Q41" s="1808" t="str">
        <f t="shared" si="14"/>
        <v>宗地开发程度</v>
      </c>
      <c r="R41" s="768" t="s">
        <v>17</v>
      </c>
      <c r="S41" s="769">
        <f t="shared" si="10"/>
        <v>100</v>
      </c>
      <c r="T41" s="768" t="s">
        <v>17</v>
      </c>
      <c r="U41" s="769">
        <f t="shared" si="11"/>
        <v>100</v>
      </c>
      <c r="V41" s="768" t="s">
        <v>17</v>
      </c>
      <c r="W41" s="769">
        <f t="shared" si="12"/>
        <v>100</v>
      </c>
      <c r="X41" s="770"/>
      <c r="Y41" s="3209"/>
      <c r="Z41" s="54" t="str">
        <f t="shared" si="13"/>
        <v>宗地开发程度</v>
      </c>
      <c r="AA41" s="771">
        <f t="shared" si="3"/>
        <v>1</v>
      </c>
      <c r="AB41" s="771">
        <f t="shared" si="4"/>
        <v>1</v>
      </c>
      <c r="AC41" s="771">
        <f t="shared" si="5"/>
        <v>1</v>
      </c>
    </row>
    <row r="42" spans="1:29" ht="15">
      <c r="A42" s="470"/>
      <c r="B42" s="420" t="s">
        <v>2756</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40"/>
      <c r="M42" s="1131"/>
      <c r="N42" s="1131"/>
      <c r="O42" s="1139"/>
      <c r="P42" s="3209" t="s">
        <v>2566</v>
      </c>
      <c r="Q42" s="1808" t="str">
        <f t="shared" si="14"/>
        <v>工程地质条件</v>
      </c>
      <c r="R42" s="772" t="s">
        <v>17</v>
      </c>
      <c r="S42" s="773">
        <f t="shared" si="10"/>
        <v>100</v>
      </c>
      <c r="T42" s="772" t="s">
        <v>17</v>
      </c>
      <c r="U42" s="773">
        <f t="shared" si="11"/>
        <v>100</v>
      </c>
      <c r="V42" s="772" t="s">
        <v>17</v>
      </c>
      <c r="W42" s="773">
        <f t="shared" si="12"/>
        <v>100</v>
      </c>
      <c r="X42" s="1811"/>
      <c r="Y42" s="3209" t="s">
        <v>2566</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9"/>
      <c r="Q43" s="1808">
        <f t="shared" si="14"/>
        <v>111</v>
      </c>
      <c r="R43" s="772" t="s">
        <v>17</v>
      </c>
      <c r="S43" s="773">
        <f t="shared" si="10"/>
        <v>100</v>
      </c>
      <c r="T43" s="772" t="s">
        <v>17</v>
      </c>
      <c r="U43" s="773">
        <f t="shared" si="11"/>
        <v>100</v>
      </c>
      <c r="V43" s="772" t="s">
        <v>17</v>
      </c>
      <c r="W43" s="773">
        <f t="shared" si="12"/>
        <v>100</v>
      </c>
      <c r="X43" s="1811"/>
      <c r="Y43" s="3209"/>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9"/>
      <c r="Q44" s="1808">
        <f t="shared" si="14"/>
        <v>111</v>
      </c>
      <c r="R44" s="772" t="s">
        <v>17</v>
      </c>
      <c r="S44" s="773">
        <f t="shared" si="10"/>
        <v>100</v>
      </c>
      <c r="T44" s="772" t="s">
        <v>17</v>
      </c>
      <c r="U44" s="773">
        <f t="shared" si="11"/>
        <v>100</v>
      </c>
      <c r="V44" s="772" t="s">
        <v>17</v>
      </c>
      <c r="W44" s="773">
        <f t="shared" si="12"/>
        <v>100</v>
      </c>
      <c r="X44" s="1811"/>
      <c r="Y44" s="3209"/>
      <c r="Z44" s="1812">
        <f t="shared" si="13"/>
        <v>111</v>
      </c>
      <c r="AA44" s="1809">
        <f t="shared" si="3"/>
        <v>1</v>
      </c>
      <c r="AB44" s="1809">
        <f t="shared" si="4"/>
        <v>1</v>
      </c>
      <c r="AC44" s="1809">
        <f t="shared" si="5"/>
        <v>1</v>
      </c>
    </row>
    <row r="45" spans="1:29" s="469" customFormat="1" ht="15.6"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9"/>
      <c r="Q45" s="1808">
        <f t="shared" si="14"/>
        <v>111</v>
      </c>
      <c r="R45" s="775" t="s">
        <v>17</v>
      </c>
      <c r="S45" s="776">
        <f t="shared" si="10"/>
        <v>100</v>
      </c>
      <c r="T45" s="775" t="s">
        <v>17</v>
      </c>
      <c r="U45" s="776">
        <f t="shared" si="11"/>
        <v>100</v>
      </c>
      <c r="V45" s="775" t="s">
        <v>17</v>
      </c>
      <c r="W45" s="776">
        <f t="shared" si="12"/>
        <v>100</v>
      </c>
      <c r="X45" s="777"/>
      <c r="Y45" s="3209"/>
      <c r="Z45" s="778">
        <f t="shared" si="13"/>
        <v>111</v>
      </c>
      <c r="AA45" s="1809">
        <f t="shared" si="3"/>
        <v>1</v>
      </c>
      <c r="AB45" s="1809">
        <f t="shared" si="4"/>
        <v>1</v>
      </c>
      <c r="AC45" s="1809">
        <f t="shared" si="5"/>
        <v>1</v>
      </c>
    </row>
    <row r="46" spans="1:29" ht="14.4">
      <c r="A46" s="477" t="s">
        <v>2721</v>
      </c>
      <c r="B46" s="2702" t="s">
        <v>2757</v>
      </c>
      <c r="C46" s="680" t="s">
        <v>1</v>
      </c>
      <c r="D46" s="479"/>
      <c r="E46" s="2961">
        <f>案例!K3</f>
        <v>24490.06</v>
      </c>
      <c r="F46" s="2962"/>
      <c r="G46" s="2963">
        <f>案例!K5</f>
        <v>24368.58</v>
      </c>
      <c r="H46" s="2964"/>
      <c r="I46" s="2961">
        <f>案例!K6</f>
        <v>26771.65</v>
      </c>
      <c r="J46" s="483"/>
      <c r="K46" s="781"/>
      <c r="L46" s="1143"/>
      <c r="M46" s="1144"/>
      <c r="N46" s="1131"/>
      <c r="O46" s="1144"/>
      <c r="P46" s="3191" t="str">
        <f>A46</f>
        <v>成交单价</v>
      </c>
      <c r="Q46" s="3191"/>
      <c r="R46" s="3210">
        <f>E46</f>
        <v>24490.06</v>
      </c>
      <c r="S46" s="3210"/>
      <c r="T46" s="3210">
        <f>G46</f>
        <v>24368.58</v>
      </c>
      <c r="U46" s="3210"/>
      <c r="V46" s="3210">
        <f>I46</f>
        <v>26771.65</v>
      </c>
      <c r="W46" s="3210"/>
      <c r="X46" s="757"/>
      <c r="Y46" s="779"/>
      <c r="Z46" s="757"/>
      <c r="AA46" s="757"/>
      <c r="AB46" s="757"/>
      <c r="AC46" s="757"/>
    </row>
    <row r="47" spans="1:29" ht="15" thickBot="1">
      <c r="A47" s="484" t="s">
        <v>2670</v>
      </c>
      <c r="B47" s="681"/>
      <c r="C47" s="488">
        <f>R48</f>
        <v>23080</v>
      </c>
      <c r="D47" s="487"/>
      <c r="E47" s="488">
        <f>R47</f>
        <v>22474</v>
      </c>
      <c r="F47" s="489"/>
      <c r="G47" s="486">
        <f>T47</f>
        <v>22170</v>
      </c>
      <c r="H47" s="487"/>
      <c r="I47" s="488">
        <f>V47</f>
        <v>24595</v>
      </c>
      <c r="J47" s="487"/>
      <c r="K47" s="782"/>
      <c r="L47" s="1143"/>
      <c r="M47" s="1144"/>
      <c r="N47" s="1144"/>
      <c r="O47" s="1144"/>
      <c r="P47" s="3191" t="str">
        <f>A47</f>
        <v>比较价值（元/平方米）</v>
      </c>
      <c r="Q47" s="3191"/>
      <c r="R47" s="3211">
        <f>ROUND(PRODUCT(R46,AA7:AA45),0)</f>
        <v>22474</v>
      </c>
      <c r="S47" s="3211"/>
      <c r="T47" s="3211">
        <f>ROUND(PRODUCT(T46,AB7:AB45),0)</f>
        <v>22170</v>
      </c>
      <c r="U47" s="3211"/>
      <c r="V47" s="3211">
        <f>ROUND(PRODUCT(V46,AC7:AC45),0)</f>
        <v>24595</v>
      </c>
      <c r="W47" s="3211"/>
      <c r="X47" s="757"/>
      <c r="Y47" s="757"/>
      <c r="Z47" s="757"/>
      <c r="AA47" s="757"/>
      <c r="AB47" s="757"/>
      <c r="AC47" s="757"/>
    </row>
    <row r="48" spans="1:29" ht="15" thickBot="1">
      <c r="A48" s="490" t="s">
        <v>2758</v>
      </c>
      <c r="B48" s="491"/>
      <c r="C48" s="492">
        <f>R48</f>
        <v>23080</v>
      </c>
      <c r="D48" s="492"/>
      <c r="E48" s="492"/>
      <c r="F48" s="492"/>
      <c r="G48" s="492"/>
      <c r="H48" s="492"/>
      <c r="I48" s="492"/>
      <c r="J48" s="492"/>
      <c r="K48" s="783"/>
      <c r="L48" s="1143"/>
      <c r="M48" s="1144"/>
      <c r="N48" s="1144"/>
      <c r="O48" s="1144"/>
      <c r="P48" s="3212" t="str">
        <f>A48</f>
        <v>估价对象XX用房的比较价值（楼面单价，元/平方米）</v>
      </c>
      <c r="Q48" s="3213"/>
      <c r="R48" s="3214">
        <f>ROUND(AVERAGE(R47:V47),0)</f>
        <v>23080</v>
      </c>
      <c r="S48" s="3214"/>
      <c r="T48" s="3214"/>
      <c r="U48" s="3214"/>
      <c r="V48" s="3214"/>
      <c r="W48" s="321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2672</v>
      </c>
      <c r="D51" s="496"/>
      <c r="E51" s="497">
        <f>IF(E46&lt;E47,E47/E46-1,E46/E47-1)</f>
        <v>8.9706327311560141E-2</v>
      </c>
      <c r="F51" s="498" t="str">
        <f>IF(OR(E51&gt;=0.3,E51&lt;=-0.3),"超过30%","")</f>
        <v/>
      </c>
      <c r="G51" s="497">
        <f>IF(G46&lt;G47,G47/G46-1,G46/G47-1)</f>
        <v>9.9169147496617205E-2</v>
      </c>
      <c r="H51" s="498" t="str">
        <f>IF(OR(G51&gt;=0.3,G51&lt;=-0.3),"超过30%","")</f>
        <v/>
      </c>
      <c r="I51" s="497">
        <f>IF(I46&lt;I47,I47/I46-1,I46/I47-1)</f>
        <v>8.8499695059971684E-2</v>
      </c>
      <c r="J51" s="498" t="str">
        <f>IF(OR(I51&gt;=0.3,I51&lt;=-0.3),"超过30%","")</f>
        <v/>
      </c>
      <c r="K51" s="1105"/>
      <c r="L51" s="1106"/>
      <c r="M51" s="1144"/>
      <c r="N51" s="1144"/>
      <c r="O51" s="1144"/>
    </row>
    <row r="52" spans="1:15" ht="13.5" customHeight="1">
      <c r="A52" s="1144"/>
      <c r="B52" s="1144"/>
      <c r="C52" s="495" t="s">
        <v>2673</v>
      </c>
      <c r="D52" s="499"/>
      <c r="E52" s="497">
        <f>IF(E47&lt;G47,G47/E47-1,E47/G47-1)</f>
        <v>1.3712223725755424E-2</v>
      </c>
      <c r="F52" s="498" t="str">
        <f>IF(OR(E52&gt;=0.2,E52&lt;=-0.2),"超过20%","")</f>
        <v/>
      </c>
      <c r="G52" s="497">
        <f>IF(G47&lt;I47,I47/G47-1,G47/I47-1)</f>
        <v>0.10938204781235905</v>
      </c>
      <c r="H52" s="498" t="str">
        <f>IF(OR(G52&gt;=0.2,G52&lt;=-0.2),"超过20%","")</f>
        <v/>
      </c>
      <c r="I52" s="497">
        <f>IF(I47&lt;E47,E47/I47-1,I47/E47-1)</f>
        <v>9.4375723057755545E-2</v>
      </c>
      <c r="J52" s="498" t="str">
        <f>IF(OR(I52&gt;=0.2,I52&lt;=-0.2),"超过20%","")</f>
        <v/>
      </c>
      <c r="K52" s="1105"/>
      <c r="L52" s="1106"/>
      <c r="M52" s="1144"/>
      <c r="N52" s="1144"/>
      <c r="O52" s="1144"/>
    </row>
    <row r="53" spans="1:15" s="500" customFormat="1" ht="13.5" customHeight="1">
      <c r="A53" s="1145"/>
      <c r="B53" s="1145"/>
      <c r="C53" s="495" t="s">
        <v>2674</v>
      </c>
      <c r="D53" s="499"/>
      <c r="E53" s="497">
        <f>IF(E46&lt;G46,G46/E46-1,E46/G46-1)</f>
        <v>4.9851078725144937E-3</v>
      </c>
      <c r="F53" s="498" t="str">
        <f>IF(OR(E53&gt;=0.3,E53&lt;=-0.3),"超过30%","")</f>
        <v/>
      </c>
      <c r="G53" s="497">
        <f>IF(G46&lt;I46,I46/G46-1,G46/I46-1)</f>
        <v>9.861346044783903E-2</v>
      </c>
      <c r="H53" s="498" t="str">
        <f>IF(OR(G53&gt;=0.3,G53&lt;=-0.3),"超过30%","")</f>
        <v/>
      </c>
      <c r="I53" s="497">
        <f>IF(I46&lt;E46,E46/I46-1,I46/E46-1)</f>
        <v>9.3163920382391963E-2</v>
      </c>
      <c r="J53" s="498" t="str">
        <f>IF(OR(I53&gt;=0.3,I53&lt;=-0.3),"超过30%","")</f>
        <v/>
      </c>
      <c r="K53" s="1148"/>
      <c r="L53" s="1149"/>
      <c r="M53" s="1145"/>
      <c r="N53" s="1145"/>
      <c r="O53" s="1145"/>
    </row>
    <row r="54" spans="1:15" s="500" customFormat="1" ht="14.4" thickBot="1">
      <c r="A54" s="1145"/>
      <c r="B54" s="1146"/>
      <c r="C54" s="760"/>
      <c r="D54" s="758"/>
      <c r="E54" s="758"/>
      <c r="F54" s="758"/>
      <c r="G54" s="758"/>
      <c r="H54" s="758"/>
      <c r="I54" s="758"/>
      <c r="J54" s="758"/>
      <c r="K54" s="1148"/>
      <c r="L54" s="1149"/>
      <c r="M54" s="1145"/>
      <c r="N54" s="1145"/>
      <c r="O54" s="1145"/>
    </row>
    <row r="55" spans="1:15" ht="27" customHeight="1">
      <c r="A55" s="682" t="s">
        <v>2759</v>
      </c>
      <c r="B55" s="683" t="s">
        <v>2760</v>
      </c>
      <c r="C55" s="2703" t="s">
        <v>2761</v>
      </c>
      <c r="D55" s="2704" t="s">
        <v>2762</v>
      </c>
      <c r="E55" s="684" t="s">
        <v>2763</v>
      </c>
      <c r="F55" s="1107" t="s">
        <v>2764</v>
      </c>
      <c r="G55" s="3192" t="s">
        <v>2765</v>
      </c>
      <c r="H55" s="3215"/>
      <c r="I55" s="142" t="s">
        <v>2766</v>
      </c>
      <c r="J55" s="2705">
        <f>项目基本情况!F35</f>
        <v>0</v>
      </c>
      <c r="K55" s="2706" t="s">
        <v>2767</v>
      </c>
      <c r="L55" s="1106"/>
      <c r="M55" s="1144"/>
      <c r="N55" s="1144"/>
      <c r="O55" s="1144"/>
    </row>
    <row r="56" spans="1:15" s="690" customFormat="1">
      <c r="A56" s="686" t="s">
        <v>2768</v>
      </c>
      <c r="B56" s="687">
        <f>C48</f>
        <v>23080</v>
      </c>
      <c r="C56" s="688">
        <v>1</v>
      </c>
      <c r="D56" s="1163">
        <v>1</v>
      </c>
      <c r="E56" s="688">
        <f>'数据-汇总表'!E8+'数据-汇总表'!E9</f>
        <v>88426</v>
      </c>
      <c r="F56" s="1103">
        <f t="shared" ref="F56:F65" si="15">ROUND(B56*E56/10000,0)</f>
        <v>204087</v>
      </c>
      <c r="G56" s="3216"/>
      <c r="H56" s="3191"/>
      <c r="I56" s="1108">
        <v>1</v>
      </c>
      <c r="J56" s="1111">
        <v>1</v>
      </c>
      <c r="K56" s="1145"/>
      <c r="L56" s="941"/>
      <c r="M56" s="941"/>
      <c r="N56" s="941"/>
      <c r="O56" s="941"/>
    </row>
    <row r="57" spans="1:15" s="690" customFormat="1">
      <c r="A57" s="691" t="s">
        <v>2769</v>
      </c>
      <c r="B57" s="260">
        <f>ROUND($C$48*C57*D57,0)</f>
        <v>4039</v>
      </c>
      <c r="C57" s="198">
        <f t="shared" ref="C57:C65" si="16">IF($C$55="北京市系数",I57,J57)</f>
        <v>0.7</v>
      </c>
      <c r="D57" s="1164">
        <v>0.25</v>
      </c>
      <c r="E57" s="692">
        <f>'数据-汇总表'!G20</f>
        <v>1651.1</v>
      </c>
      <c r="F57" s="1103">
        <f t="shared" si="15"/>
        <v>667</v>
      </c>
      <c r="G57" s="3217" t="s">
        <v>2770</v>
      </c>
      <c r="H57" s="1104" t="str">
        <f>项目基本情况!B37</f>
        <v>六级</v>
      </c>
      <c r="I57" s="1108">
        <f>SUMIF(修正!A45:A56,H57,修正!B45:B56)</f>
        <v>0.7</v>
      </c>
      <c r="J57" s="1112"/>
      <c r="K57" s="1144"/>
      <c r="L57" s="941"/>
      <c r="M57" s="941"/>
      <c r="N57" s="941"/>
      <c r="O57" s="941"/>
    </row>
    <row r="58" spans="1:15" s="690" customFormat="1">
      <c r="A58" s="691" t="s">
        <v>2771</v>
      </c>
      <c r="B58" s="260">
        <f t="shared" ref="B58:B65" si="17">ROUND($C$48*C58*D58,0)</f>
        <v>2308</v>
      </c>
      <c r="C58" s="198">
        <f t="shared" si="16"/>
        <v>0.4</v>
      </c>
      <c r="D58" s="1164">
        <v>0.25</v>
      </c>
      <c r="E58" s="692"/>
      <c r="F58" s="1103">
        <f t="shared" si="15"/>
        <v>0</v>
      </c>
      <c r="G58" s="3217"/>
      <c r="H58" s="1104" t="str">
        <f>项目基本情况!B37</f>
        <v>六级</v>
      </c>
      <c r="I58" s="1108">
        <f>SUMIF(修正!A45:A56,H58,修正!C45:C56)</f>
        <v>0.4</v>
      </c>
      <c r="J58" s="1112"/>
      <c r="K58" s="1145"/>
      <c r="L58" s="941"/>
      <c r="M58" s="941"/>
      <c r="N58" s="941"/>
      <c r="O58" s="941"/>
    </row>
    <row r="59" spans="1:15" s="690" customFormat="1">
      <c r="A59" s="691" t="s">
        <v>2772</v>
      </c>
      <c r="B59" s="260">
        <f t="shared" si="17"/>
        <v>1616</v>
      </c>
      <c r="C59" s="198">
        <f t="shared" si="16"/>
        <v>0.28000000000000003</v>
      </c>
      <c r="D59" s="1164">
        <v>0.25</v>
      </c>
      <c r="E59" s="692"/>
      <c r="F59" s="1103">
        <f t="shared" si="15"/>
        <v>0</v>
      </c>
      <c r="G59" s="3217"/>
      <c r="H59" s="1104" t="str">
        <f>项目基本情况!B37</f>
        <v>六级</v>
      </c>
      <c r="I59" s="1108">
        <f>SUMIF(修正!A45:A56,H59,修正!D45:D56)</f>
        <v>0.28000000000000003</v>
      </c>
      <c r="J59" s="1112"/>
      <c r="K59" s="1144"/>
      <c r="L59" s="941"/>
      <c r="M59" s="941"/>
      <c r="N59" s="941"/>
      <c r="O59" s="941"/>
    </row>
    <row r="60" spans="1:15" s="690" customFormat="1">
      <c r="A60" s="691" t="s">
        <v>2773</v>
      </c>
      <c r="B60" s="260">
        <f t="shared" si="17"/>
        <v>1443</v>
      </c>
      <c r="C60" s="198">
        <f t="shared" si="16"/>
        <v>0.25</v>
      </c>
      <c r="D60" s="1164">
        <v>0.25</v>
      </c>
      <c r="E60" s="692"/>
      <c r="F60" s="1103">
        <f t="shared" si="15"/>
        <v>0</v>
      </c>
      <c r="G60" s="3217"/>
      <c r="H60" s="1104" t="str">
        <f>项目基本情况!B37</f>
        <v>六级</v>
      </c>
      <c r="I60" s="1108">
        <f>SUMIF(修正!A45:A56,H60,修正!E45:E56)</f>
        <v>0.25</v>
      </c>
      <c r="J60" s="1112"/>
      <c r="K60" s="1145"/>
      <c r="L60" s="941"/>
      <c r="M60" s="941"/>
      <c r="N60" s="941"/>
      <c r="O60" s="941"/>
    </row>
    <row r="61" spans="1:15" s="690" customFormat="1">
      <c r="A61" s="691" t="s">
        <v>2774</v>
      </c>
      <c r="B61" s="260">
        <f t="shared" si="17"/>
        <v>1443</v>
      </c>
      <c r="C61" s="198">
        <f t="shared" si="16"/>
        <v>0.25</v>
      </c>
      <c r="D61" s="1164">
        <v>0.25</v>
      </c>
      <c r="E61" s="259">
        <f>'数据-汇总表'!E11</f>
        <v>260.8</v>
      </c>
      <c r="F61" s="1103">
        <f t="shared" si="15"/>
        <v>38</v>
      </c>
      <c r="G61" s="2707" t="s">
        <v>2775</v>
      </c>
      <c r="H61" s="1104" t="str">
        <f>项目基本情况!C37</f>
        <v>六级</v>
      </c>
      <c r="I61" s="1108">
        <f>SUMIF(修正!A45:A56,H61,修正!F45:F56)</f>
        <v>0.25</v>
      </c>
      <c r="J61" s="1112"/>
      <c r="K61" s="1144"/>
      <c r="L61" s="941"/>
      <c r="M61" s="941"/>
      <c r="N61" s="941"/>
      <c r="O61" s="941"/>
    </row>
    <row r="62" spans="1:15" s="690" customFormat="1">
      <c r="A62" s="691" t="s">
        <v>2776</v>
      </c>
      <c r="B62" s="260">
        <f t="shared" si="17"/>
        <v>1443</v>
      </c>
      <c r="C62" s="198">
        <f t="shared" si="16"/>
        <v>0.25</v>
      </c>
      <c r="D62" s="1164">
        <v>0.25</v>
      </c>
      <c r="E62" s="259">
        <f>'数据-汇总表'!E12</f>
        <v>1132.9000000000001</v>
      </c>
      <c r="F62" s="1103">
        <f t="shared" si="15"/>
        <v>163</v>
      </c>
      <c r="G62" s="1109" t="s">
        <v>27</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2778</v>
      </c>
      <c r="B63" s="260">
        <f t="shared" si="17"/>
        <v>0</v>
      </c>
      <c r="C63" s="198">
        <f t="shared" si="16"/>
        <v>0</v>
      </c>
      <c r="D63" s="1164">
        <v>0.25</v>
      </c>
      <c r="E63" s="259">
        <f>'数据-汇总表'!E13</f>
        <v>0</v>
      </c>
      <c r="F63" s="1103">
        <f t="shared" si="15"/>
        <v>0</v>
      </c>
      <c r="G63" s="1109" t="s">
        <v>3060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2780</v>
      </c>
      <c r="B64" s="260">
        <f t="shared" si="17"/>
        <v>1154</v>
      </c>
      <c r="C64" s="198">
        <f t="shared" si="16"/>
        <v>0.2</v>
      </c>
      <c r="D64" s="1164">
        <v>0.25</v>
      </c>
      <c r="E64" s="259">
        <f>'数据-汇总表'!E14</f>
        <v>0</v>
      </c>
      <c r="F64" s="1103">
        <f t="shared" si="15"/>
        <v>0</v>
      </c>
      <c r="G64" s="2707" t="s">
        <v>2770</v>
      </c>
      <c r="H64" s="1104" t="str">
        <f>项目基本情况!B37</f>
        <v>六级</v>
      </c>
      <c r="I64" s="1108">
        <f>SUMIF(修正!A45:A56,H64,修正!H45:H56)</f>
        <v>0.2</v>
      </c>
      <c r="J64" s="1112"/>
      <c r="K64" s="1145"/>
      <c r="L64" s="941"/>
      <c r="M64" s="941"/>
      <c r="N64" s="941"/>
      <c r="O64" s="941"/>
    </row>
    <row r="65" spans="1:17" s="690" customFormat="1" ht="14.4" thickBot="1">
      <c r="A65" s="691" t="s">
        <v>2781</v>
      </c>
      <c r="B65" s="260">
        <f t="shared" si="17"/>
        <v>1154</v>
      </c>
      <c r="C65" s="198">
        <f t="shared" si="16"/>
        <v>0.2</v>
      </c>
      <c r="D65" s="1164">
        <v>0.25</v>
      </c>
      <c r="E65" s="259">
        <f>'数据-汇总表'!E15</f>
        <v>30569.3</v>
      </c>
      <c r="F65" s="1103">
        <f t="shared" si="15"/>
        <v>3528</v>
      </c>
      <c r="G65" s="2708" t="s">
        <v>2775</v>
      </c>
      <c r="H65" s="1114" t="str">
        <f>项目基本情况!C37</f>
        <v>六级</v>
      </c>
      <c r="I65" s="1110">
        <f>SUMIF(修正!A45:A56,H65,修正!H45:H56)</f>
        <v>0.2</v>
      </c>
      <c r="J65" s="1113"/>
      <c r="K65" s="1144"/>
      <c r="L65" s="941"/>
      <c r="M65" s="941"/>
      <c r="N65" s="941"/>
      <c r="O65" s="941"/>
    </row>
    <row r="66" spans="1:17" s="690" customFormat="1" thickBot="1">
      <c r="A66" s="693" t="s">
        <v>2782</v>
      </c>
      <c r="B66" s="694" t="s">
        <v>28</v>
      </c>
      <c r="C66" s="694" t="s">
        <v>29</v>
      </c>
      <c r="D66" s="694" t="s">
        <v>1029</v>
      </c>
      <c r="E66" s="694">
        <f>IF(B46="楼面地价",SUM(E56:E65),'数据-汇总表'!D3)</f>
        <v>122040.1</v>
      </c>
      <c r="F66" s="695">
        <f>IF(B46="楼面地价",SUM(F56:F65),ROUND(C48*E66/10000,0))</f>
        <v>208483</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2.2" thickBot="1">
      <c r="A69" s="761" t="s">
        <v>2675</v>
      </c>
      <c r="B69" s="757"/>
      <c r="C69" s="762"/>
      <c r="D69" s="762"/>
      <c r="E69" s="762"/>
      <c r="F69" s="763"/>
      <c r="G69" s="763"/>
      <c r="H69" s="762"/>
      <c r="I69" s="762"/>
      <c r="J69" s="1159"/>
      <c r="K69" s="1160"/>
      <c r="L69" s="1161"/>
      <c r="M69" s="1159"/>
      <c r="N69" s="1159"/>
      <c r="O69" s="1159"/>
      <c r="P69" s="501"/>
      <c r="Q69" s="502"/>
    </row>
    <row r="70" spans="1:17" s="506" customFormat="1" ht="14.4">
      <c r="A70" s="2709" t="s">
        <v>2783</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row>
    <row r="71" spans="1:17" s="115" customFormat="1" ht="30" customHeight="1">
      <c r="A71" s="2710" t="s">
        <v>27</v>
      </c>
      <c r="B71" s="330"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5" customFormat="1" ht="15" thickBot="1">
      <c r="A72" s="513" t="s">
        <v>2586</v>
      </c>
      <c r="B72" s="514"/>
      <c r="C72" s="515"/>
      <c r="D72" s="516"/>
      <c r="E72" s="516"/>
      <c r="F72" s="516"/>
      <c r="G72" s="516"/>
      <c r="H72" s="516"/>
      <c r="I72" s="516"/>
      <c r="J72" s="516"/>
      <c r="K72" s="516"/>
      <c r="L72" s="516"/>
      <c r="M72" s="517"/>
      <c r="N72" s="516"/>
      <c r="O72" s="1162"/>
      <c r="P72" s="502"/>
      <c r="Q72" s="502"/>
    </row>
    <row r="73" spans="1:17" s="115" customFormat="1" ht="14.4">
      <c r="A73" s="519" t="s">
        <v>2551</v>
      </c>
      <c r="B73" s="508"/>
      <c r="C73" s="520" t="s">
        <v>2653</v>
      </c>
      <c r="D73" s="521"/>
      <c r="E73" s="521"/>
      <c r="F73" s="521"/>
      <c r="G73" s="521"/>
      <c r="H73" s="521"/>
      <c r="I73" s="521"/>
      <c r="J73" s="521"/>
      <c r="K73" s="521"/>
      <c r="L73" s="522"/>
      <c r="M73" s="523"/>
      <c r="N73" s="1151"/>
      <c r="O73" s="1151"/>
      <c r="P73" s="524"/>
      <c r="Q73" s="502"/>
    </row>
    <row r="74" spans="1:17" s="115" customFormat="1" ht="14.4" thickBot="1">
      <c r="A74" s="519"/>
      <c r="B74" s="508"/>
      <c r="C74" s="637">
        <v>100</v>
      </c>
      <c r="D74" s="510"/>
      <c r="E74" s="510"/>
      <c r="F74" s="510"/>
      <c r="G74" s="510"/>
      <c r="H74" s="510"/>
      <c r="I74" s="510"/>
      <c r="J74" s="510"/>
      <c r="K74" s="510"/>
      <c r="L74" s="510"/>
      <c r="M74" s="512"/>
      <c r="N74" s="1151"/>
      <c r="O74" s="1151"/>
      <c r="P74" s="502"/>
      <c r="Q74" s="502"/>
    </row>
    <row r="75" spans="1:17" ht="14.4">
      <c r="A75" s="525" t="s">
        <v>2589</v>
      </c>
      <c r="B75" s="526" t="s">
        <v>2555</v>
      </c>
      <c r="C75" s="528"/>
      <c r="D75" s="528"/>
      <c r="E75" s="528"/>
      <c r="F75" s="528"/>
      <c r="G75" s="528"/>
      <c r="H75" s="528"/>
      <c r="I75" s="528"/>
      <c r="J75" s="528"/>
      <c r="K75" s="529"/>
      <c r="L75" s="530"/>
      <c r="M75" s="531"/>
      <c r="N75" s="1152"/>
      <c r="O75" s="1152"/>
      <c r="P75" s="44"/>
      <c r="Q75" s="502"/>
    </row>
    <row r="76" spans="1:17" ht="14.4" thickBot="1">
      <c r="A76" s="532"/>
      <c r="B76" s="533"/>
      <c r="C76" s="534"/>
      <c r="D76" s="534"/>
      <c r="E76" s="534"/>
      <c r="F76" s="534"/>
      <c r="G76" s="534"/>
      <c r="H76" s="534"/>
      <c r="I76" s="534"/>
      <c r="J76" s="534"/>
      <c r="K76" s="534"/>
      <c r="L76" s="534"/>
      <c r="M76" s="535"/>
      <c r="N76" s="1153"/>
      <c r="O76" s="1153"/>
      <c r="P76" s="44"/>
      <c r="Q76" s="502"/>
    </row>
    <row r="77" spans="1:17" ht="29.4" thickTop="1">
      <c r="A77" s="532"/>
      <c r="B77" s="536" t="s">
        <v>2558</v>
      </c>
      <c r="C77" s="537"/>
      <c r="D77" s="537"/>
      <c r="E77" s="537"/>
      <c r="F77" s="537"/>
      <c r="G77" s="537"/>
      <c r="H77" s="537"/>
      <c r="I77" s="537"/>
      <c r="J77" s="537"/>
      <c r="K77" s="538"/>
      <c r="L77" s="539"/>
      <c r="M77" s="540"/>
      <c r="N77" s="1152"/>
      <c r="O77" s="1152"/>
      <c r="P77" s="44"/>
      <c r="Q77" s="502"/>
    </row>
    <row r="78" spans="1:17" ht="14.4" thickBot="1">
      <c r="A78" s="532"/>
      <c r="B78" s="541"/>
      <c r="C78" s="542"/>
      <c r="D78" s="542"/>
      <c r="E78" s="542"/>
      <c r="F78" s="542"/>
      <c r="G78" s="542"/>
      <c r="H78" s="542"/>
      <c r="I78" s="542"/>
      <c r="J78" s="542"/>
      <c r="K78" s="542"/>
      <c r="L78" s="542"/>
      <c r="M78" s="543"/>
      <c r="N78" s="1153"/>
      <c r="O78" s="1153"/>
      <c r="P78" s="44"/>
      <c r="Q78" s="502"/>
    </row>
    <row r="79" spans="1:17" ht="15" thickTop="1">
      <c r="A79" s="532"/>
      <c r="B79" s="544" t="s">
        <v>2559</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4"/>
      <c r="Q79" s="502"/>
    </row>
    <row r="80" spans="1:17">
      <c r="A80" s="532"/>
      <c r="B80" s="546"/>
      <c r="C80" s="547">
        <v>0</v>
      </c>
      <c r="D80" s="547">
        <v>1</v>
      </c>
      <c r="E80" s="547">
        <v>2</v>
      </c>
      <c r="F80" s="547">
        <v>3</v>
      </c>
      <c r="G80" s="547">
        <v>4</v>
      </c>
      <c r="H80" s="547">
        <v>5</v>
      </c>
      <c r="I80" s="547">
        <v>6</v>
      </c>
      <c r="J80" s="547">
        <v>7</v>
      </c>
      <c r="K80" s="547">
        <v>8</v>
      </c>
      <c r="L80" s="547">
        <v>9</v>
      </c>
      <c r="M80" s="547">
        <v>10</v>
      </c>
      <c r="N80" s="1152"/>
      <c r="O80" s="1152"/>
      <c r="P80" s="44"/>
      <c r="Q80" s="502"/>
    </row>
    <row r="81" spans="1:17" ht="14.4"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53"/>
      <c r="O81" s="1153"/>
      <c r="P81" s="44"/>
      <c r="Q81" s="502"/>
    </row>
    <row r="82" spans="1:17" s="469" customFormat="1" ht="14.4"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4.4" thickBot="1">
      <c r="A83" s="551"/>
      <c r="B83" s="541"/>
      <c r="C83" s="558"/>
      <c r="D83" s="534"/>
      <c r="E83" s="534"/>
      <c r="F83" s="534"/>
      <c r="G83" s="534"/>
      <c r="H83" s="534"/>
      <c r="I83" s="534"/>
      <c r="J83" s="534"/>
      <c r="K83" s="534"/>
      <c r="L83" s="534"/>
      <c r="M83" s="535"/>
      <c r="N83" s="1153"/>
      <c r="O83" s="1153"/>
      <c r="P83" s="556"/>
      <c r="Q83" s="557"/>
    </row>
    <row r="84" spans="1:17" s="469" customFormat="1" ht="14.4" thickTop="1">
      <c r="A84" s="551"/>
      <c r="B84" s="536">
        <f>B13</f>
        <v>111</v>
      </c>
      <c r="C84" s="552"/>
      <c r="D84" s="552"/>
      <c r="E84" s="552"/>
      <c r="F84" s="552"/>
      <c r="G84" s="552"/>
      <c r="H84" s="553"/>
      <c r="I84" s="553"/>
      <c r="J84" s="553"/>
      <c r="K84" s="553"/>
      <c r="L84" s="554"/>
      <c r="M84" s="555"/>
      <c r="N84" s="1154"/>
      <c r="O84" s="1154"/>
      <c r="P84" s="468"/>
      <c r="Q84" s="559"/>
    </row>
    <row r="85" spans="1:17" s="469" customFormat="1" ht="14.4" thickBot="1">
      <c r="A85" s="551"/>
      <c r="B85" s="541"/>
      <c r="C85" s="558"/>
      <c r="D85" s="558"/>
      <c r="E85" s="558"/>
      <c r="F85" s="558"/>
      <c r="G85" s="558"/>
      <c r="H85" s="560"/>
      <c r="I85" s="560"/>
      <c r="J85" s="560"/>
      <c r="K85" s="560"/>
      <c r="L85" s="560"/>
      <c r="M85" s="561"/>
      <c r="N85" s="1154"/>
      <c r="O85" s="1154"/>
      <c r="P85" s="556"/>
      <c r="Q85" s="557"/>
    </row>
    <row r="86" spans="1:17" s="469" customFormat="1" ht="14.4" thickTop="1">
      <c r="A86" s="551"/>
      <c r="B86" s="544">
        <f>B14</f>
        <v>111</v>
      </c>
      <c r="C86" s="521"/>
      <c r="D86" s="521"/>
      <c r="E86" s="521"/>
      <c r="F86" s="521"/>
      <c r="G86" s="521"/>
      <c r="H86" s="562"/>
      <c r="I86" s="562"/>
      <c r="J86" s="562"/>
      <c r="K86" s="562"/>
      <c r="L86" s="563"/>
      <c r="M86" s="564"/>
      <c r="N86" s="1154"/>
      <c r="O86" s="1154"/>
      <c r="P86" s="565"/>
      <c r="Q86" s="557"/>
    </row>
    <row r="87" spans="1:17" s="469" customFormat="1" ht="14.4" thickBot="1">
      <c r="A87" s="566"/>
      <c r="B87" s="567"/>
      <c r="C87" s="568"/>
      <c r="D87" s="568"/>
      <c r="E87" s="568"/>
      <c r="F87" s="568"/>
      <c r="G87" s="568"/>
      <c r="H87" s="569"/>
      <c r="I87" s="569"/>
      <c r="J87" s="569"/>
      <c r="K87" s="569"/>
      <c r="L87" s="569"/>
      <c r="M87" s="570"/>
      <c r="N87" s="1154"/>
      <c r="O87" s="1154"/>
      <c r="P87" s="556"/>
      <c r="Q87" s="557"/>
    </row>
    <row r="88" spans="1:17" ht="14.4">
      <c r="A88" s="525" t="s">
        <v>2560</v>
      </c>
      <c r="B88" s="526" t="s">
        <v>2597</v>
      </c>
      <c r="C88" s="571" t="s">
        <v>2598</v>
      </c>
      <c r="D88" s="571" t="s">
        <v>2599</v>
      </c>
      <c r="E88" s="571" t="s">
        <v>2600</v>
      </c>
      <c r="F88" s="571" t="s">
        <v>2601</v>
      </c>
      <c r="G88" s="571" t="s">
        <v>2602</v>
      </c>
      <c r="H88" s="527"/>
      <c r="I88" s="527"/>
      <c r="J88" s="527"/>
      <c r="K88" s="572"/>
      <c r="L88" s="573"/>
      <c r="M88" s="574"/>
      <c r="N88" s="1152"/>
      <c r="O88" s="1152"/>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 thickTop="1">
      <c r="A90" s="532"/>
      <c r="B90" s="536" t="s">
        <v>2784</v>
      </c>
      <c r="C90" s="576" t="s">
        <v>2598</v>
      </c>
      <c r="D90" s="576" t="s">
        <v>2599</v>
      </c>
      <c r="E90" s="576" t="s">
        <v>2600</v>
      </c>
      <c r="F90" s="576" t="s">
        <v>2601</v>
      </c>
      <c r="G90" s="576" t="s">
        <v>2602</v>
      </c>
      <c r="H90" s="537"/>
      <c r="I90" s="537"/>
      <c r="J90" s="537"/>
      <c r="K90" s="538"/>
      <c r="L90" s="539"/>
      <c r="M90" s="540"/>
      <c r="N90" s="1152"/>
      <c r="O90" s="1152"/>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 thickTop="1">
      <c r="A92" s="532"/>
      <c r="B92" s="536" t="s">
        <v>2698</v>
      </c>
      <c r="C92" s="576" t="s">
        <v>2598</v>
      </c>
      <c r="D92" s="576" t="s">
        <v>2599</v>
      </c>
      <c r="E92" s="576" t="s">
        <v>2600</v>
      </c>
      <c r="F92" s="576" t="s">
        <v>2601</v>
      </c>
      <c r="G92" s="576" t="s">
        <v>2602</v>
      </c>
      <c r="H92" s="537"/>
      <c r="I92" s="537"/>
      <c r="J92" s="537"/>
      <c r="K92" s="538"/>
      <c r="L92" s="539"/>
      <c r="M92" s="540"/>
      <c r="N92" s="1152"/>
      <c r="O92" s="1152"/>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 thickTop="1">
      <c r="A94" s="532"/>
      <c r="B94" s="536" t="s">
        <v>2603</v>
      </c>
      <c r="C94" s="576" t="s">
        <v>2598</v>
      </c>
      <c r="D94" s="576" t="s">
        <v>2599</v>
      </c>
      <c r="E94" s="576" t="s">
        <v>2600</v>
      </c>
      <c r="F94" s="576" t="s">
        <v>2601</v>
      </c>
      <c r="G94" s="576" t="s">
        <v>2602</v>
      </c>
      <c r="H94" s="537"/>
      <c r="I94" s="537"/>
      <c r="J94" s="537"/>
      <c r="K94" s="538"/>
      <c r="L94" s="539"/>
      <c r="M94" s="540"/>
      <c r="N94" s="1152"/>
      <c r="O94" s="1152"/>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29.4" thickTop="1">
      <c r="A96" s="577"/>
      <c r="B96" s="536" t="s">
        <v>2785</v>
      </c>
      <c r="C96" s="576" t="s">
        <v>2598</v>
      </c>
      <c r="D96" s="576" t="s">
        <v>2599</v>
      </c>
      <c r="E96" s="576" t="s">
        <v>2600</v>
      </c>
      <c r="F96" s="576" t="s">
        <v>2601</v>
      </c>
      <c r="G96" s="576" t="s">
        <v>2602</v>
      </c>
      <c r="H96" s="576"/>
      <c r="I96" s="576"/>
      <c r="J96" s="576"/>
      <c r="K96" s="576"/>
      <c r="L96" s="696"/>
      <c r="M96" s="620"/>
      <c r="N96" s="1151"/>
      <c r="O96" s="1151"/>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9.4" thickTop="1">
      <c r="A98" s="577"/>
      <c r="B98" s="536" t="s">
        <v>2786</v>
      </c>
      <c r="C98" s="571" t="s">
        <v>2598</v>
      </c>
      <c r="D98" s="571" t="s">
        <v>2599</v>
      </c>
      <c r="E98" s="571" t="s">
        <v>2600</v>
      </c>
      <c r="F98" s="571" t="s">
        <v>2601</v>
      </c>
      <c r="G98" s="571" t="s">
        <v>2602</v>
      </c>
      <c r="H98" s="576"/>
      <c r="I98" s="576"/>
      <c r="J98" s="576"/>
      <c r="K98" s="576"/>
      <c r="L98" s="576"/>
      <c r="M98" s="620"/>
      <c r="N98" s="1151"/>
      <c r="O98" s="1151"/>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 thickTop="1">
      <c r="A100" s="551"/>
      <c r="B100" s="536" t="s">
        <v>2655</v>
      </c>
      <c r="C100" s="571" t="s">
        <v>2598</v>
      </c>
      <c r="D100" s="571" t="s">
        <v>2599</v>
      </c>
      <c r="E100" s="571" t="s">
        <v>2600</v>
      </c>
      <c r="F100" s="571" t="s">
        <v>2601</v>
      </c>
      <c r="G100" s="571" t="s">
        <v>2602</v>
      </c>
      <c r="H100" s="598"/>
      <c r="I100" s="598"/>
      <c r="J100" s="598"/>
      <c r="K100" s="598"/>
      <c r="L100" s="599"/>
      <c r="M100" s="600"/>
      <c r="N100" s="1154"/>
      <c r="O100" s="1154"/>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 thickTop="1">
      <c r="A102" s="551"/>
      <c r="B102" s="544" t="s">
        <v>2656</v>
      </c>
      <c r="C102" s="658" t="s">
        <v>2676</v>
      </c>
      <c r="D102" s="658" t="s">
        <v>2677</v>
      </c>
      <c r="E102" s="658" t="s">
        <v>2678</v>
      </c>
      <c r="F102" s="658" t="s">
        <v>2679</v>
      </c>
      <c r="G102" s="658" t="s">
        <v>2680</v>
      </c>
      <c r="H102" s="598"/>
      <c r="I102" s="598"/>
      <c r="J102" s="598"/>
      <c r="K102" s="598"/>
      <c r="L102" s="598"/>
      <c r="M102" s="1384"/>
      <c r="N102" s="1154"/>
      <c r="O102" s="1154"/>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9.4" thickTop="1">
      <c r="A106" s="532"/>
      <c r="B106" s="536" t="s">
        <v>2692</v>
      </c>
      <c r="C106" s="2959" t="s">
        <v>3134</v>
      </c>
      <c r="D106" s="2959" t="s">
        <v>3135</v>
      </c>
      <c r="E106" s="2959" t="s">
        <v>3136</v>
      </c>
      <c r="F106" s="2959" t="s">
        <v>3137</v>
      </c>
      <c r="G106" s="2959" t="s">
        <v>3138</v>
      </c>
      <c r="H106" s="581"/>
      <c r="I106" s="581"/>
      <c r="J106" s="581"/>
      <c r="K106" s="582"/>
      <c r="L106" s="583"/>
      <c r="M106" s="584"/>
      <c r="N106" s="1152"/>
      <c r="O106" s="1152"/>
      <c r="P106" s="44"/>
      <c r="Q106" s="502"/>
    </row>
    <row r="107" spans="1:17" ht="14.4"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3"/>
      <c r="O107" s="1153"/>
      <c r="P107" s="44"/>
      <c r="Q107" s="502"/>
    </row>
    <row r="108" spans="1:17" ht="15" thickTop="1">
      <c r="A108" s="532"/>
      <c r="B108" s="536" t="s">
        <v>2751</v>
      </c>
      <c r="C108" s="581"/>
      <c r="D108" s="581"/>
      <c r="E108" s="581"/>
      <c r="F108" s="581"/>
      <c r="G108" s="581"/>
      <c r="H108" s="581"/>
      <c r="I108" s="581"/>
      <c r="J108" s="581"/>
      <c r="K108" s="582"/>
      <c r="L108" s="583"/>
      <c r="M108" s="584"/>
      <c r="N108" s="1152"/>
      <c r="O108" s="1152"/>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4.4" thickTop="1">
      <c r="A110" s="532"/>
      <c r="B110" s="544">
        <f>B35</f>
        <v>111</v>
      </c>
      <c r="C110" s="552"/>
      <c r="D110" s="552"/>
      <c r="E110" s="552"/>
      <c r="F110" s="552"/>
      <c r="G110" s="585"/>
      <c r="H110" s="585"/>
      <c r="I110" s="585"/>
      <c r="J110" s="585"/>
      <c r="K110" s="586"/>
      <c r="L110" s="587"/>
      <c r="M110" s="588"/>
      <c r="N110" s="1152"/>
      <c r="O110" s="1152"/>
      <c r="P110" s="44"/>
      <c r="Q110" s="502"/>
    </row>
    <row r="111" spans="1:17" ht="14.4" thickBot="1">
      <c r="A111" s="532"/>
      <c r="B111" s="567"/>
      <c r="C111" s="558"/>
      <c r="D111" s="558"/>
      <c r="E111" s="558"/>
      <c r="F111" s="558"/>
      <c r="G111" s="589"/>
      <c r="H111" s="589"/>
      <c r="I111" s="589"/>
      <c r="J111" s="589"/>
      <c r="K111" s="589"/>
      <c r="L111" s="589"/>
      <c r="M111" s="590"/>
      <c r="N111" s="1153"/>
      <c r="O111" s="1153"/>
      <c r="P111" s="44"/>
      <c r="Q111" s="502"/>
    </row>
    <row r="112" spans="1:17" ht="14.4" thickTop="1">
      <c r="A112" s="673"/>
      <c r="B112" s="536">
        <f>B36</f>
        <v>111</v>
      </c>
      <c r="C112" s="521"/>
      <c r="D112" s="521"/>
      <c r="E112" s="521"/>
      <c r="F112" s="521"/>
      <c r="G112" s="581"/>
      <c r="H112" s="581"/>
      <c r="I112" s="581"/>
      <c r="J112" s="581"/>
      <c r="K112" s="582"/>
      <c r="L112" s="583"/>
      <c r="M112" s="584"/>
      <c r="N112" s="1152"/>
      <c r="O112" s="1152"/>
      <c r="P112" s="44"/>
      <c r="Q112" s="502"/>
    </row>
    <row r="113" spans="1:17" ht="14.4" thickBot="1">
      <c r="A113" s="532"/>
      <c r="B113" s="541"/>
      <c r="C113" s="568"/>
      <c r="D113" s="568"/>
      <c r="E113" s="568"/>
      <c r="F113" s="568"/>
      <c r="G113" s="534"/>
      <c r="H113" s="534"/>
      <c r="I113" s="534"/>
      <c r="J113" s="534"/>
      <c r="K113" s="534"/>
      <c r="L113" s="534"/>
      <c r="M113" s="535"/>
      <c r="N113" s="1153"/>
      <c r="O113" s="1153"/>
      <c r="P113" s="44"/>
      <c r="Q113" s="502"/>
    </row>
    <row r="114" spans="1:17" s="469" customFormat="1" ht="14.4"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4.4" thickBot="1">
      <c r="A115" s="551"/>
      <c r="B115" s="544"/>
      <c r="C115" s="510"/>
      <c r="D115" s="675"/>
      <c r="E115" s="675"/>
      <c r="F115" s="675"/>
      <c r="G115" s="675"/>
      <c r="H115" s="675"/>
      <c r="I115" s="675"/>
      <c r="J115" s="675"/>
      <c r="K115" s="675"/>
      <c r="L115" s="675"/>
      <c r="M115" s="697"/>
      <c r="N115" s="1153"/>
      <c r="O115" s="1153"/>
      <c r="P115" s="556"/>
      <c r="Q115" s="557"/>
    </row>
    <row r="116" spans="1:17" ht="27.6">
      <c r="A116" s="525" t="s">
        <v>2564</v>
      </c>
      <c r="B116" s="526" t="s">
        <v>2791</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c r="A117" s="532"/>
      <c r="B117" s="544"/>
      <c r="C117" s="593">
        <v>0</v>
      </c>
      <c r="D117" s="593">
        <v>10000</v>
      </c>
      <c r="E117" s="593">
        <v>20000</v>
      </c>
      <c r="F117" s="593">
        <v>30000</v>
      </c>
      <c r="G117" s="593">
        <v>40000</v>
      </c>
      <c r="H117" s="593">
        <v>50000</v>
      </c>
      <c r="I117" s="593"/>
      <c r="J117" s="594"/>
      <c r="K117" s="594"/>
      <c r="L117" s="595"/>
      <c r="M117" s="596"/>
      <c r="N117" s="1152"/>
      <c r="O117" s="1152"/>
      <c r="P117" s="44"/>
      <c r="Q117" s="502"/>
    </row>
    <row r="118" spans="1:17" ht="14.4" thickBot="1">
      <c r="A118" s="532"/>
      <c r="B118" s="541"/>
      <c r="C118" s="568">
        <v>100</v>
      </c>
      <c r="D118" s="589">
        <v>101</v>
      </c>
      <c r="E118" s="589">
        <v>102</v>
      </c>
      <c r="F118" s="589">
        <v>103</v>
      </c>
      <c r="G118" s="589">
        <v>104</v>
      </c>
      <c r="H118" s="589">
        <v>105</v>
      </c>
      <c r="I118" s="589"/>
      <c r="J118" s="589"/>
      <c r="K118" s="589"/>
      <c r="L118" s="589"/>
      <c r="M118" s="590"/>
      <c r="N118" s="1153"/>
      <c r="O118" s="1153"/>
      <c r="P118" s="44"/>
      <c r="Q118" s="502"/>
    </row>
    <row r="119" spans="1:17" ht="15" thickTop="1">
      <c r="A119" s="597"/>
      <c r="B119" s="536" t="s">
        <v>2792</v>
      </c>
      <c r="C119" s="2960" t="s">
        <v>3139</v>
      </c>
      <c r="D119" s="2960" t="s">
        <v>3140</v>
      </c>
      <c r="E119" s="2960" t="s">
        <v>3141</v>
      </c>
      <c r="F119" s="2960" t="s">
        <v>3142</v>
      </c>
      <c r="G119" s="581"/>
      <c r="H119" s="581"/>
      <c r="I119" s="581"/>
      <c r="J119" s="581"/>
      <c r="K119" s="582"/>
      <c r="L119" s="583"/>
      <c r="M119" s="584"/>
      <c r="N119" s="1152"/>
      <c r="O119" s="1152"/>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4.4" thickTop="1">
      <c r="A127" s="597"/>
      <c r="B127" s="536">
        <f>B43</f>
        <v>111</v>
      </c>
      <c r="C127" s="552"/>
      <c r="D127" s="552"/>
      <c r="E127" s="552"/>
      <c r="F127" s="552"/>
      <c r="G127" s="552"/>
      <c r="H127" s="581"/>
      <c r="I127" s="581"/>
      <c r="J127" s="581"/>
      <c r="K127" s="582"/>
      <c r="L127" s="583"/>
      <c r="M127" s="584"/>
      <c r="N127" s="1152"/>
      <c r="O127" s="1152"/>
      <c r="P127" s="44"/>
      <c r="Q127" s="502"/>
    </row>
    <row r="128" spans="1:17" ht="14.4" thickBot="1">
      <c r="A128" s="532"/>
      <c r="B128" s="541"/>
      <c r="C128" s="558"/>
      <c r="D128" s="558"/>
      <c r="E128" s="558"/>
      <c r="F128" s="558"/>
      <c r="G128" s="534"/>
      <c r="H128" s="534"/>
      <c r="I128" s="534"/>
      <c r="J128" s="534"/>
      <c r="K128" s="534"/>
      <c r="L128" s="534"/>
      <c r="M128" s="535"/>
      <c r="N128" s="1153"/>
      <c r="O128" s="1153"/>
      <c r="P128" s="44"/>
      <c r="Q128" s="502"/>
    </row>
    <row r="129" spans="1:17" ht="14.4" thickTop="1">
      <c r="A129" s="597"/>
      <c r="B129" s="536">
        <f>B44</f>
        <v>111</v>
      </c>
      <c r="C129" s="521"/>
      <c r="D129" s="521"/>
      <c r="E129" s="521"/>
      <c r="F129" s="521"/>
      <c r="G129" s="581"/>
      <c r="H129" s="581"/>
      <c r="I129" s="581"/>
      <c r="J129" s="581"/>
      <c r="K129" s="582"/>
      <c r="L129" s="583"/>
      <c r="M129" s="584"/>
      <c r="N129" s="1152"/>
      <c r="O129" s="1152"/>
      <c r="P129" s="44"/>
      <c r="Q129" s="502"/>
    </row>
    <row r="130" spans="1:17" ht="14.4" thickBot="1">
      <c r="A130" s="532"/>
      <c r="B130" s="541"/>
      <c r="C130" s="568"/>
      <c r="D130" s="568"/>
      <c r="E130" s="568"/>
      <c r="F130" s="568"/>
      <c r="G130" s="534"/>
      <c r="H130" s="534"/>
      <c r="I130" s="534"/>
      <c r="J130" s="534"/>
      <c r="K130" s="534"/>
      <c r="L130" s="534"/>
      <c r="M130" s="535"/>
      <c r="N130" s="1153"/>
      <c r="O130" s="1153"/>
      <c r="P130" s="44"/>
      <c r="Q130" s="502"/>
    </row>
    <row r="131" spans="1:17" s="469" customFormat="1" ht="14.4"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4.4"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2" sqref="D12"/>
    </sheetView>
  </sheetViews>
  <sheetFormatPr defaultColWidth="6.6640625" defaultRowHeight="13.2"/>
  <cols>
    <col min="1" max="1" width="9.77734375" style="796" customWidth="1"/>
    <col min="2" max="2" width="25.77734375" style="952" customWidth="1"/>
    <col min="3" max="3" width="10.33203125" style="995" customWidth="1"/>
    <col min="4" max="4" width="9.88671875" style="952" customWidth="1"/>
    <col min="5" max="5" width="9.44140625" style="796"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38" t="s">
        <v>2463</v>
      </c>
      <c r="B1" s="1579"/>
      <c r="C1" s="1580"/>
      <c r="D1" s="1578"/>
      <c r="E1" s="318"/>
      <c r="F1" s="318"/>
      <c r="G1" s="1579"/>
      <c r="H1" s="318"/>
      <c r="I1" s="318"/>
      <c r="J1" s="318"/>
      <c r="K1" s="318">
        <f>MATCH(C1,'数据-取费表'!A6:A16,0)+5</f>
        <v>10</v>
      </c>
    </row>
    <row r="2" spans="1:33" ht="18" customHeight="1">
      <c r="A2" s="243" t="s">
        <v>2331</v>
      </c>
      <c r="B2" s="246">
        <f ca="1">C32</f>
        <v>288630</v>
      </c>
      <c r="C2" s="318" t="s">
        <v>2464</v>
      </c>
      <c r="D2" s="318"/>
      <c r="E2" s="318"/>
      <c r="F2" s="318"/>
      <c r="G2" s="318"/>
      <c r="H2" s="318"/>
      <c r="I2" s="318"/>
      <c r="J2" s="318"/>
      <c r="K2" s="318"/>
    </row>
    <row r="3" spans="1:33" ht="18" customHeight="1" thickBot="1">
      <c r="A3" s="245" t="s">
        <v>2333</v>
      </c>
      <c r="B3" s="246">
        <f ca="1">ROUND(B2*10000/IF(C1="",'数据-汇总表'!E3,INDIRECT("'数据-取费表'!K"&amp;$K$1)),0)</f>
        <v>22840</v>
      </c>
      <c r="C3" s="318" t="s">
        <v>2465</v>
      </c>
      <c r="D3" s="318"/>
      <c r="E3" s="318"/>
      <c r="F3" s="318"/>
      <c r="G3" s="318"/>
      <c r="H3" s="318"/>
      <c r="I3" s="318"/>
      <c r="J3" s="318"/>
      <c r="K3" s="318"/>
    </row>
    <row r="4" spans="1:33" s="956" customFormat="1" ht="16.5" customHeight="1">
      <c r="A4" s="953" t="s">
        <v>2466</v>
      </c>
      <c r="B4" s="954"/>
      <c r="C4" s="996">
        <f ca="1">SUM(C8:K8)</f>
        <v>480062</v>
      </c>
      <c r="D4" s="954"/>
      <c r="E4" s="954"/>
      <c r="F4" s="954"/>
      <c r="G4" s="954"/>
      <c r="H4" s="954"/>
      <c r="I4" s="954"/>
      <c r="J4" s="954"/>
      <c r="K4" s="955"/>
    </row>
    <row r="5" spans="1:33" s="960" customFormat="1" ht="14.4">
      <c r="A5" s="957" t="s">
        <v>2467</v>
      </c>
      <c r="B5" s="958" t="s">
        <v>2468</v>
      </c>
      <c r="C5" s="2552" t="s">
        <v>27</v>
      </c>
      <c r="D5" s="2552" t="s">
        <v>1377</v>
      </c>
      <c r="E5" s="2552" t="s">
        <v>48</v>
      </c>
      <c r="F5" s="2552" t="s">
        <v>3206</v>
      </c>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2469</v>
      </c>
      <c r="C6" s="962">
        <f>典型户型修正!R22</f>
        <v>55101</v>
      </c>
      <c r="D6" s="962">
        <f ca="1">收益法商业!B3</f>
        <v>30930</v>
      </c>
      <c r="E6" s="962">
        <f ca="1">收益法车库!B3</f>
        <v>6831</v>
      </c>
      <c r="F6" s="962">
        <f ca="1">收益法仓储!B3</f>
        <v>7485</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8" t="s">
        <v>2471</v>
      </c>
      <c r="C7" s="319">
        <f>SUMIF('数据-汇总表'!$C19:$C33,假设开发法!C5,'数据-汇总表'!$E19:$E33)</f>
        <v>74022.8</v>
      </c>
      <c r="D7" s="319">
        <f>SUMIF('数据-汇总表'!$C19:$C33,假设开发法!D5,'数据-汇总表'!$E19:$E33)</f>
        <v>16315.1</v>
      </c>
      <c r="E7" s="319">
        <f>SUMIF('数据-汇总表'!$C19:$C33,假设开发法!E5,'数据-汇总表'!$E19:$E33)</f>
        <v>30569.3</v>
      </c>
      <c r="F7" s="319">
        <f>SUMIF('数据-汇总表'!$C19:$C33,假设开发法!F5,'数据-汇总表'!$E19:$E33)</f>
        <v>1132.9000000000001</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2472</v>
      </c>
      <c r="B8" s="175" t="s">
        <v>2473</v>
      </c>
      <c r="C8" s="997">
        <f>典型户型修正!S22</f>
        <v>407871</v>
      </c>
      <c r="D8" s="997">
        <f ca="1">收益法商业!B2</f>
        <v>50462</v>
      </c>
      <c r="E8" s="997">
        <f ca="1">收益法车库!B2</f>
        <v>20881</v>
      </c>
      <c r="F8" s="998">
        <f ca="1">收益法仓储!B2</f>
        <v>848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1">
        <f ca="1">IF(C1="",'数据-取费表'!P16,INDIRECT("'数据-取费表'!p"&amp;$K$1)+INDIRECT("'数据-取费表'!ar"&amp;$K$1))</f>
        <v>37336</v>
      </c>
      <c r="D11" s="973"/>
      <c r="E11" s="373"/>
      <c r="F11" s="974">
        <f ca="1">1-IF('数据-取费表'!B24=0,1,IF(C1="",'数据-取费表'!N16,INDIRECT("'数据-取费表'!n"&amp;$K$1)))</f>
        <v>0.88</v>
      </c>
      <c r="G11" s="8"/>
      <c r="H11" s="968"/>
      <c r="I11" s="968"/>
      <c r="J11" s="968"/>
      <c r="K11" s="969"/>
    </row>
    <row r="12" spans="1:33" s="975" customFormat="1" ht="13.5" customHeight="1">
      <c r="A12" s="971" t="s">
        <v>1335</v>
      </c>
      <c r="B12" s="972" t="s">
        <v>2482</v>
      </c>
      <c r="C12" s="23">
        <f ca="1">ROUND(C11*F12,0)</f>
        <v>1120</v>
      </c>
      <c r="D12" s="973"/>
      <c r="E12" s="373"/>
      <c r="F12" s="976">
        <f>'数据-取费表'!B33</f>
        <v>0.03</v>
      </c>
      <c r="G12" s="8" t="s">
        <v>2483</v>
      </c>
      <c r="H12" s="968"/>
      <c r="I12" s="968"/>
      <c r="J12" s="968"/>
      <c r="K12" s="969"/>
    </row>
    <row r="13" spans="1:33" s="975" customFormat="1" ht="13.5" customHeight="1">
      <c r="A13" s="971" t="s">
        <v>1336</v>
      </c>
      <c r="B13" s="972" t="s">
        <v>2484</v>
      </c>
      <c r="C13" s="23">
        <f ca="1">ROUND(IF(C1="",SUMIF('数据-取费表'!C:C,"住宅",'数据-取费表'!P:P)*F13,IF(INDIRECT("'数据-取费表'!c"&amp;$K$1)="住宅",INDIRECT("'数据-取费表'!P"&amp;$K$1)*F13,0)),0)</f>
        <v>0</v>
      </c>
      <c r="D13" s="1033"/>
      <c r="E13" s="373"/>
      <c r="F13" s="976">
        <f>'数据-取费表'!B34</f>
        <v>0.05</v>
      </c>
      <c r="G13" s="8" t="s">
        <v>2485</v>
      </c>
      <c r="H13" s="968"/>
      <c r="I13" s="968"/>
      <c r="J13" s="968"/>
      <c r="K13" s="969"/>
    </row>
    <row r="14" spans="1:33" s="977" customFormat="1" ht="13.5" customHeight="1">
      <c r="A14" s="971" t="s">
        <v>1337</v>
      </c>
      <c r="B14" s="972" t="s">
        <v>2486</v>
      </c>
      <c r="C14" s="23">
        <f ca="1">ROUND(D14*E14*F11/10000,0)</f>
        <v>2224</v>
      </c>
      <c r="D14" s="1033">
        <f ca="1">IF(C1="",'数据-汇总表'!E3,INDIRECT("'数据-取费表'!K"&amp;$K$1)+INDIRECT("'数据-取费表'!S"&amp;$K$1))</f>
        <v>126370.20000000001</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560</v>
      </c>
      <c r="D15" s="978"/>
      <c r="E15" s="983"/>
      <c r="F15" s="984">
        <f>'数据-取费表'!B36</f>
        <v>1.4999999999999999E-2</v>
      </c>
      <c r="G15" s="138"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41240</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126370.20000000001</v>
      </c>
      <c r="E17" s="23">
        <f>'数据-取费表'!B32</f>
        <v>0</v>
      </c>
      <c r="F17" s="978"/>
      <c r="G17" s="138"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3">
        <f ca="1">C19+C20-IF(C1="",'数据-取费表'!B29,IF(G18="已全部缴纳",C19+C20,H18))</f>
        <v>0</v>
      </c>
      <c r="D18" s="1033"/>
      <c r="E18" s="23"/>
      <c r="F18" s="976"/>
      <c r="G18" s="2554"/>
      <c r="H18" s="1575"/>
      <c r="I18" s="2555"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7"/>
      <c r="I19" s="981"/>
      <c r="J19" s="981"/>
      <c r="K19" s="982"/>
    </row>
    <row r="20" spans="1:33" s="975" customFormat="1" ht="13.5" customHeight="1">
      <c r="A20" s="971" t="s">
        <v>806</v>
      </c>
      <c r="B20" s="972" t="s">
        <v>2496</v>
      </c>
      <c r="C20" s="23">
        <f ca="1">ROUND(D20*E20/10000,0)</f>
        <v>2527</v>
      </c>
      <c r="D20" s="1033">
        <f ca="1">IF(C1="",'数据-汇总表'!E6,IF(INDIRECT("'数据-取费表'!c"&amp;$K$1)="住宅",INDIRECT("'数据-取费表'!s"&amp;$K$1),INDIRECT("'数据-取费表'!k"&amp;$K$1)+INDIRECT("'数据-取费表'!s"&amp;$K$1)))</f>
        <v>126370.20000000001</v>
      </c>
      <c r="E20" s="23">
        <f>'数据-取费表'!B28</f>
        <v>200</v>
      </c>
      <c r="F20" s="976"/>
      <c r="G20" s="14"/>
      <c r="H20" s="981"/>
      <c r="I20" s="981"/>
      <c r="J20" s="981"/>
      <c r="K20" s="982"/>
    </row>
    <row r="21" spans="1:33" s="975" customFormat="1" ht="13.5" customHeight="1">
      <c r="A21" s="961" t="s">
        <v>802</v>
      </c>
      <c r="B21" s="985" t="s">
        <v>2497</v>
      </c>
      <c r="C21" s="986">
        <f ca="1">C16+C17+C18</f>
        <v>41240</v>
      </c>
      <c r="D21" s="987"/>
      <c r="E21" s="323"/>
      <c r="F21" s="323"/>
      <c r="G21" s="138" t="s">
        <v>2498</v>
      </c>
      <c r="H21" s="979"/>
      <c r="I21" s="979"/>
      <c r="J21" s="979"/>
      <c r="K21" s="980"/>
    </row>
    <row r="22" spans="1:33" s="975" customFormat="1" ht="13.5" customHeight="1">
      <c r="A22" s="961" t="s">
        <v>2470</v>
      </c>
      <c r="B22" s="985" t="s">
        <v>2499</v>
      </c>
      <c r="C22" s="986">
        <f ca="1">ROUND(C21*F22,0)</f>
        <v>825</v>
      </c>
      <c r="D22" s="323"/>
      <c r="E22" s="323"/>
      <c r="F22" s="988">
        <f>'数据-取费表'!B37</f>
        <v>0.02</v>
      </c>
      <c r="G22" s="8" t="s">
        <v>2500</v>
      </c>
      <c r="H22" s="968"/>
      <c r="I22" s="968"/>
      <c r="J22" s="968"/>
      <c r="K22" s="969"/>
    </row>
    <row r="23" spans="1:33" s="975" customFormat="1" ht="13.5" customHeight="1">
      <c r="A23" s="961" t="s">
        <v>2472</v>
      </c>
      <c r="B23" s="985" t="s">
        <v>2501</v>
      </c>
      <c r="C23" s="986">
        <f ca="1">ROUND(C4*F23*F11,0)</f>
        <v>8449</v>
      </c>
      <c r="D23" s="323"/>
      <c r="E23" s="323"/>
      <c r="F23" s="988">
        <f>'数据-取费表'!B38</f>
        <v>0.02</v>
      </c>
      <c r="G23" s="8" t="s">
        <v>2502</v>
      </c>
      <c r="H23" s="968"/>
      <c r="I23" s="968"/>
      <c r="J23" s="968"/>
      <c r="K23" s="969"/>
    </row>
    <row r="24" spans="1:33" s="975" customFormat="1" ht="13.5" customHeight="1">
      <c r="A24" s="961" t="s">
        <v>2503</v>
      </c>
      <c r="B24" s="985" t="s">
        <v>2504</v>
      </c>
      <c r="C24" s="322">
        <f>ROUND(F24/(1+'数据-取费表'!C42),4)</f>
        <v>2.9000000000000001E-2</v>
      </c>
      <c r="D24" s="323" t="s">
        <v>15</v>
      </c>
      <c r="E24" s="323"/>
      <c r="F24" s="988">
        <f>'数据-取费表'!B48+'数据-取费表'!B49</f>
        <v>3.0499999999999999E-2</v>
      </c>
      <c r="G24" s="8" t="s">
        <v>2505</v>
      </c>
      <c r="H24" s="990"/>
      <c r="I24" s="990"/>
      <c r="J24" s="990"/>
      <c r="K24" s="991"/>
    </row>
    <row r="25" spans="1:33" s="975" customFormat="1" ht="13.5" customHeight="1">
      <c r="A25" s="961" t="s">
        <v>2506</v>
      </c>
      <c r="B25" s="987" t="s">
        <v>2507</v>
      </c>
      <c r="C25" s="1355">
        <f ca="1">C27</f>
        <v>3191</v>
      </c>
      <c r="D25" s="322">
        <f ca="1">C26</f>
        <v>0.1341</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0.1341</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3191</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2510</v>
      </c>
      <c r="B28" s="2557" t="s">
        <v>2511</v>
      </c>
      <c r="C28" s="329">
        <f ca="1">C30</f>
        <v>10608</v>
      </c>
      <c r="D28" s="322">
        <f ca="1">C29</f>
        <v>0.19020000000000001</v>
      </c>
      <c r="E28" s="324" t="s">
        <v>15</v>
      </c>
      <c r="F28" s="330">
        <f ca="1">IF(C1="",'数据-取费表'!Q16,INDIRECT("'数据-取费表'!q"&amp;$K$1))</f>
        <v>0.21</v>
      </c>
      <c r="G28" s="989"/>
      <c r="H28" s="990"/>
      <c r="I28" s="990"/>
      <c r="J28" s="990"/>
      <c r="K28" s="991"/>
    </row>
    <row r="29" spans="1:33" s="333" customFormat="1" ht="13.5" customHeight="1">
      <c r="A29" s="971" t="s">
        <v>803</v>
      </c>
      <c r="B29" s="994" t="s">
        <v>2512</v>
      </c>
      <c r="C29" s="326">
        <f ca="1">ROUND((1+C24)*F28*'数据-取费表'!B24/'数据-取费表'!B20,4)</f>
        <v>0.19020000000000001</v>
      </c>
      <c r="D29" s="326"/>
      <c r="E29" s="327"/>
      <c r="F29" s="332"/>
      <c r="G29" s="138" t="s">
        <v>2513</v>
      </c>
      <c r="H29" s="979"/>
      <c r="I29" s="979"/>
      <c r="J29" s="979"/>
      <c r="K29" s="980"/>
    </row>
    <row r="30" spans="1:33" s="333" customFormat="1" ht="13.5" customHeight="1">
      <c r="A30" s="971" t="s">
        <v>804</v>
      </c>
      <c r="B30" s="994" t="s">
        <v>2514</v>
      </c>
      <c r="C30" s="334">
        <f ca="1">ROUND((C21+C22+C23)*F28,0)</f>
        <v>10608</v>
      </c>
      <c r="D30" s="326"/>
      <c r="E30" s="327"/>
      <c r="F30" s="332"/>
      <c r="G30" s="138"/>
      <c r="H30" s="979"/>
      <c r="I30" s="979"/>
      <c r="J30" s="979"/>
      <c r="K30" s="980"/>
    </row>
    <row r="31" spans="1:33" s="975" customFormat="1" ht="13.5" customHeight="1" thickBot="1">
      <c r="A31" s="2558" t="s">
        <v>2515</v>
      </c>
      <c r="B31" s="1005" t="s">
        <v>2516</v>
      </c>
      <c r="C31" s="1006">
        <f ca="1">ROUND(C4*F31/(1+'数据-取费表'!C42),0)</f>
        <v>25146</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288630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D4" zoomScale="90" zoomScaleNormal="90" workbookViewId="0">
      <selection activeCell="G23" sqref="G2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667" t="s">
        <v>2687</v>
      </c>
      <c r="C1" s="1618" t="s">
        <v>2531</v>
      </c>
      <c r="D1" s="1619" t="s">
        <v>27</v>
      </c>
      <c r="E1" s="1628"/>
      <c r="F1" s="2582" t="s">
        <v>3150</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f>IF(C2="——",ROUND(C50*D3/10000,0),ROUND(C50*D3/10000,0)-D2)</f>
        <v>408302</v>
      </c>
      <c r="C2" s="2584" t="s">
        <v>70</v>
      </c>
      <c r="D2" s="136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f>IF(C2="——",C50,ROUND(B2*10000/D3,0))</f>
        <v>55159</v>
      </c>
      <c r="C3" s="398" t="s">
        <v>2645</v>
      </c>
      <c r="D3" s="397">
        <f>IF(D1="",'数据-汇总表'!E3,SUMIF('数据-汇总表'!$C19:$C33,D1,'数据-汇总表'!$E19:$E33))</f>
        <v>74022.8</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230" t="s">
        <v>2652</v>
      </c>
      <c r="Q4" s="3231"/>
      <c r="R4" s="3219" t="s">
        <v>2648</v>
      </c>
      <c r="S4" s="3220"/>
      <c r="T4" s="3219" t="s">
        <v>2649</v>
      </c>
      <c r="U4" s="3220"/>
      <c r="V4" s="3234" t="s">
        <v>2650</v>
      </c>
      <c r="W4" s="3234"/>
      <c r="X4" s="2668"/>
      <c r="Y4" s="3219" t="s">
        <v>2652</v>
      </c>
      <c r="Z4" s="3220"/>
      <c r="AA4" s="3218" t="s">
        <v>2648</v>
      </c>
      <c r="AB4" s="3218" t="s">
        <v>2649</v>
      </c>
      <c r="AC4" s="3227" t="s">
        <v>2650</v>
      </c>
    </row>
    <row r="5" spans="1:29" ht="15" customHeight="1">
      <c r="A5" s="402"/>
      <c r="B5" s="403"/>
      <c r="C5" s="3185" t="s">
        <v>2543</v>
      </c>
      <c r="D5" s="3186"/>
      <c r="E5" s="3221" t="s">
        <v>3175</v>
      </c>
      <c r="F5" s="3222"/>
      <c r="G5" s="3223" t="s">
        <v>3176</v>
      </c>
      <c r="H5" s="3224"/>
      <c r="I5" s="3223" t="s">
        <v>3234</v>
      </c>
      <c r="J5" s="3224"/>
      <c r="K5" s="608"/>
      <c r="L5" s="1130"/>
      <c r="M5" s="1131"/>
      <c r="N5" s="1131"/>
      <c r="O5" s="1131"/>
      <c r="P5" s="3232"/>
      <c r="Q5" s="3199"/>
      <c r="R5" s="3181"/>
      <c r="S5" s="3182"/>
      <c r="T5" s="3181"/>
      <c r="U5" s="3182"/>
      <c r="V5" s="3204"/>
      <c r="W5" s="3204"/>
      <c r="X5" s="1811"/>
      <c r="Y5" s="3181"/>
      <c r="Z5" s="3182"/>
      <c r="AA5" s="3175"/>
      <c r="AB5" s="3175"/>
      <c r="AC5" s="3228"/>
    </row>
    <row r="6" spans="1:29" ht="33" customHeight="1" thickBot="1">
      <c r="A6" s="404"/>
      <c r="B6" s="405"/>
      <c r="C6" s="3187" t="s">
        <v>2547</v>
      </c>
      <c r="D6" s="3188"/>
      <c r="E6" s="3225" t="s">
        <v>3231</v>
      </c>
      <c r="F6" s="3190"/>
      <c r="G6" s="3226" t="s">
        <v>3232</v>
      </c>
      <c r="H6" s="3188"/>
      <c r="I6" s="3226"/>
      <c r="J6" s="3188"/>
      <c r="K6" s="608" t="s">
        <v>2548</v>
      </c>
      <c r="L6" s="1130"/>
      <c r="M6" s="1131"/>
      <c r="N6" s="1131"/>
      <c r="O6" s="1131"/>
      <c r="P6" s="3233"/>
      <c r="Q6" s="3201"/>
      <c r="R6" s="3181"/>
      <c r="S6" s="3182"/>
      <c r="T6" s="3202"/>
      <c r="U6" s="3203"/>
      <c r="V6" s="3204"/>
      <c r="W6" s="3204"/>
      <c r="X6" s="1811"/>
      <c r="Y6" s="3202"/>
      <c r="Z6" s="3203"/>
      <c r="AA6" s="3176"/>
      <c r="AB6" s="3176"/>
      <c r="AC6" s="3229"/>
    </row>
    <row r="7" spans="1:29" s="115" customFormat="1" ht="15" thickBot="1">
      <c r="A7" s="406" t="s">
        <v>2549</v>
      </c>
      <c r="B7" s="407"/>
      <c r="C7" s="408">
        <f>'数据-取费表'!B2</f>
        <v>43332</v>
      </c>
      <c r="D7" s="409">
        <v>100</v>
      </c>
      <c r="E7" s="410">
        <v>43313</v>
      </c>
      <c r="F7" s="411">
        <f>SUMIF(59:59,YEAR(E7)&amp;"-"&amp;MONTH(E7),60:60)</f>
        <v>100</v>
      </c>
      <c r="G7" s="2694">
        <v>43282</v>
      </c>
      <c r="H7" s="409">
        <f>SUMIF(59:59,YEAR(G7)&amp;"-"&amp;MONTH(G7),60:60)</f>
        <v>100</v>
      </c>
      <c r="I7" s="2694">
        <v>43313</v>
      </c>
      <c r="J7" s="409">
        <f>SUMIF(59:59,YEAR(I7)&amp;"-"&amp;MONTH(I7),60:60)</f>
        <v>100</v>
      </c>
      <c r="K7" s="609"/>
      <c r="L7" s="1132"/>
      <c r="M7" s="1133"/>
      <c r="N7" s="1133"/>
      <c r="O7" s="1133"/>
      <c r="P7" s="3235" t="s">
        <v>2550</v>
      </c>
      <c r="Q7" s="3205"/>
      <c r="R7" s="768" t="s">
        <v>17</v>
      </c>
      <c r="S7" s="769">
        <f t="shared" ref="S7:S15" si="0">F7</f>
        <v>100</v>
      </c>
      <c r="T7" s="768" t="s">
        <v>17</v>
      </c>
      <c r="U7" s="769">
        <f t="shared" ref="U7:U15" si="1">H7</f>
        <v>100</v>
      </c>
      <c r="V7" s="768" t="s">
        <v>17</v>
      </c>
      <c r="W7" s="769">
        <f t="shared" ref="W7:W15" si="2">J7</f>
        <v>100</v>
      </c>
      <c r="X7" s="770"/>
      <c r="Y7" s="3177" t="s">
        <v>2550</v>
      </c>
      <c r="Z7" s="3178"/>
      <c r="AA7" s="771">
        <f>D7/F7</f>
        <v>1</v>
      </c>
      <c r="AB7" s="771">
        <f>D7/H7</f>
        <v>1</v>
      </c>
      <c r="AC7" s="2669">
        <f>D7/J7</f>
        <v>1</v>
      </c>
    </row>
    <row r="8" spans="1:29" s="115" customFormat="1" ht="15" thickBot="1">
      <c r="A8" s="406" t="s">
        <v>2551</v>
      </c>
      <c r="B8" s="407"/>
      <c r="C8" s="412" t="s">
        <v>2653</v>
      </c>
      <c r="D8" s="409">
        <v>100</v>
      </c>
      <c r="E8" s="412" t="s">
        <v>2588</v>
      </c>
      <c r="F8" s="411">
        <f>SUMIF(62:62,E8,63:63)-SUMIF(62:62,C8,63:63)+100</f>
        <v>100</v>
      </c>
      <c r="G8" s="412" t="s">
        <v>2588</v>
      </c>
      <c r="H8" s="409">
        <f>SUMIF(62:62,G8,63:63)-SUMIF(62:62,C8,63:63)+100</f>
        <v>100</v>
      </c>
      <c r="I8" s="412" t="s">
        <v>2588</v>
      </c>
      <c r="J8" s="409">
        <f>SUMIF(62:62,I8,63:63)-SUMIF(62:62,C8,63:63)+100</f>
        <v>100</v>
      </c>
      <c r="K8" s="609"/>
      <c r="L8" s="1132"/>
      <c r="M8" s="1133"/>
      <c r="N8" s="1133"/>
      <c r="O8" s="1133"/>
      <c r="P8" s="3235" t="s">
        <v>2553</v>
      </c>
      <c r="Q8" s="3178"/>
      <c r="R8" s="768" t="s">
        <v>17</v>
      </c>
      <c r="S8" s="769">
        <f t="shared" si="0"/>
        <v>100</v>
      </c>
      <c r="T8" s="768" t="s">
        <v>17</v>
      </c>
      <c r="U8" s="769">
        <f t="shared" si="1"/>
        <v>100</v>
      </c>
      <c r="V8" s="768" t="s">
        <v>17</v>
      </c>
      <c r="W8" s="769">
        <f t="shared" si="2"/>
        <v>100</v>
      </c>
      <c r="X8" s="770"/>
      <c r="Y8" s="3177" t="s">
        <v>2553</v>
      </c>
      <c r="Z8" s="3178"/>
      <c r="AA8" s="771">
        <f t="shared" ref="AA8:AA47" si="3">D8/F8</f>
        <v>1</v>
      </c>
      <c r="AB8" s="771">
        <f t="shared" ref="AB8:AB47" si="4">D8/H8</f>
        <v>1</v>
      </c>
      <c r="AC8" s="2669">
        <f t="shared" ref="AC8:AC47" si="5">D8/J8</f>
        <v>1</v>
      </c>
    </row>
    <row r="9" spans="1:29" s="115" customFormat="1" ht="14.4">
      <c r="A9" s="413" t="s">
        <v>2554</v>
      </c>
      <c r="B9" s="70" t="s">
        <v>2555</v>
      </c>
      <c r="C9" s="2981" t="s">
        <v>3229</v>
      </c>
      <c r="D9" s="133">
        <v>100</v>
      </c>
      <c r="E9" s="2981" t="s">
        <v>3229</v>
      </c>
      <c r="F9" s="133">
        <f>SUMIF(64:64,E9,65:65)-SUMIF(64:64,C9,65:65)+100</f>
        <v>100</v>
      </c>
      <c r="G9" s="2981" t="s">
        <v>3229</v>
      </c>
      <c r="H9" s="133">
        <f>SUMIF(64:64,G9,65:65)-SUMIF(64:64,C9,65:65)+100</f>
        <v>100</v>
      </c>
      <c r="I9" s="2981" t="s">
        <v>3229</v>
      </c>
      <c r="J9" s="133">
        <f>SUMIF(64:64,I9,65:65)-SUMIF(64:64,C9,65:65)+100</f>
        <v>100</v>
      </c>
      <c r="K9" s="609"/>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2669">
        <f t="shared" si="5"/>
        <v>1</v>
      </c>
    </row>
    <row r="10" spans="1:29" s="425" customFormat="1" ht="28.8">
      <c r="A10" s="419"/>
      <c r="B10" s="420" t="s">
        <v>2558</v>
      </c>
      <c r="C10" s="421" t="s">
        <v>3230</v>
      </c>
      <c r="D10" s="134">
        <v>100</v>
      </c>
      <c r="E10" s="421" t="s">
        <v>3230</v>
      </c>
      <c r="F10" s="134">
        <f>SUMIF(66:66,E10,67:67)-SUMIF(66:66,C10,67:67)+100</f>
        <v>100</v>
      </c>
      <c r="G10" s="421" t="s">
        <v>3230</v>
      </c>
      <c r="H10" s="134">
        <f>SUMIF(66:66,G10,67:67)-SUMIF(66:66,C10,67:67)+100</f>
        <v>100</v>
      </c>
      <c r="I10" s="421" t="s">
        <v>3230</v>
      </c>
      <c r="J10" s="134">
        <f>SUMIF(66:66,I10,67:67)-SUMIF(66:66,C10,67:67)+100</f>
        <v>100</v>
      </c>
      <c r="K10" s="610"/>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2669">
        <f t="shared" si="5"/>
        <v>1</v>
      </c>
    </row>
    <row r="11" spans="1:29" ht="15">
      <c r="A11" s="426"/>
      <c r="B11" s="420" t="s">
        <v>2559</v>
      </c>
      <c r="C11" s="427">
        <f>'数据-汇总表'!I7</f>
        <v>8.02</v>
      </c>
      <c r="D11" s="134">
        <v>100</v>
      </c>
      <c r="E11" s="2966">
        <f>117609/13620</f>
        <v>8.6350220264317183</v>
      </c>
      <c r="F11" s="134">
        <f>LOOKUP(E11,69:69,70:70)-LOOKUP(C11,69:69,70:70)+100</f>
        <v>100</v>
      </c>
      <c r="G11" s="2967">
        <v>7.5</v>
      </c>
      <c r="H11" s="134">
        <f>LOOKUP(G11,69:69,70:70)-LOOKUP(C11,69:69,70:70)+100</f>
        <v>101</v>
      </c>
      <c r="I11" s="2966">
        <v>2.5</v>
      </c>
      <c r="J11" s="134">
        <f>LOOKUP(I11,69:69,70:70)-LOOKUP(C11,69:69,70:70)+100</f>
        <v>106</v>
      </c>
      <c r="K11" s="610">
        <v>1</v>
      </c>
      <c r="L11" s="1138"/>
      <c r="M11" s="1131"/>
      <c r="N11" s="1131"/>
      <c r="O11" s="1131"/>
      <c r="P11" s="3216"/>
      <c r="Q11" s="1793" t="str">
        <f t="shared" si="6"/>
        <v>容积率</v>
      </c>
      <c r="R11" s="768" t="s">
        <v>17</v>
      </c>
      <c r="S11" s="769">
        <f t="shared" si="0"/>
        <v>100</v>
      </c>
      <c r="T11" s="768" t="s">
        <v>17</v>
      </c>
      <c r="U11" s="769">
        <f t="shared" si="1"/>
        <v>101</v>
      </c>
      <c r="V11" s="768" t="s">
        <v>17</v>
      </c>
      <c r="W11" s="769">
        <f t="shared" si="2"/>
        <v>106</v>
      </c>
      <c r="X11" s="770"/>
      <c r="Y11" s="3051"/>
      <c r="Z11" s="54" t="str">
        <f t="shared" si="7"/>
        <v>容积率</v>
      </c>
      <c r="AA11" s="771">
        <f t="shared" si="3"/>
        <v>1</v>
      </c>
      <c r="AB11" s="771">
        <f t="shared" si="4"/>
        <v>0.99009900990099009</v>
      </c>
      <c r="AC11" s="2669">
        <f t="shared" si="5"/>
        <v>0.94339622641509435</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216"/>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216"/>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2669">
        <f t="shared" si="5"/>
        <v>1</v>
      </c>
    </row>
    <row r="14" spans="1:29" ht="15.6"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216"/>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2669">
        <f t="shared" si="5"/>
        <v>1</v>
      </c>
    </row>
    <row r="15" spans="1:29" ht="82.8">
      <c r="A15" s="438" t="s">
        <v>2560</v>
      </c>
      <c r="B15" s="627" t="s">
        <v>2688</v>
      </c>
      <c r="C15" s="2671" t="str">
        <f>估价对象房地状况!C5</f>
        <v>估价对象位于通州运河核心区，周边办公楼项目数量一般，入驻率一般，办公集聚程度一般。</v>
      </c>
      <c r="D15" s="439">
        <v>100</v>
      </c>
      <c r="E15" s="2970" t="s">
        <v>3221</v>
      </c>
      <c r="F15" s="439">
        <f>SUMIF(77:77,E16,78:78)-SUMIF(77:77,C16,78:78)+100</f>
        <v>100</v>
      </c>
      <c r="G15" s="2970" t="s">
        <v>3221</v>
      </c>
      <c r="H15" s="439">
        <f>SUMIF(77:77,G16,78:78)-SUMIF(77:77,C16,78:78)+100</f>
        <v>100</v>
      </c>
      <c r="I15" s="2970"/>
      <c r="J15" s="439">
        <f>SUMIF(77:77,I16,78:78)-SUMIF(77:77,C16,78:78)+100</f>
        <v>98</v>
      </c>
      <c r="K15" s="612">
        <v>2</v>
      </c>
      <c r="L15" s="1140"/>
      <c r="M15" s="1131"/>
      <c r="N15" s="1131"/>
      <c r="O15" s="1131"/>
      <c r="P15" s="3236" t="s">
        <v>2561</v>
      </c>
      <c r="Q15" s="1808" t="str">
        <f t="shared" si="6"/>
        <v>办公集聚程度</v>
      </c>
      <c r="R15" s="772" t="s">
        <v>17</v>
      </c>
      <c r="S15" s="773">
        <f t="shared" si="0"/>
        <v>100</v>
      </c>
      <c r="T15" s="772" t="s">
        <v>17</v>
      </c>
      <c r="U15" s="773">
        <f t="shared" si="1"/>
        <v>100</v>
      </c>
      <c r="V15" s="772" t="s">
        <v>17</v>
      </c>
      <c r="W15" s="773">
        <f t="shared" si="2"/>
        <v>98</v>
      </c>
      <c r="X15" s="1811"/>
      <c r="Y15" s="3206" t="s">
        <v>2561</v>
      </c>
      <c r="Z15" s="1812" t="str">
        <f t="shared" si="7"/>
        <v>办公集聚程度</v>
      </c>
      <c r="AA15" s="1809">
        <f t="shared" si="3"/>
        <v>1</v>
      </c>
      <c r="AB15" s="1809">
        <f t="shared" si="4"/>
        <v>1</v>
      </c>
      <c r="AC15" s="2672">
        <f t="shared" si="5"/>
        <v>1.0204081632653061</v>
      </c>
    </row>
    <row r="16" spans="1:29" ht="15">
      <c r="A16" s="426"/>
      <c r="B16" s="628"/>
      <c r="C16" s="2609" t="s">
        <v>3130</v>
      </c>
      <c r="D16" s="446"/>
      <c r="E16" s="2609" t="s">
        <v>3130</v>
      </c>
      <c r="F16" s="446"/>
      <c r="G16" s="2609" t="s">
        <v>3130</v>
      </c>
      <c r="H16" s="448"/>
      <c r="I16" s="2609" t="s">
        <v>3235</v>
      </c>
      <c r="J16" s="446"/>
      <c r="K16" s="613"/>
      <c r="L16" s="1140"/>
      <c r="M16" s="1131"/>
      <c r="N16" s="1131"/>
      <c r="O16" s="1131"/>
      <c r="P16" s="3237"/>
      <c r="Q16" s="1808"/>
      <c r="R16" s="772"/>
      <c r="S16" s="773"/>
      <c r="T16" s="772"/>
      <c r="U16" s="773"/>
      <c r="V16" s="772"/>
      <c r="W16" s="773"/>
      <c r="X16" s="1811"/>
      <c r="Y16" s="3207"/>
      <c r="Z16" s="1812"/>
      <c r="AA16" s="1809">
        <v>1</v>
      </c>
      <c r="AB16" s="1809">
        <v>1</v>
      </c>
      <c r="AC16" s="2672">
        <v>1</v>
      </c>
    </row>
    <row r="17" spans="1:29" ht="100.8">
      <c r="A17" s="426"/>
      <c r="B17" s="629" t="s">
        <v>2100</v>
      </c>
      <c r="C17" s="2673" t="str">
        <f>估价对象房地状况!C6</f>
        <v>附近主要有317路、552路、809、通49路等公交线路，紧邻地铁6号线，路网密集度较好，交通便捷度较好。</v>
      </c>
      <c r="D17" s="448">
        <v>100</v>
      </c>
      <c r="E17" s="2979" t="s">
        <v>3222</v>
      </c>
      <c r="F17" s="448">
        <f>SUMIF(79:79,E18,80:80)-SUMIF(79:79,C18,80:80)+100</f>
        <v>100</v>
      </c>
      <c r="G17" s="2979" t="s">
        <v>3222</v>
      </c>
      <c r="H17" s="453">
        <f>SUMIF(79:79,G18,80:80)-SUMIF(79:79,C18,80:80)+100</f>
        <v>100</v>
      </c>
      <c r="I17" s="2979" t="s">
        <v>3222</v>
      </c>
      <c r="J17" s="453">
        <f>SUMIF(79:79,I18,80:80)-SUMIF(79:79,C18,80:80)+100</f>
        <v>100</v>
      </c>
      <c r="K17" s="612">
        <v>1</v>
      </c>
      <c r="L17" s="1140"/>
      <c r="M17" s="1131"/>
      <c r="N17" s="1131"/>
      <c r="O17" s="1131"/>
      <c r="P17" s="323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2672">
        <f t="shared" si="5"/>
        <v>1</v>
      </c>
    </row>
    <row r="18" spans="1:29" ht="15">
      <c r="A18" s="426"/>
      <c r="B18" s="630"/>
      <c r="C18" s="2674" t="s">
        <v>3132</v>
      </c>
      <c r="D18" s="448"/>
      <c r="E18" s="2674" t="s">
        <v>3132</v>
      </c>
      <c r="F18" s="448"/>
      <c r="G18" s="2674" t="s">
        <v>3132</v>
      </c>
      <c r="H18" s="446"/>
      <c r="I18" s="2674" t="s">
        <v>3132</v>
      </c>
      <c r="J18" s="446"/>
      <c r="K18" s="613"/>
      <c r="L18" s="1140"/>
      <c r="M18" s="1131"/>
      <c r="N18" s="1131"/>
      <c r="O18" s="1131"/>
      <c r="P18" s="3237"/>
      <c r="Q18" s="1808"/>
      <c r="R18" s="772"/>
      <c r="S18" s="773"/>
      <c r="T18" s="772"/>
      <c r="U18" s="773"/>
      <c r="V18" s="772"/>
      <c r="W18" s="773"/>
      <c r="X18" s="1811"/>
      <c r="Y18" s="3207"/>
      <c r="Z18" s="1812"/>
      <c r="AA18" s="1809">
        <v>1</v>
      </c>
      <c r="AB18" s="1809">
        <v>1</v>
      </c>
      <c r="AC18" s="2672">
        <v>1</v>
      </c>
    </row>
    <row r="19" spans="1:29" ht="165.6">
      <c r="A19" s="426"/>
      <c r="B19" s="629" t="s">
        <v>2689</v>
      </c>
      <c r="C19" s="2673" t="str">
        <f>估价对象房地状况!C7</f>
        <v>估价对象周边有银行（兴业银行（北京通州运河支行）等）、医院（北京京通医院等）、超市（隆品源超市等）、学校（北京通州芙蓉小学等），公共配套设施齐备情况较好。</v>
      </c>
      <c r="D19" s="453">
        <v>100</v>
      </c>
      <c r="E19" s="2980" t="s">
        <v>3223</v>
      </c>
      <c r="F19" s="453">
        <f>SUMIF(81:81,E20,82:82)-SUMIF(81:81,C20,82:82)+100</f>
        <v>100</v>
      </c>
      <c r="G19" s="2980" t="s">
        <v>3223</v>
      </c>
      <c r="H19" s="448">
        <f>SUMIF(81:81,G20,82:82)-SUMIF(81:81,C20,82:82)+100</f>
        <v>100</v>
      </c>
      <c r="I19" s="2980" t="s">
        <v>3223</v>
      </c>
      <c r="J19" s="448">
        <f>SUMIF(81:81,I20,82:82)-SUMIF(81:81,C20,82:82)+100</f>
        <v>100</v>
      </c>
      <c r="K19" s="612">
        <v>1</v>
      </c>
      <c r="L19" s="1140"/>
      <c r="M19" s="1131"/>
      <c r="N19" s="1131"/>
      <c r="O19" s="1131"/>
      <c r="P19" s="323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2672">
        <f t="shared" si="5"/>
        <v>1</v>
      </c>
    </row>
    <row r="20" spans="1:29" ht="15">
      <c r="A20" s="426"/>
      <c r="B20" s="630"/>
      <c r="C20" s="2609" t="s">
        <v>3132</v>
      </c>
      <c r="D20" s="446"/>
      <c r="E20" s="2609" t="s">
        <v>3132</v>
      </c>
      <c r="F20" s="446"/>
      <c r="G20" s="2609" t="s">
        <v>3132</v>
      </c>
      <c r="H20" s="446"/>
      <c r="I20" s="2609" t="s">
        <v>3132</v>
      </c>
      <c r="J20" s="446"/>
      <c r="K20" s="613"/>
      <c r="L20" s="1140"/>
      <c r="M20" s="1131"/>
      <c r="N20" s="1131"/>
      <c r="O20" s="1131"/>
      <c r="P20" s="3237"/>
      <c r="Q20" s="1808"/>
      <c r="R20" s="772"/>
      <c r="S20" s="773"/>
      <c r="T20" s="772"/>
      <c r="U20" s="773"/>
      <c r="V20" s="772"/>
      <c r="W20" s="773"/>
      <c r="X20" s="1811"/>
      <c r="Y20" s="3207"/>
      <c r="Z20" s="1812"/>
      <c r="AA20" s="1809">
        <v>1</v>
      </c>
      <c r="AB20" s="1809">
        <v>1</v>
      </c>
      <c r="AC20" s="2672">
        <v>1</v>
      </c>
    </row>
    <row r="21" spans="1:29" ht="15">
      <c r="A21" s="426"/>
      <c r="B21" s="631" t="s">
        <v>2690</v>
      </c>
      <c r="C21" s="2673" t="str">
        <f>估价对象房地状况!C8</f>
        <v>七通。</v>
      </c>
      <c r="D21" s="448">
        <v>100</v>
      </c>
      <c r="E21" s="2980" t="s">
        <v>3224</v>
      </c>
      <c r="F21" s="453">
        <f>SUMIF(83:83,E22,84:84)-SUMIF(83:83,C22,84:84)+100</f>
        <v>100</v>
      </c>
      <c r="G21" s="2980" t="s">
        <v>3224</v>
      </c>
      <c r="H21" s="448">
        <f>SUMIF(83:83,G22,84:84)-SUMIF(83:83,C22,84:84)+100</f>
        <v>100</v>
      </c>
      <c r="I21" s="2980" t="s">
        <v>3224</v>
      </c>
      <c r="J21" s="448">
        <f>SUMIF(83:83,I22,84:84)-SUMIF(83:83,C22,84:84)+100</f>
        <v>100</v>
      </c>
      <c r="K21" s="612"/>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2672">
        <f t="shared" ref="AC21" si="10">D21/J21</f>
        <v>1</v>
      </c>
    </row>
    <row r="22" spans="1:29" ht="15">
      <c r="A22" s="426"/>
      <c r="B22" s="631"/>
      <c r="C22" s="2674" t="s">
        <v>3133</v>
      </c>
      <c r="D22" s="446"/>
      <c r="E22" s="2674" t="s">
        <v>3133</v>
      </c>
      <c r="F22" s="446"/>
      <c r="G22" s="2674" t="s">
        <v>3133</v>
      </c>
      <c r="H22" s="446"/>
      <c r="I22" s="2674" t="s">
        <v>3133</v>
      </c>
      <c r="J22" s="446"/>
      <c r="K22" s="1382"/>
      <c r="L22" s="1140"/>
      <c r="M22" s="1131"/>
      <c r="N22" s="1131"/>
      <c r="O22" s="1131"/>
      <c r="P22" s="3237"/>
      <c r="Q22" s="1808"/>
      <c r="R22" s="772"/>
      <c r="S22" s="773"/>
      <c r="T22" s="772"/>
      <c r="U22" s="773"/>
      <c r="V22" s="772"/>
      <c r="W22" s="773"/>
      <c r="X22" s="1811"/>
      <c r="Y22" s="3207"/>
      <c r="Z22" s="1812"/>
      <c r="AA22" s="1809">
        <v>1</v>
      </c>
      <c r="AB22" s="1809">
        <v>1</v>
      </c>
      <c r="AC22" s="2672">
        <v>1</v>
      </c>
    </row>
    <row r="23" spans="1:29" ht="124.2">
      <c r="A23" s="426"/>
      <c r="B23" s="629" t="s">
        <v>2691</v>
      </c>
      <c r="C23" s="2673" t="str">
        <f>估价对象房地状况!C9</f>
        <v>估价对象周边有水系、运河奥体公园，自然环境较好；周边有大运河美术馆等人文设施，人文环境较好；综合评价环境状况较好。</v>
      </c>
      <c r="D23" s="448">
        <v>100</v>
      </c>
      <c r="E23" s="2979" t="s">
        <v>3225</v>
      </c>
      <c r="F23" s="448">
        <f>SUMIF(85:85,E24,86:86)-SUMIF(85:85,C24,86:86)+100</f>
        <v>100</v>
      </c>
      <c r="G23" s="2979" t="s">
        <v>3225</v>
      </c>
      <c r="H23" s="448">
        <f>SUMIF(85:85,G24,86:86)-SUMIF(85:85,C24,86:86)+100</f>
        <v>100</v>
      </c>
      <c r="I23" s="2979" t="s">
        <v>3225</v>
      </c>
      <c r="J23" s="448">
        <f>SUMIF(85:85,I24,86:86)-SUMIF(85:85,C24,86:86)+100</f>
        <v>100</v>
      </c>
      <c r="K23" s="612">
        <v>2</v>
      </c>
      <c r="L23" s="1140"/>
      <c r="M23" s="1131"/>
      <c r="N23" s="1131"/>
      <c r="O23" s="1131"/>
      <c r="P23" s="3237"/>
      <c r="Q23" s="1808" t="str">
        <f>B23</f>
        <v>环境质量</v>
      </c>
      <c r="R23" s="772" t="s">
        <v>17</v>
      </c>
      <c r="S23" s="773">
        <f>F23</f>
        <v>100</v>
      </c>
      <c r="T23" s="772" t="s">
        <v>17</v>
      </c>
      <c r="U23" s="773">
        <f>H23</f>
        <v>100</v>
      </c>
      <c r="V23" s="772" t="s">
        <v>17</v>
      </c>
      <c r="W23" s="773">
        <f>J23</f>
        <v>100</v>
      </c>
      <c r="X23" s="1811"/>
      <c r="Y23" s="3207"/>
      <c r="Z23" s="1812" t="str">
        <f>Q23</f>
        <v>环境质量</v>
      </c>
      <c r="AA23" s="1809">
        <f t="shared" si="3"/>
        <v>1</v>
      </c>
      <c r="AB23" s="1809">
        <f t="shared" si="4"/>
        <v>1</v>
      </c>
      <c r="AC23" s="2672">
        <f t="shared" si="5"/>
        <v>1</v>
      </c>
    </row>
    <row r="24" spans="1:29" ht="15">
      <c r="A24" s="426"/>
      <c r="B24" s="631"/>
      <c r="C24" s="2609" t="s">
        <v>3132</v>
      </c>
      <c r="D24" s="446"/>
      <c r="E24" s="2609" t="s">
        <v>3132</v>
      </c>
      <c r="F24" s="446"/>
      <c r="G24" s="2609" t="s">
        <v>3132</v>
      </c>
      <c r="H24" s="446"/>
      <c r="I24" s="2609" t="s">
        <v>3132</v>
      </c>
      <c r="J24" s="446"/>
      <c r="K24" s="613"/>
      <c r="L24" s="1140"/>
      <c r="M24" s="1131"/>
      <c r="N24" s="1131"/>
      <c r="O24" s="1131"/>
      <c r="P24" s="3237"/>
      <c r="Q24" s="1808"/>
      <c r="R24" s="772"/>
      <c r="S24" s="773"/>
      <c r="T24" s="772"/>
      <c r="U24" s="773"/>
      <c r="V24" s="772"/>
      <c r="W24" s="773"/>
      <c r="X24" s="1811"/>
      <c r="Y24" s="3207"/>
      <c r="Z24" s="1812"/>
      <c r="AA24" s="1809">
        <v>1</v>
      </c>
      <c r="AB24" s="1809">
        <v>1</v>
      </c>
      <c r="AC24" s="2672">
        <v>1</v>
      </c>
    </row>
    <row r="25" spans="1:29" ht="28.8">
      <c r="A25" s="402"/>
      <c r="B25" s="629" t="s">
        <v>2692</v>
      </c>
      <c r="C25" s="2613" t="str">
        <f>估价对象房地状况!C10</f>
        <v>城市支路——永顺南街</v>
      </c>
      <c r="D25" s="433">
        <v>100</v>
      </c>
      <c r="E25" s="2965" t="s">
        <v>3226</v>
      </c>
      <c r="F25" s="433">
        <f>SUMIF(87:87,E26,88:88)-SUMIF(87:87,C26,88:88)+100</f>
        <v>103</v>
      </c>
      <c r="G25" s="2965" t="s">
        <v>3227</v>
      </c>
      <c r="H25" s="433">
        <f>SUMIF(87:87,G26,88:88)-SUMIF(87:87,C26,88:88)+100</f>
        <v>103</v>
      </c>
      <c r="I25" s="2965" t="s">
        <v>3228</v>
      </c>
      <c r="J25" s="433">
        <f>SUMIF(87:87,I26,88:88)-SUMIF(87:87,C26,88:88)+100</f>
        <v>103</v>
      </c>
      <c r="K25" s="612">
        <v>1.5</v>
      </c>
      <c r="L25" s="1140"/>
      <c r="M25" s="1131"/>
      <c r="N25" s="1131"/>
      <c r="O25" s="1131"/>
      <c r="P25" s="3237"/>
      <c r="Q25" s="1808" t="str">
        <f>B25</f>
        <v>毗邻道路的类型与等级</v>
      </c>
      <c r="R25" s="772" t="s">
        <v>17</v>
      </c>
      <c r="S25" s="773">
        <f>F25</f>
        <v>103</v>
      </c>
      <c r="T25" s="772" t="s">
        <v>17</v>
      </c>
      <c r="U25" s="773">
        <f>H25</f>
        <v>103</v>
      </c>
      <c r="V25" s="772" t="s">
        <v>17</v>
      </c>
      <c r="W25" s="773">
        <f>J25</f>
        <v>103</v>
      </c>
      <c r="X25" s="1811"/>
      <c r="Y25" s="3207"/>
      <c r="Z25" s="1812" t="str">
        <f>Q25</f>
        <v>毗邻道路的类型与等级</v>
      </c>
      <c r="AA25" s="1809">
        <f t="shared" si="3"/>
        <v>0.970873786407767</v>
      </c>
      <c r="AB25" s="1809">
        <f t="shared" si="4"/>
        <v>0.970873786407767</v>
      </c>
      <c r="AC25" s="2672">
        <f t="shared" si="5"/>
        <v>0.970873786407767</v>
      </c>
    </row>
    <row r="26" spans="1:29" ht="15">
      <c r="A26" s="402"/>
      <c r="B26" s="630"/>
      <c r="C26" s="632" t="s">
        <v>3143</v>
      </c>
      <c r="D26" s="433"/>
      <c r="E26" s="632" t="s">
        <v>3144</v>
      </c>
      <c r="F26" s="433"/>
      <c r="G26" s="632" t="s">
        <v>3144</v>
      </c>
      <c r="H26" s="433"/>
      <c r="I26" s="632" t="s">
        <v>3144</v>
      </c>
      <c r="J26" s="433"/>
      <c r="K26" s="613"/>
      <c r="L26" s="1140"/>
      <c r="M26" s="1131"/>
      <c r="N26" s="1131"/>
      <c r="O26" s="1131"/>
      <c r="P26" s="3237"/>
      <c r="Q26" s="1808"/>
      <c r="R26" s="772"/>
      <c r="S26" s="773"/>
      <c r="T26" s="772"/>
      <c r="U26" s="773"/>
      <c r="V26" s="772"/>
      <c r="W26" s="773"/>
      <c r="X26" s="1811"/>
      <c r="Y26" s="3207"/>
      <c r="Z26" s="1812"/>
      <c r="AA26" s="1809">
        <v>1</v>
      </c>
      <c r="AB26" s="1809">
        <v>1</v>
      </c>
      <c r="AC26" s="2672">
        <v>1</v>
      </c>
    </row>
    <row r="27" spans="1:29" ht="15">
      <c r="A27" s="426"/>
      <c r="B27" s="630" t="s">
        <v>2660</v>
      </c>
      <c r="C27" s="632" t="s">
        <v>3183</v>
      </c>
      <c r="D27" s="433">
        <v>100</v>
      </c>
      <c r="E27" s="632" t="s">
        <v>3183</v>
      </c>
      <c r="F27" s="433">
        <f>SUMIF(89:89,E27,90:90)-SUMIF(89:89,C27,90:90)+100</f>
        <v>100</v>
      </c>
      <c r="G27" s="632" t="s">
        <v>3183</v>
      </c>
      <c r="H27" s="433">
        <f>SUMIF(89:89,G27,90:90)-SUMIF(89:89,C27,90:90)+100</f>
        <v>100</v>
      </c>
      <c r="I27" s="632" t="s">
        <v>3183</v>
      </c>
      <c r="J27" s="433">
        <f>SUMIF(89:89,I27,90:90)-SUMIF(89:89,C27,90:90)+100</f>
        <v>100</v>
      </c>
      <c r="K27" s="610">
        <f>'[1]比较法-办公'!$K$27</f>
        <v>5</v>
      </c>
      <c r="L27" s="1140"/>
      <c r="M27" s="1131"/>
      <c r="N27" s="1131"/>
      <c r="O27" s="1131"/>
      <c r="P27" s="3237"/>
      <c r="Q27" s="1808" t="str">
        <f t="shared" ref="Q27:Q47" si="11">B27</f>
        <v>楼层</v>
      </c>
      <c r="R27" s="772" t="s">
        <v>17</v>
      </c>
      <c r="S27" s="773">
        <f>F27</f>
        <v>100</v>
      </c>
      <c r="T27" s="772" t="s">
        <v>17</v>
      </c>
      <c r="U27" s="773">
        <f>H27</f>
        <v>100</v>
      </c>
      <c r="V27" s="772" t="s">
        <v>17</v>
      </c>
      <c r="W27" s="773">
        <f>J27</f>
        <v>100</v>
      </c>
      <c r="X27" s="1811"/>
      <c r="Y27" s="3207"/>
      <c r="Z27" s="1812" t="str">
        <f>Q27</f>
        <v>楼层</v>
      </c>
      <c r="AA27" s="1809">
        <f t="shared" si="3"/>
        <v>1</v>
      </c>
      <c r="AB27" s="1809">
        <f t="shared" si="4"/>
        <v>1</v>
      </c>
      <c r="AC27" s="2672">
        <f t="shared" si="5"/>
        <v>1</v>
      </c>
    </row>
    <row r="28" spans="1:29" s="115" customFormat="1" ht="15">
      <c r="A28" s="429"/>
      <c r="B28" s="629" t="s">
        <v>2693</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37"/>
      <c r="Q28" s="1793" t="str">
        <f t="shared" si="11"/>
        <v>朝向</v>
      </c>
      <c r="R28" s="768" t="s">
        <v>17</v>
      </c>
      <c r="S28" s="769">
        <f>F28</f>
        <v>100</v>
      </c>
      <c r="T28" s="768" t="s">
        <v>17</v>
      </c>
      <c r="U28" s="769">
        <f>H28</f>
        <v>100</v>
      </c>
      <c r="V28" s="768" t="s">
        <v>17</v>
      </c>
      <c r="W28" s="769">
        <f>J28</f>
        <v>100</v>
      </c>
      <c r="X28" s="770"/>
      <c r="Y28" s="3207"/>
      <c r="Z28" s="54"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37"/>
      <c r="Q29" s="1808">
        <f t="shared" si="11"/>
        <v>111</v>
      </c>
      <c r="R29" s="772" t="s">
        <v>17</v>
      </c>
      <c r="S29" s="773">
        <f t="shared" ref="S29:S47" si="12">F29</f>
        <v>100</v>
      </c>
      <c r="T29" s="772" t="s">
        <v>17</v>
      </c>
      <c r="U29" s="773">
        <f t="shared" ref="U29:U47" si="13">H29</f>
        <v>100</v>
      </c>
      <c r="V29" s="772" t="s">
        <v>17</v>
      </c>
      <c r="W29" s="773">
        <f t="shared" ref="W29:W47" si="14">J29</f>
        <v>100</v>
      </c>
      <c r="X29" s="1811"/>
      <c r="Y29" s="3207"/>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37"/>
      <c r="Q30" s="1808">
        <f t="shared" si="11"/>
        <v>111</v>
      </c>
      <c r="R30" s="772" t="s">
        <v>17</v>
      </c>
      <c r="S30" s="773">
        <f t="shared" si="12"/>
        <v>100</v>
      </c>
      <c r="T30" s="772" t="s">
        <v>17</v>
      </c>
      <c r="U30" s="773">
        <f t="shared" si="13"/>
        <v>100</v>
      </c>
      <c r="V30" s="772" t="s">
        <v>17</v>
      </c>
      <c r="W30" s="773">
        <f t="shared" si="14"/>
        <v>100</v>
      </c>
      <c r="X30" s="1811"/>
      <c r="Y30" s="3207"/>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37"/>
      <c r="Q31" s="1808">
        <f t="shared" si="11"/>
        <v>111</v>
      </c>
      <c r="R31" s="772" t="s">
        <v>17</v>
      </c>
      <c r="S31" s="773">
        <f t="shared" si="12"/>
        <v>100</v>
      </c>
      <c r="T31" s="772" t="s">
        <v>17</v>
      </c>
      <c r="U31" s="773">
        <f t="shared" si="13"/>
        <v>100</v>
      </c>
      <c r="V31" s="772" t="s">
        <v>17</v>
      </c>
      <c r="W31" s="773">
        <f t="shared" si="14"/>
        <v>100</v>
      </c>
      <c r="X31" s="1811"/>
      <c r="Y31" s="3207"/>
      <c r="Z31" s="1812">
        <f t="shared" si="15"/>
        <v>111</v>
      </c>
      <c r="AA31" s="1809">
        <f t="shared" si="3"/>
        <v>1</v>
      </c>
      <c r="AB31" s="1809">
        <f t="shared" si="4"/>
        <v>1</v>
      </c>
      <c r="AC31" s="2672">
        <f t="shared" si="5"/>
        <v>1</v>
      </c>
    </row>
    <row r="32" spans="1:29" ht="15.6"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37"/>
      <c r="Q32" s="1808">
        <f t="shared" si="11"/>
        <v>111</v>
      </c>
      <c r="R32" s="772" t="s">
        <v>17</v>
      </c>
      <c r="S32" s="773">
        <f t="shared" si="12"/>
        <v>100</v>
      </c>
      <c r="T32" s="772" t="s">
        <v>17</v>
      </c>
      <c r="U32" s="773">
        <f t="shared" si="13"/>
        <v>100</v>
      </c>
      <c r="V32" s="772" t="s">
        <v>17</v>
      </c>
      <c r="W32" s="773">
        <f t="shared" si="14"/>
        <v>100</v>
      </c>
      <c r="X32" s="1811"/>
      <c r="Y32" s="3207"/>
      <c r="Z32" s="1812">
        <f t="shared" si="15"/>
        <v>111</v>
      </c>
      <c r="AA32" s="1809">
        <f t="shared" si="3"/>
        <v>1</v>
      </c>
      <c r="AB32" s="1809">
        <f t="shared" si="4"/>
        <v>1</v>
      </c>
      <c r="AC32" s="2672">
        <f t="shared" si="5"/>
        <v>1</v>
      </c>
    </row>
    <row r="33" spans="1:29" ht="15">
      <c r="A33" s="438" t="s">
        <v>2564</v>
      </c>
      <c r="B33" s="70" t="s">
        <v>2694</v>
      </c>
      <c r="C33" s="2677" t="s">
        <v>3182</v>
      </c>
      <c r="D33" s="465">
        <v>100</v>
      </c>
      <c r="E33" s="2677" t="s">
        <v>3182</v>
      </c>
      <c r="F33" s="459">
        <f>SUMIF(101:101,E33,102:102)-SUMIF(101:101,C33,102:102)+100</f>
        <v>100</v>
      </c>
      <c r="G33" s="2677" t="s">
        <v>3182</v>
      </c>
      <c r="H33" s="433">
        <f>SUMIF(101:101,G33,102:102)-SUMIF(101:101,C33,102:102)+100</f>
        <v>100</v>
      </c>
      <c r="I33" s="2677" t="s">
        <v>3182</v>
      </c>
      <c r="J33" s="465">
        <f>SUMIF(101:101,I33,102:102)-SUMIF(101:101,C33,102:102)+100</f>
        <v>100</v>
      </c>
      <c r="K33" s="610"/>
      <c r="L33" s="1140"/>
      <c r="M33" s="1131"/>
      <c r="N33" s="1131"/>
      <c r="O33" s="1131"/>
      <c r="P33" s="3238" t="s">
        <v>2566</v>
      </c>
      <c r="Q33" s="1808" t="str">
        <f t="shared" si="11"/>
        <v>建筑类型</v>
      </c>
      <c r="R33" s="772" t="s">
        <v>17</v>
      </c>
      <c r="S33" s="773">
        <f t="shared" si="12"/>
        <v>100</v>
      </c>
      <c r="T33" s="772" t="s">
        <v>17</v>
      </c>
      <c r="U33" s="773">
        <f t="shared" si="13"/>
        <v>100</v>
      </c>
      <c r="V33" s="772" t="s">
        <v>17</v>
      </c>
      <c r="W33" s="773">
        <f t="shared" si="14"/>
        <v>100</v>
      </c>
      <c r="X33" s="1811"/>
      <c r="Y33" s="3209" t="s">
        <v>2566</v>
      </c>
      <c r="Z33" s="1812" t="str">
        <f t="shared" si="15"/>
        <v>建筑类型</v>
      </c>
      <c r="AA33" s="1809">
        <f t="shared" si="3"/>
        <v>1</v>
      </c>
      <c r="AB33" s="1809">
        <f t="shared" si="4"/>
        <v>1</v>
      </c>
      <c r="AC33" s="2672">
        <f t="shared" si="5"/>
        <v>1</v>
      </c>
    </row>
    <row r="34" spans="1:29" s="469" customFormat="1" ht="15">
      <c r="A34" s="466"/>
      <c r="B34" s="420" t="s">
        <v>2567</v>
      </c>
      <c r="C34" s="467">
        <f>'数据-汇总表'!E3</f>
        <v>126370.20000000001</v>
      </c>
      <c r="D34" s="134">
        <v>100</v>
      </c>
      <c r="E34" s="428">
        <v>117609</v>
      </c>
      <c r="F34" s="423">
        <f>LOOKUP(E34,104:104,105:105)-LOOKUP(C34,104:104,105:105)+100</f>
        <v>100</v>
      </c>
      <c r="G34" s="427">
        <v>315968</v>
      </c>
      <c r="H34" s="134">
        <f>LOOKUP(G34,104:104,105:105)-LOOKUP(C34,104:104,105:105)+100</f>
        <v>104</v>
      </c>
      <c r="I34" s="427">
        <v>158229</v>
      </c>
      <c r="J34" s="134">
        <f>LOOKUP(I34,104:104,105:105)-LOOKUP(C34,104:104,105:105)+100</f>
        <v>100</v>
      </c>
      <c r="K34" s="611"/>
      <c r="L34" s="1138"/>
      <c r="M34" s="1141"/>
      <c r="N34" s="1141"/>
      <c r="O34" s="1141"/>
      <c r="P34" s="3239"/>
      <c r="Q34" s="774" t="str">
        <f t="shared" si="11"/>
        <v>项目建筑规模</v>
      </c>
      <c r="R34" s="775" t="s">
        <v>17</v>
      </c>
      <c r="S34" s="776">
        <f t="shared" si="12"/>
        <v>100</v>
      </c>
      <c r="T34" s="775" t="s">
        <v>17</v>
      </c>
      <c r="U34" s="776">
        <f t="shared" si="13"/>
        <v>104</v>
      </c>
      <c r="V34" s="775" t="s">
        <v>17</v>
      </c>
      <c r="W34" s="776">
        <f t="shared" si="14"/>
        <v>100</v>
      </c>
      <c r="X34" s="777"/>
      <c r="Y34" s="3209"/>
      <c r="Z34" s="778" t="str">
        <f t="shared" si="15"/>
        <v>项目建筑规模</v>
      </c>
      <c r="AA34" s="1809">
        <f t="shared" si="3"/>
        <v>1</v>
      </c>
      <c r="AB34" s="1809">
        <f t="shared" si="4"/>
        <v>0.96153846153846156</v>
      </c>
      <c r="AC34" s="2672">
        <f t="shared" si="5"/>
        <v>1</v>
      </c>
    </row>
    <row r="35" spans="1:29" ht="15">
      <c r="A35" s="470"/>
      <c r="B35" s="420" t="s">
        <v>2568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9"/>
      <c r="Q35" s="1808" t="str">
        <f t="shared" si="11"/>
        <v>建筑结构</v>
      </c>
      <c r="R35" s="772" t="s">
        <v>17</v>
      </c>
      <c r="S35" s="773">
        <f t="shared" si="12"/>
        <v>100</v>
      </c>
      <c r="T35" s="772" t="s">
        <v>17</v>
      </c>
      <c r="U35" s="773">
        <f t="shared" si="13"/>
        <v>100</v>
      </c>
      <c r="V35" s="772" t="s">
        <v>17</v>
      </c>
      <c r="W35" s="773">
        <f t="shared" si="14"/>
        <v>100</v>
      </c>
      <c r="X35" s="1811"/>
      <c r="Y35" s="3209"/>
      <c r="Z35" s="1812" t="str">
        <f t="shared" si="15"/>
        <v>建筑结构</v>
      </c>
      <c r="AA35" s="1809">
        <f t="shared" si="3"/>
        <v>1</v>
      </c>
      <c r="AB35" s="1809">
        <f t="shared" si="4"/>
        <v>1</v>
      </c>
      <c r="AC35" s="2672">
        <f t="shared" si="5"/>
        <v>1</v>
      </c>
    </row>
    <row r="36" spans="1:29" ht="15">
      <c r="A36" s="470"/>
      <c r="B36" s="420" t="s">
        <v>2662</v>
      </c>
      <c r="C36" s="458" t="s">
        <v>3181</v>
      </c>
      <c r="D36" s="433">
        <v>100</v>
      </c>
      <c r="E36" s="458" t="s">
        <v>3181</v>
      </c>
      <c r="F36" s="459">
        <f>SUMIF(108:108,E36,109:109)-SUMIF(108:108,C36,109:109)+100</f>
        <v>100</v>
      </c>
      <c r="G36" s="458" t="s">
        <v>3181</v>
      </c>
      <c r="H36" s="433">
        <f>SUMIF(108:108,G36,109:109)-SUMIF(108:108,C36,109:109)+100</f>
        <v>100</v>
      </c>
      <c r="I36" s="458" t="s">
        <v>3181</v>
      </c>
      <c r="J36" s="433">
        <f>SUMIF(108:108,I36,109:109)-SUMIF(108:108,C36,109:109)+100</f>
        <v>100</v>
      </c>
      <c r="K36" s="610"/>
      <c r="L36" s="1140"/>
      <c r="M36" s="1131"/>
      <c r="N36" s="1131"/>
      <c r="O36" s="1131"/>
      <c r="P36" s="3239"/>
      <c r="Q36" s="1808" t="str">
        <f t="shared" si="11"/>
        <v>公共部分装修</v>
      </c>
      <c r="R36" s="772" t="s">
        <v>17</v>
      </c>
      <c r="S36" s="773">
        <f t="shared" si="12"/>
        <v>100</v>
      </c>
      <c r="T36" s="772" t="s">
        <v>17</v>
      </c>
      <c r="U36" s="773">
        <f t="shared" si="13"/>
        <v>100</v>
      </c>
      <c r="V36" s="772" t="s">
        <v>17</v>
      </c>
      <c r="W36" s="773">
        <f t="shared" si="14"/>
        <v>100</v>
      </c>
      <c r="X36" s="1811"/>
      <c r="Y36" s="3209"/>
      <c r="Z36" s="1812" t="str">
        <f t="shared" si="15"/>
        <v>公共部分装修</v>
      </c>
      <c r="AA36" s="1809">
        <f t="shared" si="3"/>
        <v>1</v>
      </c>
      <c r="AB36" s="1809">
        <f t="shared" si="4"/>
        <v>1</v>
      </c>
      <c r="AC36" s="2672">
        <f t="shared" si="5"/>
        <v>1</v>
      </c>
    </row>
    <row r="37" spans="1:29" ht="15">
      <c r="A37" s="470"/>
      <c r="B37" s="420" t="s">
        <v>2663</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40"/>
      <c r="M37" s="1131"/>
      <c r="N37" s="1131"/>
      <c r="O37" s="1131"/>
      <c r="P37" s="3239"/>
      <c r="Q37" s="1808" t="str">
        <f t="shared" si="11"/>
        <v>成新度</v>
      </c>
      <c r="R37" s="772" t="s">
        <v>17</v>
      </c>
      <c r="S37" s="773">
        <f t="shared" si="12"/>
        <v>100</v>
      </c>
      <c r="T37" s="772" t="s">
        <v>17</v>
      </c>
      <c r="U37" s="773">
        <f t="shared" si="13"/>
        <v>100</v>
      </c>
      <c r="V37" s="772" t="s">
        <v>17</v>
      </c>
      <c r="W37" s="773">
        <f t="shared" si="14"/>
        <v>100</v>
      </c>
      <c r="X37" s="1811"/>
      <c r="Y37" s="3209"/>
      <c r="Z37" s="1812" t="str">
        <f t="shared" si="15"/>
        <v>成新度</v>
      </c>
      <c r="AA37" s="1809">
        <f t="shared" si="3"/>
        <v>1</v>
      </c>
      <c r="AB37" s="1809">
        <f t="shared" si="4"/>
        <v>1</v>
      </c>
      <c r="AC37" s="2672">
        <f t="shared" si="5"/>
        <v>1</v>
      </c>
    </row>
    <row r="38" spans="1:29" s="115" customFormat="1" ht="15" hidden="1" customHeight="1">
      <c r="A38" s="471"/>
      <c r="B38" s="420" t="s">
        <v>2695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9"/>
      <c r="Q38" s="1793" t="str">
        <f t="shared" si="11"/>
        <v>写字楼等级</v>
      </c>
      <c r="R38" s="768" t="s">
        <v>17</v>
      </c>
      <c r="S38" s="769">
        <f t="shared" si="12"/>
        <v>100</v>
      </c>
      <c r="T38" s="768" t="s">
        <v>17</v>
      </c>
      <c r="U38" s="769">
        <f t="shared" si="13"/>
        <v>100</v>
      </c>
      <c r="V38" s="768" t="s">
        <v>17</v>
      </c>
      <c r="W38" s="769">
        <f t="shared" si="14"/>
        <v>100</v>
      </c>
      <c r="X38" s="770"/>
      <c r="Y38" s="3209"/>
      <c r="Z38" s="54" t="str">
        <f t="shared" si="15"/>
        <v>写字楼等级</v>
      </c>
      <c r="AA38" s="771">
        <f t="shared" si="3"/>
        <v>1</v>
      </c>
      <c r="AB38" s="771">
        <f t="shared" si="4"/>
        <v>1</v>
      </c>
      <c r="AC38" s="2669">
        <f t="shared" si="5"/>
        <v>1</v>
      </c>
    </row>
    <row r="39" spans="1:29" ht="15">
      <c r="A39" s="470"/>
      <c r="B39" s="420" t="s">
        <v>2696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9" t="s">
        <v>2566</v>
      </c>
      <c r="Q39" s="1808" t="str">
        <f t="shared" si="11"/>
        <v>物业管理</v>
      </c>
      <c r="R39" s="772" t="s">
        <v>17</v>
      </c>
      <c r="S39" s="773">
        <f t="shared" si="12"/>
        <v>100</v>
      </c>
      <c r="T39" s="772" t="s">
        <v>17</v>
      </c>
      <c r="U39" s="773">
        <f t="shared" si="13"/>
        <v>100</v>
      </c>
      <c r="V39" s="772" t="s">
        <v>17</v>
      </c>
      <c r="W39" s="773">
        <f t="shared" si="14"/>
        <v>100</v>
      </c>
      <c r="X39" s="1811"/>
      <c r="Y39" s="3209" t="s">
        <v>2566</v>
      </c>
      <c r="Z39" s="1812" t="str">
        <f t="shared" si="15"/>
        <v>物业管理</v>
      </c>
      <c r="AA39" s="1809">
        <f t="shared" si="3"/>
        <v>1</v>
      </c>
      <c r="AB39" s="1809">
        <f t="shared" si="4"/>
        <v>1</v>
      </c>
      <c r="AC39" s="2672">
        <f t="shared" si="5"/>
        <v>1</v>
      </c>
    </row>
    <row r="40" spans="1:29" ht="15">
      <c r="A40" s="470"/>
      <c r="B40" s="420" t="s">
        <v>2664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9"/>
      <c r="Q40" s="1808" t="str">
        <f t="shared" si="11"/>
        <v>市政基础设施</v>
      </c>
      <c r="R40" s="772" t="s">
        <v>17</v>
      </c>
      <c r="S40" s="773">
        <f t="shared" si="12"/>
        <v>100</v>
      </c>
      <c r="T40" s="772" t="s">
        <v>17</v>
      </c>
      <c r="U40" s="773">
        <f t="shared" si="13"/>
        <v>100</v>
      </c>
      <c r="V40" s="772" t="s">
        <v>17</v>
      </c>
      <c r="W40" s="773">
        <f t="shared" si="14"/>
        <v>100</v>
      </c>
      <c r="X40" s="1811"/>
      <c r="Y40" s="3209"/>
      <c r="Z40" s="1812" t="str">
        <f t="shared" si="15"/>
        <v>市政基础设施</v>
      </c>
      <c r="AA40" s="1809">
        <f t="shared" si="3"/>
        <v>1</v>
      </c>
      <c r="AB40" s="1809">
        <f t="shared" si="4"/>
        <v>1</v>
      </c>
      <c r="AC40" s="2672">
        <f t="shared" si="5"/>
        <v>1</v>
      </c>
    </row>
    <row r="41" spans="1:29" ht="15">
      <c r="A41" s="470"/>
      <c r="B41" s="420" t="s">
        <v>2666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9"/>
      <c r="Q41" s="1808" t="str">
        <f t="shared" si="11"/>
        <v>层高</v>
      </c>
      <c r="R41" s="772" t="s">
        <v>17</v>
      </c>
      <c r="S41" s="773">
        <f t="shared" si="12"/>
        <v>100</v>
      </c>
      <c r="T41" s="772" t="s">
        <v>17</v>
      </c>
      <c r="U41" s="773">
        <f t="shared" si="13"/>
        <v>100</v>
      </c>
      <c r="V41" s="772" t="s">
        <v>17</v>
      </c>
      <c r="W41" s="773">
        <f t="shared" si="14"/>
        <v>100</v>
      </c>
      <c r="X41" s="1811"/>
      <c r="Y41" s="3209"/>
      <c r="Z41" s="1812" t="str">
        <f t="shared" si="15"/>
        <v>层高</v>
      </c>
      <c r="AA41" s="1809">
        <f t="shared" si="3"/>
        <v>1</v>
      </c>
      <c r="AB41" s="1809">
        <f t="shared" si="4"/>
        <v>1</v>
      </c>
      <c r="AC41" s="2672">
        <f t="shared" si="5"/>
        <v>1</v>
      </c>
    </row>
    <row r="42" spans="1:29" s="469" customFormat="1" ht="15">
      <c r="A42" s="466"/>
      <c r="B42" s="1810" t="s">
        <v>2697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9"/>
      <c r="Q42" s="774" t="str">
        <f t="shared" si="11"/>
        <v>单套建筑面积</v>
      </c>
      <c r="R42" s="775" t="s">
        <v>17</v>
      </c>
      <c r="S42" s="776">
        <f t="shared" si="12"/>
        <v>100</v>
      </c>
      <c r="T42" s="775" t="s">
        <v>17</v>
      </c>
      <c r="U42" s="776">
        <f t="shared" si="13"/>
        <v>100</v>
      </c>
      <c r="V42" s="775" t="s">
        <v>17</v>
      </c>
      <c r="W42" s="776">
        <f t="shared" si="14"/>
        <v>100</v>
      </c>
      <c r="X42" s="777"/>
      <c r="Y42" s="3209"/>
      <c r="Z42" s="778" t="str">
        <f t="shared" si="15"/>
        <v>单套建筑面积</v>
      </c>
      <c r="AA42" s="1809">
        <f t="shared" si="3"/>
        <v>1</v>
      </c>
      <c r="AB42" s="1809">
        <f t="shared" si="4"/>
        <v>1</v>
      </c>
      <c r="AC42" s="2672">
        <f t="shared" si="5"/>
        <v>1</v>
      </c>
    </row>
    <row r="43" spans="1:29" ht="15">
      <c r="A43" s="470"/>
      <c r="B43" s="420" t="s">
        <v>2669</v>
      </c>
      <c r="C43" s="458" t="s">
        <v>3163</v>
      </c>
      <c r="D43" s="433">
        <v>100</v>
      </c>
      <c r="E43" s="458" t="s">
        <v>3163</v>
      </c>
      <c r="F43" s="459">
        <f>SUMIF(123:123,E43,124:124)-SUMIF(123:123,C43,124:124)+100</f>
        <v>100</v>
      </c>
      <c r="G43" s="458" t="s">
        <v>3163</v>
      </c>
      <c r="H43" s="433">
        <f>SUMIF(123:123,G43,124:124)-SUMIF(123:123,C43,124:124)+100</f>
        <v>100</v>
      </c>
      <c r="I43" s="458" t="s">
        <v>3163</v>
      </c>
      <c r="J43" s="433">
        <f>SUMIF(123:123,I43,124:124)-SUMIF(123:123,C43,124:124)+100</f>
        <v>100</v>
      </c>
      <c r="K43" s="610"/>
      <c r="L43" s="1140"/>
      <c r="M43" s="1131"/>
      <c r="N43" s="1131"/>
      <c r="O43" s="1131"/>
      <c r="P43" s="3239"/>
      <c r="Q43" s="1808" t="str">
        <f t="shared" si="11"/>
        <v>内部装修</v>
      </c>
      <c r="R43" s="772" t="s">
        <v>17</v>
      </c>
      <c r="S43" s="773">
        <f t="shared" si="12"/>
        <v>100</v>
      </c>
      <c r="T43" s="772" t="s">
        <v>17</v>
      </c>
      <c r="U43" s="773">
        <f t="shared" si="13"/>
        <v>100</v>
      </c>
      <c r="V43" s="772" t="s">
        <v>17</v>
      </c>
      <c r="W43" s="773">
        <f t="shared" si="14"/>
        <v>100</v>
      </c>
      <c r="X43" s="1811"/>
      <c r="Y43" s="3209"/>
      <c r="Z43" s="1812" t="str">
        <f t="shared" si="15"/>
        <v>内部装修</v>
      </c>
      <c r="AA43" s="1809">
        <f t="shared" si="3"/>
        <v>1</v>
      </c>
      <c r="AB43" s="1809">
        <f t="shared" si="4"/>
        <v>1</v>
      </c>
      <c r="AC43" s="2672">
        <f t="shared" si="5"/>
        <v>1</v>
      </c>
    </row>
    <row r="44" spans="1:29" ht="28.8">
      <c r="A44" s="470"/>
      <c r="B44" s="420" t="s">
        <v>2577</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9"/>
      <c r="Q44" s="1808" t="str">
        <f t="shared" si="11"/>
        <v>内部装修维护情况</v>
      </c>
      <c r="R44" s="772" t="s">
        <v>17</v>
      </c>
      <c r="S44" s="773">
        <f t="shared" si="12"/>
        <v>100</v>
      </c>
      <c r="T44" s="772" t="s">
        <v>17</v>
      </c>
      <c r="U44" s="773">
        <f t="shared" si="13"/>
        <v>100</v>
      </c>
      <c r="V44" s="772" t="s">
        <v>17</v>
      </c>
      <c r="W44" s="773">
        <f t="shared" si="14"/>
        <v>100</v>
      </c>
      <c r="X44" s="1811"/>
      <c r="Y44" s="3209"/>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9"/>
      <c r="Q45" s="1793">
        <f t="shared" si="11"/>
        <v>111</v>
      </c>
      <c r="R45" s="768" t="s">
        <v>17</v>
      </c>
      <c r="S45" s="769">
        <f t="shared" si="12"/>
        <v>100</v>
      </c>
      <c r="T45" s="768" t="s">
        <v>17</v>
      </c>
      <c r="U45" s="769">
        <f t="shared" si="13"/>
        <v>100</v>
      </c>
      <c r="V45" s="768" t="s">
        <v>17</v>
      </c>
      <c r="W45" s="769">
        <f t="shared" si="14"/>
        <v>100</v>
      </c>
      <c r="X45" s="770"/>
      <c r="Y45" s="3209"/>
      <c r="Z45" s="54">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09"/>
      <c r="Z46" s="1812">
        <f t="shared" si="15"/>
        <v>111</v>
      </c>
      <c r="AA46" s="1809">
        <f t="shared" si="3"/>
        <v>1</v>
      </c>
      <c r="AB46" s="1809">
        <f t="shared" si="4"/>
        <v>1</v>
      </c>
      <c r="AC46" s="2672">
        <f t="shared" si="5"/>
        <v>1</v>
      </c>
    </row>
    <row r="47" spans="1:29" ht="15.6" thickBot="1">
      <c r="A47" s="476"/>
      <c r="B47" s="2600">
        <v>0.95</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40"/>
      <c r="Q47" s="1808">
        <f t="shared" si="11"/>
        <v>0.95</v>
      </c>
      <c r="R47" s="772" t="s">
        <v>17</v>
      </c>
      <c r="S47" s="773">
        <f t="shared" si="12"/>
        <v>100</v>
      </c>
      <c r="T47" s="772" t="s">
        <v>17</v>
      </c>
      <c r="U47" s="773">
        <f t="shared" si="13"/>
        <v>100</v>
      </c>
      <c r="V47" s="772" t="s">
        <v>17</v>
      </c>
      <c r="W47" s="773">
        <f t="shared" si="14"/>
        <v>100</v>
      </c>
      <c r="X47" s="1811"/>
      <c r="Y47" s="3241"/>
      <c r="Z47" s="1812">
        <f t="shared" si="15"/>
        <v>0.95</v>
      </c>
      <c r="AA47" s="1809">
        <f t="shared" si="3"/>
        <v>1</v>
      </c>
      <c r="AB47" s="1809">
        <f t="shared" si="4"/>
        <v>1</v>
      </c>
      <c r="AC47" s="2672">
        <f t="shared" si="5"/>
        <v>1</v>
      </c>
    </row>
    <row r="48" spans="1:29" ht="14.4">
      <c r="A48" s="477" t="s">
        <v>2578</v>
      </c>
      <c r="B48" s="478"/>
      <c r="C48" s="1406" t="s">
        <v>1</v>
      </c>
      <c r="D48" s="1407"/>
      <c r="E48" s="1408">
        <v>60523</v>
      </c>
      <c r="F48" s="1409"/>
      <c r="G48" s="1410">
        <v>62625</v>
      </c>
      <c r="H48" s="1411"/>
      <c r="I48" s="1408">
        <f>ROUND(55000*B47,0)</f>
        <v>52250</v>
      </c>
      <c r="J48" s="483"/>
      <c r="K48" s="781"/>
      <c r="L48" s="1143"/>
      <c r="M48" s="1131"/>
      <c r="N48" s="1131"/>
      <c r="O48" s="1131"/>
      <c r="P48" s="3216" t="str">
        <f>A48</f>
        <v>成交单价（元/平方米）</v>
      </c>
      <c r="Q48" s="3191"/>
      <c r="R48" s="3242">
        <f>E48</f>
        <v>60523</v>
      </c>
      <c r="S48" s="3242"/>
      <c r="T48" s="3242">
        <f>G48</f>
        <v>62625</v>
      </c>
      <c r="U48" s="3242"/>
      <c r="V48" s="3242">
        <f>I48</f>
        <v>52250</v>
      </c>
      <c r="W48" s="3242"/>
      <c r="X48" s="444"/>
      <c r="Y48" s="779"/>
      <c r="Z48" s="444"/>
      <c r="AA48" s="444"/>
      <c r="AB48" s="444"/>
      <c r="AC48" s="628"/>
    </row>
    <row r="49" spans="1:29" ht="15" thickBot="1">
      <c r="A49" s="484" t="s">
        <v>2670</v>
      </c>
      <c r="B49" s="485"/>
      <c r="C49" s="1412">
        <f>R50</f>
        <v>55159</v>
      </c>
      <c r="D49" s="1413"/>
      <c r="E49" s="1414">
        <f>R49</f>
        <v>58760</v>
      </c>
      <c r="F49" s="1414"/>
      <c r="G49" s="1412">
        <f>T49</f>
        <v>57884</v>
      </c>
      <c r="H49" s="1413"/>
      <c r="I49" s="1414">
        <f>V49</f>
        <v>48833</v>
      </c>
      <c r="J49" s="487"/>
      <c r="K49" s="782"/>
      <c r="L49" s="1143"/>
      <c r="M49" s="1131"/>
      <c r="N49" s="1131"/>
      <c r="O49" s="1131"/>
      <c r="P49" s="3216" t="str">
        <f>A49</f>
        <v>比较价值（元/平方米）</v>
      </c>
      <c r="Q49" s="3191"/>
      <c r="R49" s="3242">
        <f>IF(F1="售价",ROUND(PRODUCT(R48,AA7:AA47),0),ROUND(PRODUCT(R48,AA7:AA47),1))</f>
        <v>58760</v>
      </c>
      <c r="S49" s="3242"/>
      <c r="T49" s="3242">
        <f>IF(F1="售价",ROUND(PRODUCT(T48,AB7:AB47),0),ROUND(PRODUCT(T48,AB7:AB47),1))</f>
        <v>57884</v>
      </c>
      <c r="U49" s="3242"/>
      <c r="V49" s="3242">
        <f>IF(F1="售价",ROUND(PRODUCT(V48,AC7:AC47),0),ROUND(PRODUCT(V48,AC7:AC47),1))</f>
        <v>48833</v>
      </c>
      <c r="W49" s="3242"/>
      <c r="X49" s="444"/>
      <c r="Y49" s="444"/>
      <c r="Z49" s="444"/>
      <c r="AA49" s="444"/>
      <c r="AB49" s="444"/>
      <c r="AC49" s="628"/>
    </row>
    <row r="50" spans="1:29" ht="15" thickBot="1">
      <c r="A50" s="490" t="s">
        <v>2671</v>
      </c>
      <c r="B50" s="491"/>
      <c r="C50" s="1416">
        <f>R50</f>
        <v>55159</v>
      </c>
      <c r="D50" s="1416"/>
      <c r="E50" s="1416"/>
      <c r="F50" s="1416"/>
      <c r="G50" s="1416"/>
      <c r="H50" s="1416"/>
      <c r="I50" s="1416"/>
      <c r="J50" s="492"/>
      <c r="K50" s="783"/>
      <c r="L50" s="1143"/>
      <c r="M50" s="1131"/>
      <c r="N50" s="1131"/>
      <c r="O50" s="1131"/>
      <c r="P50" s="3243" t="str">
        <f>A50</f>
        <v>估价对象XX用房的比较价值（楼面单价，元/平方米）</v>
      </c>
      <c r="Q50" s="3244"/>
      <c r="R50" s="3245">
        <f>IF(F1="售价",ROUND(AVERAGE(R49:V49),0),ROUND(AVERAGE(R49:V49),1))</f>
        <v>55159</v>
      </c>
      <c r="S50" s="3245"/>
      <c r="T50" s="3245"/>
      <c r="U50" s="3245"/>
      <c r="V50" s="3245"/>
      <c r="W50" s="324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2672</v>
      </c>
      <c r="D53" s="496"/>
      <c r="E53" s="497">
        <f>IF(E48&lt;E49,E49/E48-1,E48/E49-1)</f>
        <v>3.0003403675969986E-2</v>
      </c>
      <c r="F53" s="498" t="str">
        <f>IF(OR(E53&gt;=0.3,E53&lt;=-0.3),"超过30%","")</f>
        <v/>
      </c>
      <c r="G53" s="497">
        <f>IF(G48&lt;G49,G49/G48-1,G48/G49-1)</f>
        <v>8.1905189689724267E-2</v>
      </c>
      <c r="H53" s="498" t="str">
        <f>IF(OR(G53&gt;=0.3,G53&lt;=-0.3),"超过30%","")</f>
        <v/>
      </c>
      <c r="I53" s="497">
        <f>IF(I48&lt;I49,I49/I48-1,I48/I49-1)</f>
        <v>6.9973173878320027E-2</v>
      </c>
      <c r="J53" s="498" t="str">
        <f>IF(OR(I53&gt;=0.3,I53&lt;=-0.3),"超过30%","")</f>
        <v/>
      </c>
      <c r="K53" s="1105"/>
      <c r="L53" s="1106"/>
      <c r="M53" s="1144"/>
      <c r="N53" s="1144"/>
      <c r="O53" s="1144"/>
    </row>
    <row r="54" spans="1:29" ht="13.5" customHeight="1">
      <c r="A54" s="1144"/>
      <c r="B54" s="1144"/>
      <c r="C54" s="495" t="s">
        <v>2673</v>
      </c>
      <c r="D54" s="499"/>
      <c r="E54" s="497">
        <f>IF(E49&lt;G49,G49/E49-1,E49/G49-1)</f>
        <v>1.5133715707276618E-2</v>
      </c>
      <c r="F54" s="498" t="str">
        <f>IF(OR(E54&gt;=0.2,E54&lt;=-0.2),"超过20%","")</f>
        <v/>
      </c>
      <c r="G54" s="497">
        <f>IF(G49&lt;I49,I49/G49-1,G49/I49-1)</f>
        <v>0.18534597505785033</v>
      </c>
      <c r="H54" s="498" t="str">
        <f>IF(OR(G54&gt;=0.2,G54&lt;=-0.2),"超过20%","")</f>
        <v/>
      </c>
      <c r="I54" s="497">
        <f>IF(I49&lt;E49,E49/I49-1,I49/E49-1)</f>
        <v>0.20328466405914036</v>
      </c>
      <c r="J54" s="498" t="str">
        <f>IF(OR(I54&gt;=0.2,I54&lt;=-0.2),"超过20%","")</f>
        <v>超过20%</v>
      </c>
      <c r="K54" s="1105"/>
      <c r="L54" s="1106"/>
      <c r="M54" s="1144"/>
      <c r="N54" s="1144"/>
      <c r="O54" s="1144"/>
    </row>
    <row r="55" spans="1:29" s="500" customFormat="1" ht="13.5" customHeight="1">
      <c r="A55" s="1145"/>
      <c r="B55" s="1145"/>
      <c r="C55" s="495" t="s">
        <v>2674</v>
      </c>
      <c r="D55" s="499"/>
      <c r="E55" s="497">
        <f>IF(E48&lt;G48,G48/E48-1,E48/G48-1)</f>
        <v>3.473059828494951E-2</v>
      </c>
      <c r="F55" s="498" t="str">
        <f>IF(OR(E55&gt;=0.3,E55&lt;=-0.3),"超过30%","")</f>
        <v/>
      </c>
      <c r="G55" s="497">
        <f>IF(G48&lt;I48,I48/G48-1,G48/I48-1)</f>
        <v>0.1985645933014355</v>
      </c>
      <c r="H55" s="498" t="str">
        <f>IF(OR(G55&gt;=0.3,G55&lt;=-0.3),"超过30%","")</f>
        <v/>
      </c>
      <c r="I55" s="497">
        <f>IF(I48&lt;E48,E48/I48-1,I48/E48-1)</f>
        <v>0.15833492822966511</v>
      </c>
      <c r="J55" s="498" t="str">
        <f>IF(OR(I55&gt;=0.3,I55&lt;=-0.3),"超过30%","")</f>
        <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1" t="s">
        <v>2675</v>
      </c>
      <c r="B58" s="757"/>
      <c r="C58" s="762"/>
      <c r="D58" s="762"/>
      <c r="E58" s="762"/>
      <c r="F58" s="763"/>
      <c r="G58" s="763"/>
      <c r="H58" s="762"/>
      <c r="I58" s="762"/>
      <c r="J58" s="762"/>
      <c r="K58" s="764"/>
      <c r="L58" s="1161"/>
      <c r="M58" s="1159"/>
      <c r="N58" s="1159"/>
      <c r="O58" s="1159"/>
      <c r="P58" s="2679"/>
      <c r="Q58" s="502"/>
    </row>
    <row r="59" spans="1:29" s="506" customFormat="1" ht="14.4">
      <c r="A59" s="503" t="s">
        <v>2549</v>
      </c>
      <c r="B59" s="504"/>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5" customFormat="1">
      <c r="A60" s="507"/>
      <c r="B60" s="508"/>
      <c r="C60" s="1571">
        <v>100</v>
      </c>
      <c r="D60" s="510">
        <v>100</v>
      </c>
      <c r="E60" s="510">
        <f>D60</f>
        <v>100</v>
      </c>
      <c r="F60" s="510">
        <f>E60-0.5</f>
        <v>99.5</v>
      </c>
      <c r="G60" s="510">
        <f>F60</f>
        <v>99.5</v>
      </c>
      <c r="H60" s="510">
        <f>G60</f>
        <v>99.5</v>
      </c>
      <c r="I60" s="510">
        <f>H60-0.5</f>
        <v>99</v>
      </c>
      <c r="J60" s="510">
        <f>I60</f>
        <v>99</v>
      </c>
      <c r="K60" s="510">
        <f>J60</f>
        <v>99</v>
      </c>
      <c r="L60" s="510">
        <f>K60-0.5</f>
        <v>98.5</v>
      </c>
      <c r="M60" s="510">
        <f>L60</f>
        <v>98.5</v>
      </c>
      <c r="N60" s="510">
        <f>M60</f>
        <v>98.5</v>
      </c>
      <c r="O60" s="511"/>
      <c r="P60" s="2680"/>
    </row>
    <row r="61" spans="1:29" s="115" customFormat="1" ht="15" thickBot="1">
      <c r="A61" s="513" t="s">
        <v>2586</v>
      </c>
      <c r="B61" s="514"/>
      <c r="C61" s="515"/>
      <c r="D61" s="516"/>
      <c r="E61" s="516"/>
      <c r="F61" s="516"/>
      <c r="G61" s="516"/>
      <c r="H61" s="516"/>
      <c r="I61" s="516"/>
      <c r="J61" s="516"/>
      <c r="K61" s="516"/>
      <c r="L61" s="516"/>
      <c r="M61" s="517"/>
      <c r="N61" s="516"/>
      <c r="O61" s="517"/>
      <c r="P61" s="2680"/>
      <c r="Q61" s="502"/>
    </row>
    <row r="62" spans="1:29" s="115" customFormat="1" ht="14.4">
      <c r="A62" s="519" t="s">
        <v>2551</v>
      </c>
      <c r="B62" s="508"/>
      <c r="C62" s="520" t="s">
        <v>2653</v>
      </c>
      <c r="D62" s="521"/>
      <c r="E62" s="521"/>
      <c r="F62" s="521"/>
      <c r="G62" s="521"/>
      <c r="H62" s="521"/>
      <c r="I62" s="521"/>
      <c r="J62" s="521"/>
      <c r="K62" s="521"/>
      <c r="L62" s="522"/>
      <c r="M62" s="523"/>
      <c r="N62" s="1151"/>
      <c r="O62" s="1151"/>
      <c r="P62" s="2681"/>
      <c r="Q62" s="502"/>
    </row>
    <row r="63" spans="1:29" s="115" customFormat="1" ht="14.4" thickBot="1">
      <c r="A63" s="519"/>
      <c r="B63" s="508"/>
      <c r="C63" s="509">
        <v>100</v>
      </c>
      <c r="D63" s="510"/>
      <c r="E63" s="510"/>
      <c r="F63" s="510"/>
      <c r="G63" s="510"/>
      <c r="H63" s="510"/>
      <c r="I63" s="510"/>
      <c r="J63" s="510"/>
      <c r="K63" s="510"/>
      <c r="L63" s="510"/>
      <c r="M63" s="512"/>
      <c r="N63" s="1151"/>
      <c r="O63" s="1151"/>
      <c r="P63" s="2680"/>
      <c r="Q63" s="502"/>
    </row>
    <row r="64" spans="1:29" ht="14.4">
      <c r="A64" s="525" t="s">
        <v>2589</v>
      </c>
      <c r="B64" s="526" t="s">
        <v>2555</v>
      </c>
      <c r="C64" s="527" t="str">
        <f>C9</f>
        <v>办公</v>
      </c>
      <c r="D64" s="528"/>
      <c r="E64" s="528"/>
      <c r="F64" s="528"/>
      <c r="G64" s="528"/>
      <c r="H64" s="528"/>
      <c r="I64" s="528"/>
      <c r="J64" s="528"/>
      <c r="K64" s="529"/>
      <c r="L64" s="530"/>
      <c r="M64" s="531"/>
      <c r="N64" s="1152"/>
      <c r="O64" s="1152"/>
      <c r="P64" s="2682"/>
      <c r="Q64" s="502"/>
    </row>
    <row r="65" spans="1:17" ht="14.4" thickBot="1">
      <c r="A65" s="532"/>
      <c r="B65" s="533"/>
      <c r="C65" s="534">
        <v>100</v>
      </c>
      <c r="D65" s="534"/>
      <c r="E65" s="534"/>
      <c r="F65" s="534"/>
      <c r="G65" s="534"/>
      <c r="H65" s="534"/>
      <c r="I65" s="534"/>
      <c r="J65" s="534"/>
      <c r="K65" s="534"/>
      <c r="L65" s="534"/>
      <c r="M65" s="535"/>
      <c r="N65" s="1153"/>
      <c r="O65" s="1153"/>
      <c r="P65" s="2682"/>
      <c r="Q65" s="502"/>
    </row>
    <row r="66" spans="1:17" ht="29.4" thickTop="1">
      <c r="A66" s="532"/>
      <c r="B66" s="536" t="s">
        <v>2558</v>
      </c>
      <c r="C66" s="537" t="s">
        <v>2590</v>
      </c>
      <c r="D66" s="537" t="s">
        <v>2591</v>
      </c>
      <c r="E66" s="537" t="s">
        <v>2592</v>
      </c>
      <c r="F66" s="537" t="s">
        <v>2593</v>
      </c>
      <c r="G66" s="537" t="s">
        <v>2594</v>
      </c>
      <c r="H66" s="537" t="s">
        <v>2595</v>
      </c>
      <c r="I66" s="537" t="s">
        <v>2596</v>
      </c>
      <c r="J66" s="537"/>
      <c r="K66" s="538"/>
      <c r="L66" s="539"/>
      <c r="M66" s="540"/>
      <c r="N66" s="1152"/>
      <c r="O66" s="1152"/>
      <c r="P66" s="2682"/>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 thickTop="1">
      <c r="A68" s="532"/>
      <c r="B68" s="544" t="s">
        <v>2559</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3"/>
      <c r="O68" s="1153"/>
      <c r="P68" s="2682"/>
      <c r="Q68" s="502"/>
    </row>
    <row r="69" spans="1:17">
      <c r="A69" s="532"/>
      <c r="B69" s="546"/>
      <c r="C69" s="547">
        <v>0</v>
      </c>
      <c r="D69" s="547">
        <v>1</v>
      </c>
      <c r="E69" s="547">
        <v>2</v>
      </c>
      <c r="F69" s="547">
        <v>3</v>
      </c>
      <c r="G69" s="547">
        <v>4</v>
      </c>
      <c r="H69" s="547">
        <v>5</v>
      </c>
      <c r="I69" s="547">
        <v>6</v>
      </c>
      <c r="J69" s="547">
        <v>7</v>
      </c>
      <c r="K69" s="547">
        <v>8</v>
      </c>
      <c r="L69" s="547">
        <v>9</v>
      </c>
      <c r="M69" s="547">
        <v>10</v>
      </c>
      <c r="N69" s="1152"/>
      <c r="O69" s="1152"/>
      <c r="P69" s="2682"/>
      <c r="Q69" s="502"/>
    </row>
    <row r="70" spans="1:17" ht="14.4"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53"/>
      <c r="O70" s="1153"/>
      <c r="P70" s="2682"/>
      <c r="Q70" s="502"/>
    </row>
    <row r="71" spans="1:17" s="469" customFormat="1" ht="14.4" thickTop="1">
      <c r="A71" s="551"/>
      <c r="B71" s="536">
        <f>B12</f>
        <v>111</v>
      </c>
      <c r="C71" s="552"/>
      <c r="D71" s="552"/>
      <c r="E71" s="552"/>
      <c r="F71" s="552"/>
      <c r="G71" s="552"/>
      <c r="H71" s="553"/>
      <c r="I71" s="553"/>
      <c r="J71" s="553"/>
      <c r="K71" s="553"/>
      <c r="L71" s="554"/>
      <c r="M71" s="555"/>
      <c r="N71" s="1154"/>
      <c r="O71" s="1154"/>
      <c r="P71" s="2683"/>
      <c r="Q71" s="557"/>
    </row>
    <row r="72" spans="1:17" s="469" customFormat="1" ht="14.4" thickBot="1">
      <c r="A72" s="551"/>
      <c r="B72" s="541"/>
      <c r="C72" s="558"/>
      <c r="D72" s="534"/>
      <c r="E72" s="534"/>
      <c r="F72" s="534"/>
      <c r="G72" s="534"/>
      <c r="H72" s="534"/>
      <c r="I72" s="534"/>
      <c r="J72" s="534"/>
      <c r="K72" s="534"/>
      <c r="L72" s="534"/>
      <c r="M72" s="535"/>
      <c r="N72" s="1153"/>
      <c r="O72" s="1153"/>
      <c r="P72" s="2683"/>
      <c r="Q72" s="557"/>
    </row>
    <row r="73" spans="1:17" s="469" customFormat="1" ht="14.4" thickTop="1">
      <c r="A73" s="551"/>
      <c r="B73" s="536">
        <f>B13</f>
        <v>111</v>
      </c>
      <c r="C73" s="552"/>
      <c r="D73" s="552"/>
      <c r="E73" s="552"/>
      <c r="F73" s="552"/>
      <c r="G73" s="552"/>
      <c r="H73" s="553"/>
      <c r="I73" s="553"/>
      <c r="J73" s="553"/>
      <c r="K73" s="553"/>
      <c r="L73" s="554"/>
      <c r="M73" s="555"/>
      <c r="N73" s="1154"/>
      <c r="O73" s="1154"/>
      <c r="P73" s="2684"/>
      <c r="Q73" s="559"/>
    </row>
    <row r="74" spans="1:17" s="469" customFormat="1" ht="14.4" thickBot="1">
      <c r="A74" s="551"/>
      <c r="B74" s="541"/>
      <c r="C74" s="558"/>
      <c r="D74" s="558"/>
      <c r="E74" s="558"/>
      <c r="F74" s="558"/>
      <c r="G74" s="558"/>
      <c r="H74" s="560"/>
      <c r="I74" s="560"/>
      <c r="J74" s="560"/>
      <c r="K74" s="560"/>
      <c r="L74" s="560"/>
      <c r="M74" s="561"/>
      <c r="N74" s="1154"/>
      <c r="O74" s="1154"/>
      <c r="P74" s="2683"/>
      <c r="Q74" s="557"/>
    </row>
    <row r="75" spans="1:17" s="469" customFormat="1" ht="14.4" thickTop="1">
      <c r="A75" s="551"/>
      <c r="B75" s="544">
        <f>B14</f>
        <v>111</v>
      </c>
      <c r="C75" s="521"/>
      <c r="D75" s="521"/>
      <c r="E75" s="521"/>
      <c r="F75" s="521"/>
      <c r="G75" s="521"/>
      <c r="H75" s="562"/>
      <c r="I75" s="562"/>
      <c r="J75" s="562"/>
      <c r="K75" s="562"/>
      <c r="L75" s="563"/>
      <c r="M75" s="564"/>
      <c r="N75" s="1154"/>
      <c r="O75" s="1154"/>
      <c r="P75" s="2685"/>
      <c r="Q75" s="557"/>
    </row>
    <row r="76" spans="1:17" s="469" customFormat="1" ht="14.4" thickBot="1">
      <c r="A76" s="566"/>
      <c r="B76" s="567"/>
      <c r="C76" s="568"/>
      <c r="D76" s="568"/>
      <c r="E76" s="568"/>
      <c r="F76" s="568"/>
      <c r="G76" s="568"/>
      <c r="H76" s="569"/>
      <c r="I76" s="569"/>
      <c r="J76" s="569"/>
      <c r="K76" s="569"/>
      <c r="L76" s="569"/>
      <c r="M76" s="570"/>
      <c r="N76" s="1154"/>
      <c r="O76" s="1154"/>
      <c r="P76" s="2683"/>
      <c r="Q76" s="557"/>
    </row>
    <row r="77" spans="1:17" ht="14.4">
      <c r="A77" s="525" t="s">
        <v>2560</v>
      </c>
      <c r="B77" s="526" t="s">
        <v>2698</v>
      </c>
      <c r="C77" s="571" t="s">
        <v>2598</v>
      </c>
      <c r="D77" s="571" t="s">
        <v>2599</v>
      </c>
      <c r="E77" s="571" t="s">
        <v>2600</v>
      </c>
      <c r="F77" s="571" t="s">
        <v>2601</v>
      </c>
      <c r="G77" s="571" t="s">
        <v>2602</v>
      </c>
      <c r="H77" s="527"/>
      <c r="I77" s="527"/>
      <c r="J77" s="527"/>
      <c r="K77" s="572"/>
      <c r="L77" s="573"/>
      <c r="M77" s="574"/>
      <c r="N77" s="1152"/>
      <c r="O77" s="1152"/>
      <c r="P77" s="2686"/>
      <c r="Q77" s="502"/>
    </row>
    <row r="78" spans="1:17" ht="14.4" thickBot="1">
      <c r="A78" s="532"/>
      <c r="B78" s="541"/>
      <c r="C78" s="542">
        <v>100</v>
      </c>
      <c r="D78" s="542">
        <f>C78-$K15</f>
        <v>98</v>
      </c>
      <c r="E78" s="542">
        <f>D78-$K15</f>
        <v>96</v>
      </c>
      <c r="F78" s="542">
        <f>E78-$K15</f>
        <v>94</v>
      </c>
      <c r="G78" s="542">
        <f>F78-$K15</f>
        <v>92</v>
      </c>
      <c r="H78" s="542"/>
      <c r="I78" s="542"/>
      <c r="J78" s="542"/>
      <c r="K78" s="542"/>
      <c r="L78" s="542"/>
      <c r="M78" s="543"/>
      <c r="N78" s="1153"/>
      <c r="O78" s="1153"/>
      <c r="P78" s="2682"/>
      <c r="Q78" s="502"/>
    </row>
    <row r="79" spans="1:17" ht="15" thickTop="1">
      <c r="A79" s="532"/>
      <c r="B79" s="536" t="s">
        <v>2603</v>
      </c>
      <c r="C79" s="576" t="s">
        <v>2598</v>
      </c>
      <c r="D79" s="576" t="s">
        <v>2599</v>
      </c>
      <c r="E79" s="576" t="s">
        <v>2600</v>
      </c>
      <c r="F79" s="576" t="s">
        <v>2601</v>
      </c>
      <c r="G79" s="576" t="s">
        <v>2602</v>
      </c>
      <c r="H79" s="537"/>
      <c r="I79" s="537"/>
      <c r="J79" s="537"/>
      <c r="K79" s="538"/>
      <c r="L79" s="539"/>
      <c r="M79" s="540"/>
      <c r="N79" s="1152"/>
      <c r="O79" s="1152"/>
      <c r="P79" s="2682"/>
      <c r="Q79" s="502"/>
    </row>
    <row r="80" spans="1:17" ht="14.4" thickBot="1">
      <c r="A80" s="532"/>
      <c r="B80" s="541"/>
      <c r="C80" s="542">
        <v>100</v>
      </c>
      <c r="D80" s="542">
        <f>C80-$K17</f>
        <v>99</v>
      </c>
      <c r="E80" s="542">
        <f>D80-$K17</f>
        <v>98</v>
      </c>
      <c r="F80" s="542">
        <f>E80-$K17</f>
        <v>97</v>
      </c>
      <c r="G80" s="542">
        <f>F80-$K17</f>
        <v>96</v>
      </c>
      <c r="H80" s="542"/>
      <c r="I80" s="542"/>
      <c r="J80" s="542"/>
      <c r="K80" s="542"/>
      <c r="L80" s="542"/>
      <c r="M80" s="543"/>
      <c r="N80" s="1153"/>
      <c r="O80" s="1153"/>
      <c r="P80" s="2682"/>
      <c r="Q80" s="502"/>
    </row>
    <row r="81" spans="1:17" ht="15" thickTop="1">
      <c r="A81" s="532"/>
      <c r="B81" s="536" t="s">
        <v>2604</v>
      </c>
      <c r="C81" s="576" t="s">
        <v>2598</v>
      </c>
      <c r="D81" s="576" t="s">
        <v>2599</v>
      </c>
      <c r="E81" s="576" t="s">
        <v>2600</v>
      </c>
      <c r="F81" s="576" t="s">
        <v>2601</v>
      </c>
      <c r="G81" s="576" t="s">
        <v>2602</v>
      </c>
      <c r="H81" s="537"/>
      <c r="I81" s="537"/>
      <c r="J81" s="537"/>
      <c r="K81" s="538"/>
      <c r="L81" s="539"/>
      <c r="M81" s="540"/>
      <c r="N81" s="1152"/>
      <c r="O81" s="1152"/>
      <c r="P81" s="2682"/>
      <c r="Q81" s="502"/>
    </row>
    <row r="82" spans="1:17" ht="14.4" thickBot="1">
      <c r="A82" s="532"/>
      <c r="B82" s="541"/>
      <c r="C82" s="542">
        <v>100</v>
      </c>
      <c r="D82" s="542">
        <f>C82-$K19</f>
        <v>99</v>
      </c>
      <c r="E82" s="542">
        <f>D82-$K19</f>
        <v>98</v>
      </c>
      <c r="F82" s="542">
        <f>E82-$K19</f>
        <v>97</v>
      </c>
      <c r="G82" s="542">
        <f>F82-$K19</f>
        <v>96</v>
      </c>
      <c r="H82" s="542"/>
      <c r="I82" s="542"/>
      <c r="J82" s="542"/>
      <c r="K82" s="542"/>
      <c r="L82" s="542"/>
      <c r="M82" s="543"/>
      <c r="N82" s="1153"/>
      <c r="O82" s="1153"/>
      <c r="P82" s="2682"/>
      <c r="Q82" s="502"/>
    </row>
    <row r="83" spans="1:17" ht="15" thickTop="1">
      <c r="A83" s="532"/>
      <c r="B83" s="544" t="s">
        <v>2690</v>
      </c>
      <c r="C83" s="658" t="s">
        <v>2676</v>
      </c>
      <c r="D83" s="658" t="s">
        <v>2677</v>
      </c>
      <c r="E83" s="658" t="s">
        <v>2678</v>
      </c>
      <c r="F83" s="658" t="s">
        <v>2679</v>
      </c>
      <c r="G83" s="658" t="s">
        <v>2680</v>
      </c>
      <c r="H83" s="537"/>
      <c r="I83" s="537"/>
      <c r="J83" s="537"/>
      <c r="K83" s="537"/>
      <c r="L83" s="537"/>
      <c r="M83" s="1381"/>
      <c r="N83" s="1153"/>
      <c r="O83" s="1153"/>
      <c r="P83" s="2682"/>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 thickTop="1">
      <c r="A85" s="532"/>
      <c r="B85" s="536" t="s">
        <v>2699</v>
      </c>
      <c r="C85" s="576" t="s">
        <v>2598</v>
      </c>
      <c r="D85" s="576" t="s">
        <v>2599</v>
      </c>
      <c r="E85" s="576" t="s">
        <v>2600</v>
      </c>
      <c r="F85" s="576" t="s">
        <v>2601</v>
      </c>
      <c r="G85" s="576" t="s">
        <v>2602</v>
      </c>
      <c r="H85" s="537"/>
      <c r="I85" s="537"/>
      <c r="J85" s="537"/>
      <c r="K85" s="538"/>
      <c r="L85" s="539"/>
      <c r="M85" s="540"/>
      <c r="N85" s="1152"/>
      <c r="O85" s="1152"/>
      <c r="P85" s="2682"/>
      <c r="Q85" s="502"/>
    </row>
    <row r="86" spans="1:17" ht="14.4" thickBot="1">
      <c r="A86" s="532"/>
      <c r="B86" s="541"/>
      <c r="C86" s="542">
        <v>100</v>
      </c>
      <c r="D86" s="542">
        <f>C86-$K23</f>
        <v>98</v>
      </c>
      <c r="E86" s="542">
        <f>D86-$K23</f>
        <v>96</v>
      </c>
      <c r="F86" s="542">
        <f>E86-$K23</f>
        <v>94</v>
      </c>
      <c r="G86" s="542">
        <f>F86-$K23</f>
        <v>92</v>
      </c>
      <c r="H86" s="542"/>
      <c r="I86" s="542"/>
      <c r="J86" s="542"/>
      <c r="K86" s="542"/>
      <c r="L86" s="542"/>
      <c r="M86" s="543"/>
      <c r="N86" s="1153"/>
      <c r="O86" s="1153"/>
      <c r="P86" s="2682"/>
      <c r="Q86" s="502"/>
    </row>
    <row r="87" spans="1:17" s="115" customFormat="1" ht="29.4" thickTop="1">
      <c r="A87" s="577"/>
      <c r="B87" s="536" t="s">
        <v>2700</v>
      </c>
      <c r="C87" s="2959" t="s">
        <v>3134</v>
      </c>
      <c r="D87" s="2959" t="s">
        <v>3135</v>
      </c>
      <c r="E87" s="2959" t="s">
        <v>3136</v>
      </c>
      <c r="F87" s="2959" t="s">
        <v>3137</v>
      </c>
      <c r="G87" s="2959" t="s">
        <v>3138</v>
      </c>
      <c r="H87" s="552"/>
      <c r="I87" s="552"/>
      <c r="J87" s="552"/>
      <c r="K87" s="552"/>
      <c r="L87" s="578"/>
      <c r="M87" s="579"/>
      <c r="N87" s="1151"/>
      <c r="O87" s="1151"/>
      <c r="P87" s="2682"/>
      <c r="Q87" s="502"/>
    </row>
    <row r="88" spans="1:17" s="115" customFormat="1" ht="14.4" thickBot="1">
      <c r="A88" s="577"/>
      <c r="B88" s="541"/>
      <c r="C88" s="580">
        <v>100</v>
      </c>
      <c r="D88" s="542">
        <f t="shared" ref="D88:M88" si="19">C88-$K25</f>
        <v>98.5</v>
      </c>
      <c r="E88" s="542">
        <f t="shared" si="19"/>
        <v>97</v>
      </c>
      <c r="F88" s="542">
        <f t="shared" si="19"/>
        <v>95.5</v>
      </c>
      <c r="G88" s="542">
        <f t="shared" si="19"/>
        <v>94</v>
      </c>
      <c r="H88" s="542">
        <f t="shared" si="19"/>
        <v>92.5</v>
      </c>
      <c r="I88" s="542">
        <f t="shared" si="19"/>
        <v>91</v>
      </c>
      <c r="J88" s="542">
        <f t="shared" si="19"/>
        <v>89.5</v>
      </c>
      <c r="K88" s="542">
        <f t="shared" si="19"/>
        <v>88</v>
      </c>
      <c r="L88" s="542">
        <f t="shared" si="19"/>
        <v>86.5</v>
      </c>
      <c r="M88" s="542">
        <f t="shared" si="19"/>
        <v>85</v>
      </c>
      <c r="N88" s="1153"/>
      <c r="O88" s="1153"/>
      <c r="P88" s="2682"/>
      <c r="Q88" s="502"/>
    </row>
    <row r="89" spans="1:17" s="115" customFormat="1" ht="15" thickTop="1">
      <c r="A89" s="577"/>
      <c r="B89" s="536" t="str">
        <f>B27</f>
        <v>楼层</v>
      </c>
      <c r="C89" s="2959" t="s">
        <v>3178</v>
      </c>
      <c r="D89" s="2959" t="s">
        <v>3179</v>
      </c>
      <c r="E89" s="2959" t="s">
        <v>3180</v>
      </c>
      <c r="F89" s="2633"/>
      <c r="G89" s="552"/>
      <c r="H89" s="552"/>
      <c r="I89" s="552"/>
      <c r="J89" s="552"/>
      <c r="K89" s="552"/>
      <c r="L89" s="552"/>
      <c r="M89" s="579"/>
      <c r="N89" s="1151"/>
      <c r="O89" s="1151"/>
      <c r="P89" s="2682"/>
      <c r="Q89" s="502"/>
    </row>
    <row r="90" spans="1:17" s="115" customFormat="1" ht="14.4"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3"/>
      <c r="O90" s="1153"/>
      <c r="P90" s="2682"/>
      <c r="Q90" s="502"/>
    </row>
    <row r="91" spans="1:17" s="469" customFormat="1" ht="14.4"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4.4" thickTop="1">
      <c r="A93" s="532"/>
      <c r="B93" s="536">
        <f>B29</f>
        <v>111</v>
      </c>
      <c r="C93" s="552"/>
      <c r="D93" s="552"/>
      <c r="E93" s="552"/>
      <c r="F93" s="552"/>
      <c r="G93" s="552"/>
      <c r="H93" s="552"/>
      <c r="I93" s="552"/>
      <c r="J93" s="552"/>
      <c r="K93" s="552"/>
      <c r="L93" s="578"/>
      <c r="M93" s="579"/>
      <c r="N93" s="1152"/>
      <c r="O93" s="1152"/>
      <c r="P93" s="2682"/>
      <c r="Q93" s="502"/>
    </row>
    <row r="94" spans="1:17" ht="14.4" thickBot="1">
      <c r="A94" s="532"/>
      <c r="B94" s="541"/>
      <c r="C94" s="558"/>
      <c r="D94" s="534"/>
      <c r="E94" s="534"/>
      <c r="F94" s="534"/>
      <c r="G94" s="534"/>
      <c r="H94" s="534"/>
      <c r="I94" s="534"/>
      <c r="J94" s="534"/>
      <c r="K94" s="534"/>
      <c r="L94" s="534"/>
      <c r="M94" s="535"/>
      <c r="N94" s="1153"/>
      <c r="O94" s="1153"/>
      <c r="P94" s="2682"/>
      <c r="Q94" s="502"/>
    </row>
    <row r="95" spans="1:17" ht="14.4" thickTop="1">
      <c r="A95" s="532"/>
      <c r="B95" s="536">
        <f>B30</f>
        <v>111</v>
      </c>
      <c r="C95" s="552"/>
      <c r="D95" s="552"/>
      <c r="E95" s="552"/>
      <c r="F95" s="552"/>
      <c r="G95" s="581"/>
      <c r="H95" s="581"/>
      <c r="I95" s="581"/>
      <c r="J95" s="581"/>
      <c r="K95" s="582"/>
      <c r="L95" s="583"/>
      <c r="M95" s="584"/>
      <c r="N95" s="1152"/>
      <c r="O95" s="1152"/>
      <c r="P95" s="2682"/>
      <c r="Q95" s="502"/>
    </row>
    <row r="96" spans="1:17" ht="14.4" thickBot="1">
      <c r="A96" s="532"/>
      <c r="B96" s="541"/>
      <c r="C96" s="558"/>
      <c r="D96" s="558"/>
      <c r="E96" s="558"/>
      <c r="F96" s="558"/>
      <c r="G96" s="534"/>
      <c r="H96" s="534"/>
      <c r="I96" s="534"/>
      <c r="J96" s="534"/>
      <c r="K96" s="534"/>
      <c r="L96" s="534"/>
      <c r="M96" s="535"/>
      <c r="N96" s="1153"/>
      <c r="O96" s="1153"/>
      <c r="P96" s="2682"/>
      <c r="Q96" s="502"/>
    </row>
    <row r="97" spans="1:17" ht="14.4" thickTop="1">
      <c r="A97" s="532"/>
      <c r="B97" s="536">
        <f>B31</f>
        <v>111</v>
      </c>
      <c r="C97" s="552"/>
      <c r="D97" s="552"/>
      <c r="E97" s="552"/>
      <c r="F97" s="552"/>
      <c r="G97" s="581"/>
      <c r="H97" s="581"/>
      <c r="I97" s="581"/>
      <c r="J97" s="581"/>
      <c r="K97" s="582"/>
      <c r="L97" s="583"/>
      <c r="M97" s="584"/>
      <c r="N97" s="1152"/>
      <c r="O97" s="1152"/>
      <c r="P97" s="2682"/>
      <c r="Q97" s="502"/>
    </row>
    <row r="98" spans="1:17" ht="14.4" thickBot="1">
      <c r="A98" s="532"/>
      <c r="B98" s="541"/>
      <c r="C98" s="558"/>
      <c r="D98" s="534"/>
      <c r="E98" s="534"/>
      <c r="F98" s="534"/>
      <c r="G98" s="534"/>
      <c r="H98" s="534"/>
      <c r="I98" s="534"/>
      <c r="J98" s="534"/>
      <c r="K98" s="534"/>
      <c r="L98" s="534"/>
      <c r="M98" s="535"/>
      <c r="N98" s="1153"/>
      <c r="O98" s="1153"/>
      <c r="P98" s="2682"/>
      <c r="Q98" s="502"/>
    </row>
    <row r="99" spans="1:17" ht="14.4" thickTop="1">
      <c r="A99" s="532"/>
      <c r="B99" s="544">
        <f>B32</f>
        <v>111</v>
      </c>
      <c r="C99" s="521"/>
      <c r="D99" s="521"/>
      <c r="E99" s="521"/>
      <c r="F99" s="521"/>
      <c r="G99" s="585"/>
      <c r="H99" s="585"/>
      <c r="I99" s="585"/>
      <c r="J99" s="585"/>
      <c r="K99" s="586"/>
      <c r="L99" s="587"/>
      <c r="M99" s="588"/>
      <c r="N99" s="1152"/>
      <c r="O99" s="1152"/>
      <c r="P99" s="2682"/>
      <c r="Q99" s="502"/>
    </row>
    <row r="100" spans="1:17" ht="14.4" thickBot="1">
      <c r="A100" s="2634"/>
      <c r="B100" s="567"/>
      <c r="C100" s="568"/>
      <c r="D100" s="568"/>
      <c r="E100" s="568"/>
      <c r="F100" s="568"/>
      <c r="G100" s="589"/>
      <c r="H100" s="589"/>
      <c r="I100" s="589"/>
      <c r="J100" s="589"/>
      <c r="K100" s="589"/>
      <c r="L100" s="589"/>
      <c r="M100" s="590"/>
      <c r="N100" s="1153"/>
      <c r="O100" s="1153"/>
      <c r="P100" s="2682"/>
      <c r="Q100" s="502"/>
    </row>
    <row r="101" spans="1:17" ht="14.4">
      <c r="A101" s="525" t="s">
        <v>2564</v>
      </c>
      <c r="B101" s="526" t="s">
        <v>2613</v>
      </c>
      <c r="C101" s="528"/>
      <c r="D101" s="528"/>
      <c r="E101" s="528"/>
      <c r="F101" s="528"/>
      <c r="G101" s="528"/>
      <c r="H101" s="528"/>
      <c r="I101" s="528"/>
      <c r="J101" s="528"/>
      <c r="K101" s="529"/>
      <c r="L101" s="530"/>
      <c r="M101" s="531"/>
      <c r="N101" s="1152"/>
      <c r="O101" s="1152"/>
      <c r="P101" s="2682"/>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21" customHeight="1" thickTop="1">
      <c r="A103" s="532"/>
      <c r="B103" s="536" t="s">
        <v>2614</v>
      </c>
      <c r="C103" s="576" t="str">
        <f>C104&amp;"(含)"&amp;"-"&amp;D104</f>
        <v>0(含)-100000</v>
      </c>
      <c r="D103" s="576" t="str">
        <f t="shared" ref="D103:L103" si="23">D104&amp;"(含)"&amp;"-"&amp;E104</f>
        <v>100000(含)-200000</v>
      </c>
      <c r="E103" s="576" t="str">
        <f t="shared" si="23"/>
        <v>200000(含)-300000</v>
      </c>
      <c r="F103" s="576" t="str">
        <f t="shared" si="23"/>
        <v>300000(含)-400000</v>
      </c>
      <c r="G103" s="576" t="str">
        <f t="shared" si="23"/>
        <v>400000(含)-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v>0</v>
      </c>
      <c r="D104" s="593">
        <v>100000</v>
      </c>
      <c r="E104" s="593">
        <v>200000</v>
      </c>
      <c r="F104" s="593">
        <v>300000</v>
      </c>
      <c r="G104" s="593">
        <v>400000</v>
      </c>
      <c r="H104" s="593"/>
      <c r="I104" s="593"/>
      <c r="J104" s="594"/>
      <c r="K104" s="594"/>
      <c r="L104" s="595"/>
      <c r="M104" s="596"/>
      <c r="N104" s="1154"/>
      <c r="O104" s="1154"/>
      <c r="P104" s="2683"/>
      <c r="Q104" s="557"/>
    </row>
    <row r="105" spans="1:17" s="469" customFormat="1" ht="14.4" thickBot="1">
      <c r="A105" s="551"/>
      <c r="B105" s="541"/>
      <c r="C105" s="558">
        <v>98</v>
      </c>
      <c r="D105" s="534">
        <v>100</v>
      </c>
      <c r="E105" s="534">
        <v>102</v>
      </c>
      <c r="F105" s="534">
        <v>104</v>
      </c>
      <c r="G105" s="534">
        <v>106</v>
      </c>
      <c r="H105" s="534"/>
      <c r="I105" s="534"/>
      <c r="J105" s="534"/>
      <c r="K105" s="534"/>
      <c r="L105" s="534"/>
      <c r="M105" s="535"/>
      <c r="N105" s="1153"/>
      <c r="O105" s="1153"/>
      <c r="P105" s="2683"/>
      <c r="Q105" s="557"/>
    </row>
    <row r="106" spans="1:17" ht="15" thickTop="1">
      <c r="A106" s="597"/>
      <c r="B106" s="536" t="s">
        <v>2615</v>
      </c>
      <c r="C106" s="552"/>
      <c r="D106" s="552"/>
      <c r="E106" s="581"/>
      <c r="F106" s="581"/>
      <c r="G106" s="581"/>
      <c r="H106" s="581"/>
      <c r="I106" s="581"/>
      <c r="J106" s="581"/>
      <c r="K106" s="582"/>
      <c r="L106" s="583"/>
      <c r="M106" s="584"/>
      <c r="N106" s="1152"/>
      <c r="O106" s="1152"/>
      <c r="P106" s="2682"/>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2617</v>
      </c>
      <c r="C108" s="2959" t="s">
        <v>3155</v>
      </c>
      <c r="D108" s="2959" t="s">
        <v>3156</v>
      </c>
      <c r="E108" s="2959" t="s">
        <v>3157</v>
      </c>
      <c r="F108" s="2960" t="s">
        <v>3158</v>
      </c>
      <c r="G108" s="581"/>
      <c r="H108" s="581"/>
      <c r="I108" s="581"/>
      <c r="J108" s="581"/>
      <c r="K108" s="582"/>
      <c r="L108" s="583"/>
      <c r="M108" s="584"/>
      <c r="N108" s="1152"/>
      <c r="O108" s="1152"/>
      <c r="P108" s="2682"/>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2001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2701</v>
      </c>
      <c r="C113" s="552"/>
      <c r="D113" s="552"/>
      <c r="E113" s="552"/>
      <c r="F113" s="552"/>
      <c r="G113" s="552"/>
      <c r="H113" s="581"/>
      <c r="I113" s="581"/>
      <c r="J113" s="581"/>
      <c r="K113" s="582"/>
      <c r="L113" s="583"/>
      <c r="M113" s="584"/>
      <c r="N113" s="1154"/>
      <c r="O113" s="1154"/>
      <c r="P113" s="2683"/>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2618</v>
      </c>
      <c r="C115" s="552"/>
      <c r="D115" s="552"/>
      <c r="E115" s="581"/>
      <c r="F115" s="581"/>
      <c r="G115" s="581"/>
      <c r="H115" s="581"/>
      <c r="I115" s="581"/>
      <c r="J115" s="581"/>
      <c r="K115" s="582"/>
      <c r="L115" s="583"/>
      <c r="M115" s="584"/>
      <c r="N115" s="1152"/>
      <c r="O115" s="1152"/>
      <c r="P115" s="2682"/>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2619</v>
      </c>
      <c r="C117" s="552"/>
      <c r="D117" s="552"/>
      <c r="E117" s="552"/>
      <c r="F117" s="552"/>
      <c r="G117" s="552"/>
      <c r="H117" s="581"/>
      <c r="I117" s="581"/>
      <c r="J117" s="581"/>
      <c r="K117" s="582"/>
      <c r="L117" s="583"/>
      <c r="M117" s="584"/>
      <c r="N117" s="1152"/>
      <c r="O117" s="1152"/>
      <c r="P117" s="2682"/>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2702</v>
      </c>
      <c r="C119" s="581"/>
      <c r="D119" s="581"/>
      <c r="E119" s="581"/>
      <c r="F119" s="581"/>
      <c r="G119" s="581"/>
      <c r="H119" s="581"/>
      <c r="I119" s="581"/>
      <c r="J119" s="581"/>
      <c r="K119" s="581"/>
      <c r="L119" s="2687"/>
      <c r="M119" s="2688"/>
      <c r="N119" s="1153"/>
      <c r="O119" s="1153"/>
      <c r="P119" s="2689"/>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2685</v>
      </c>
      <c r="C121" s="552" t="s">
        <v>3184</v>
      </c>
      <c r="D121" s="552" t="s">
        <v>3185</v>
      </c>
      <c r="E121" s="552" t="s">
        <v>3186</v>
      </c>
      <c r="F121" s="581" t="s">
        <v>3187</v>
      </c>
      <c r="G121" s="553" t="s">
        <v>3188</v>
      </c>
      <c r="H121" s="553" t="s">
        <v>3189</v>
      </c>
      <c r="I121" s="553">
        <v>80</v>
      </c>
      <c r="J121" s="553"/>
      <c r="K121" s="553"/>
      <c r="L121" s="554"/>
      <c r="M121" s="555"/>
      <c r="N121" s="1154"/>
      <c r="O121" s="1154"/>
      <c r="P121" s="2683"/>
      <c r="Q121" s="557"/>
    </row>
    <row r="122" spans="1:17" s="469" customFormat="1" ht="14.4" thickBot="1">
      <c r="A122" s="551"/>
      <c r="B122" s="533"/>
      <c r="C122" s="558">
        <v>100</v>
      </c>
      <c r="D122" s="558">
        <v>100</v>
      </c>
      <c r="E122" s="558">
        <v>100</v>
      </c>
      <c r="F122" s="558">
        <v>100</v>
      </c>
      <c r="G122" s="558">
        <v>100</v>
      </c>
      <c r="H122" s="558">
        <v>98</v>
      </c>
      <c r="I122" s="558">
        <v>96</v>
      </c>
      <c r="J122" s="558"/>
      <c r="K122" s="558"/>
      <c r="L122" s="558"/>
      <c r="M122" s="558"/>
      <c r="N122" s="1154"/>
      <c r="O122" s="1154"/>
      <c r="P122" s="2683"/>
      <c r="Q122" s="557"/>
    </row>
    <row r="123" spans="1:17" ht="15" thickTop="1">
      <c r="A123" s="597"/>
      <c r="B123" s="536" t="s">
        <v>2621</v>
      </c>
      <c r="C123" s="2959" t="s">
        <v>3159</v>
      </c>
      <c r="D123" s="2959" t="s">
        <v>3160</v>
      </c>
      <c r="E123" s="2959" t="s">
        <v>3161</v>
      </c>
      <c r="F123" s="2960" t="s">
        <v>3162</v>
      </c>
      <c r="G123" s="581"/>
      <c r="H123" s="581"/>
      <c r="I123" s="581"/>
      <c r="J123" s="581"/>
      <c r="K123" s="582"/>
      <c r="L123" s="583"/>
      <c r="M123" s="584"/>
      <c r="N123" s="1152"/>
      <c r="O123" s="1152"/>
      <c r="P123" s="2682"/>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29.4" thickTop="1">
      <c r="A125" s="597"/>
      <c r="B125" s="536" t="s">
        <v>2622</v>
      </c>
      <c r="C125" s="576" t="s">
        <v>2598</v>
      </c>
      <c r="D125" s="576" t="s">
        <v>2599</v>
      </c>
      <c r="E125" s="576" t="s">
        <v>2600</v>
      </c>
      <c r="F125" s="576" t="s">
        <v>2601</v>
      </c>
      <c r="G125" s="576" t="s">
        <v>2602</v>
      </c>
      <c r="H125" s="537"/>
      <c r="I125" s="537"/>
      <c r="J125" s="537"/>
      <c r="K125" s="538"/>
      <c r="L125" s="539"/>
      <c r="M125" s="540"/>
      <c r="N125" s="1152"/>
      <c r="O125" s="1152"/>
      <c r="P125" s="2683"/>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4.4"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4.4" thickBot="1">
      <c r="A128" s="551"/>
      <c r="B128" s="541"/>
      <c r="C128" s="558"/>
      <c r="D128" s="534"/>
      <c r="E128" s="534"/>
      <c r="F128" s="534"/>
      <c r="G128" s="558"/>
      <c r="H128" s="560"/>
      <c r="I128" s="560"/>
      <c r="J128" s="560"/>
      <c r="K128" s="560"/>
      <c r="L128" s="560"/>
      <c r="M128" s="561"/>
      <c r="N128" s="1154"/>
      <c r="O128" s="1154"/>
      <c r="P128" s="2683"/>
      <c r="Q128" s="557"/>
    </row>
    <row r="129" spans="1:17" ht="14.4" thickTop="1">
      <c r="A129" s="597"/>
      <c r="B129" s="536">
        <f>B46</f>
        <v>111</v>
      </c>
      <c r="C129" s="552"/>
      <c r="D129" s="552"/>
      <c r="E129" s="552"/>
      <c r="F129" s="552"/>
      <c r="G129" s="581"/>
      <c r="H129" s="581"/>
      <c r="I129" s="581"/>
      <c r="J129" s="581"/>
      <c r="K129" s="582"/>
      <c r="L129" s="583"/>
      <c r="M129" s="584"/>
      <c r="N129" s="1152"/>
      <c r="O129" s="1152"/>
      <c r="P129" s="2682"/>
      <c r="Q129" s="502"/>
    </row>
    <row r="130" spans="1:17" ht="14.4" thickBot="1">
      <c r="A130" s="532"/>
      <c r="B130" s="541"/>
      <c r="C130" s="558"/>
      <c r="D130" s="558"/>
      <c r="E130" s="558"/>
      <c r="F130" s="558"/>
      <c r="G130" s="534"/>
      <c r="H130" s="534"/>
      <c r="I130" s="534"/>
      <c r="J130" s="534"/>
      <c r="K130" s="534"/>
      <c r="L130" s="534"/>
      <c r="M130" s="535"/>
      <c r="N130" s="1153"/>
      <c r="O130" s="1153"/>
      <c r="P130" s="2682"/>
      <c r="Q130" s="502"/>
    </row>
    <row r="131" spans="1:17" ht="14.4" thickTop="1">
      <c r="A131" s="597"/>
      <c r="B131" s="544">
        <f>B47</f>
        <v>0.95</v>
      </c>
      <c r="C131" s="521"/>
      <c r="D131" s="521"/>
      <c r="E131" s="521"/>
      <c r="F131" s="521"/>
      <c r="G131" s="585"/>
      <c r="H131" s="585"/>
      <c r="I131" s="585"/>
      <c r="J131" s="585"/>
      <c r="K131" s="521"/>
      <c r="L131" s="522"/>
      <c r="M131" s="588"/>
      <c r="N131" s="1152"/>
      <c r="O131" s="1152"/>
      <c r="P131" s="2682"/>
      <c r="Q131" s="502"/>
    </row>
    <row r="132" spans="1:17" ht="14.4"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3006</v>
      </c>
      <c r="C1" s="3247" t="s">
        <v>3007</v>
      </c>
      <c r="D1" s="3248"/>
      <c r="E1" s="3248"/>
      <c r="F1" s="3248"/>
      <c r="G1" s="3248"/>
      <c r="H1" s="3248"/>
      <c r="I1" s="3248"/>
      <c r="J1" s="3248"/>
      <c r="K1" s="3248"/>
      <c r="L1" s="3248"/>
      <c r="M1" s="3248"/>
      <c r="N1" s="3248"/>
      <c r="O1" s="3248"/>
      <c r="P1" s="3248"/>
      <c r="Q1" s="3248"/>
      <c r="R1" s="3248"/>
      <c r="S1" s="3249"/>
      <c r="T1" s="1204" t="s">
        <v>3008</v>
      </c>
    </row>
    <row r="2" spans="1:45" s="705" customFormat="1" ht="26.4">
      <c r="A2" s="1205"/>
      <c r="B2" s="701" t="s">
        <v>3009</v>
      </c>
      <c r="C2" s="702" t="str">
        <f t="shared" ref="C2:L2" si="0">C3&amp;"(含)"&amp;"-"&amp;D3</f>
        <v>0(含)-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2977" t="s">
        <v>3219</v>
      </c>
      <c r="D17" s="2978" t="s">
        <v>3220</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8" thickBot="1">
      <c r="A18" s="1240"/>
      <c r="B18" s="1241"/>
      <c r="C18" s="1242">
        <v>100</v>
      </c>
      <c r="D18" s="1243">
        <v>70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2" thickBot="1">
      <c r="A20" s="713" t="s">
        <v>3019</v>
      </c>
      <c r="B20" s="336">
        <f>IF(D20="——",S22,S22-F20)</f>
        <v>407871</v>
      </c>
      <c r="C20" s="166"/>
      <c r="D20" s="2917" t="s">
        <v>70</v>
      </c>
      <c r="E20" s="1791"/>
      <c r="F20" s="1204" t="e">
        <f ca="1">SUMIF(INDIRECT("'"&amp;H20&amp;"'"&amp;"!A:A"),"承租人权益价值",INDIRECT("'"&amp;H20&amp;"'"&amp;"!c:c"))</f>
        <v>#REF!</v>
      </c>
      <c r="G20" s="1204" t="s">
        <v>3020</v>
      </c>
      <c r="H20" s="2918"/>
      <c r="I20" s="166"/>
      <c r="J20" s="166"/>
      <c r="K20" s="166"/>
      <c r="L20" s="166"/>
      <c r="M20" s="166"/>
      <c r="N20" s="166"/>
      <c r="O20" s="166"/>
      <c r="P20" s="166"/>
      <c r="Q20" s="166"/>
      <c r="R20" s="786"/>
      <c r="S20" s="136"/>
    </row>
    <row r="21" spans="1:45" ht="15.6">
      <c r="A21" s="713" t="s">
        <v>3021</v>
      </c>
      <c r="B21" s="336">
        <f>R22</f>
        <v>55101</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74022.8</v>
      </c>
      <c r="C22" s="3087" t="s">
        <v>33</v>
      </c>
      <c r="D22" s="3088"/>
      <c r="E22" s="3088"/>
      <c r="F22" s="3088"/>
      <c r="G22" s="3088"/>
      <c r="H22" s="3088"/>
      <c r="I22" s="3088"/>
      <c r="J22" s="3088"/>
      <c r="K22" s="3088"/>
      <c r="L22" s="3088"/>
      <c r="M22" s="3088"/>
      <c r="N22" s="3088"/>
      <c r="O22" s="3088"/>
      <c r="P22" s="3088"/>
      <c r="Q22" s="3246"/>
      <c r="R22" s="714">
        <f>ROUND(S22*10000/B22,0)</f>
        <v>55101</v>
      </c>
      <c r="S22" s="23">
        <f>SUM(S24:S10000)</f>
        <v>407871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5" t="s">
        <v>3217</v>
      </c>
      <c r="B24" s="716">
        <f>'数据-汇总表'!F19</f>
        <v>73762</v>
      </c>
      <c r="C24" s="717">
        <v>1</v>
      </c>
      <c r="D24" s="718"/>
      <c r="E24" s="717">
        <v>1</v>
      </c>
      <c r="F24" s="718"/>
      <c r="G24" s="717">
        <v>1</v>
      </c>
      <c r="H24" s="718"/>
      <c r="I24" s="717">
        <v>1</v>
      </c>
      <c r="J24" s="718"/>
      <c r="K24" s="717">
        <v>1</v>
      </c>
      <c r="L24" s="718"/>
      <c r="M24" s="717">
        <v>1</v>
      </c>
      <c r="N24" s="718"/>
      <c r="O24" s="717">
        <v>1</v>
      </c>
      <c r="P24" s="718" t="s">
        <v>3050</v>
      </c>
      <c r="Q24" s="717">
        <v>1</v>
      </c>
      <c r="R24" s="719">
        <f>'比较法-办公'!B3</f>
        <v>55159</v>
      </c>
      <c r="S24" s="717">
        <f t="shared" ref="S24:S54" si="11">ROUND(R24*B24/10000,0)</f>
        <v>406864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76" t="s">
        <v>3218</v>
      </c>
      <c r="B25" s="58">
        <f>'数据-汇总表'!G19</f>
        <v>260.8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3051</v>
      </c>
      <c r="Q25" s="23">
        <f>(SUMIF($17:$17,P25,$18:$18)-SUMIF($17:$17,$P$24,$18:$18)+100)/100</f>
        <v>0.7</v>
      </c>
      <c r="R25" s="714">
        <f>IF(B25="",0,ROUND($R$24*C25*E25*G25*I25*K25*M25*O25*Q25,0))</f>
        <v>38611</v>
      </c>
      <c r="S25" s="359">
        <f t="shared" si="11"/>
        <v>1007</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0</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0</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0</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0</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0</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0</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0</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0</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0</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0</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0</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0</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0</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0</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0</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41" sqref="D4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1377</v>
      </c>
      <c r="D1" s="1818" t="s">
        <v>3151</v>
      </c>
      <c r="E1" s="1819" t="s">
        <v>1387</v>
      </c>
      <c r="F1" s="1282">
        <f ca="1">J53</f>
        <v>29.950000000000003</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50462</v>
      </c>
      <c r="C2" s="1843" t="s">
        <v>1517</v>
      </c>
      <c r="D2" s="1843"/>
      <c r="E2" s="1844"/>
      <c r="F2" s="1845"/>
      <c r="G2" s="1846"/>
      <c r="H2" s="1838"/>
      <c r="I2" s="1838"/>
      <c r="J2" s="1838"/>
      <c r="K2" s="1839"/>
      <c r="L2" s="1838"/>
      <c r="M2" s="1838"/>
    </row>
    <row r="3" spans="1:37" ht="18" customHeight="1" thickBot="1">
      <c r="A3" s="1847" t="s">
        <v>1518</v>
      </c>
      <c r="B3" s="1848">
        <f ca="1">IF(ISERROR(B2*10000/F43),0,ROUND(B2*10000/F43,0))</f>
        <v>30930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3649</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3644</v>
      </c>
      <c r="D6" s="162" t="s">
        <v>3033</v>
      </c>
      <c r="E6" s="345" t="s">
        <v>1405</v>
      </c>
      <c r="F6" s="346">
        <f ca="1">INDIRECT("'数据-取费表'!u"&amp;$G$1)</f>
        <v>6.8</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16315.1</v>
      </c>
      <c r="G7" s="1849"/>
      <c r="H7" s="347"/>
      <c r="I7" s="3253"/>
      <c r="J7" s="349"/>
      <c r="K7" s="350"/>
      <c r="L7" s="345" t="s">
        <v>1406</v>
      </c>
      <c r="M7" s="346">
        <f ca="1">F7</f>
        <v>16315.1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5</v>
      </c>
      <c r="D10" s="1822" t="s">
        <v>3034</v>
      </c>
      <c r="E10" s="356" t="s">
        <v>1411</v>
      </c>
      <c r="F10" s="1365" t="s">
        <v>3152</v>
      </c>
      <c r="G10" s="1849"/>
      <c r="H10" s="1290" t="s">
        <v>1039</v>
      </c>
      <c r="I10" s="1821" t="s">
        <v>1409</v>
      </c>
      <c r="J10" s="344">
        <f ca="1">ROUND(IF(M10="押一",M6*M8*M7/12*M11,IF(M10="押二",M6*M8*M7/12*2*M11,IF(M10="押三",M6*M8*M7/12*3*M11,J11*M11)))/10000,0)</f>
        <v>0</v>
      </c>
      <c r="K10" s="1822" t="s">
        <v>3035</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9496</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5884</v>
      </c>
      <c r="D14" s="1798" t="s">
        <v>1419</v>
      </c>
      <c r="E14" s="1792"/>
      <c r="F14" s="362"/>
      <c r="G14" s="1849"/>
      <c r="H14" s="1201" t="s">
        <v>1035</v>
      </c>
      <c r="I14" s="345" t="s">
        <v>1420</v>
      </c>
      <c r="J14" s="23">
        <f ca="1">C29</f>
        <v>9496</v>
      </c>
      <c r="K14" s="14"/>
      <c r="L14" s="979"/>
      <c r="M14" s="980"/>
    </row>
    <row r="15" spans="1:37" s="1856" customFormat="1" ht="18" customHeight="1" thickBot="1">
      <c r="A15" s="1201" t="s">
        <v>1036</v>
      </c>
      <c r="B15" s="345" t="s">
        <v>1421</v>
      </c>
      <c r="C15" s="23">
        <f ca="1">ROUND(C14*F15,0)</f>
        <v>177</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222</v>
      </c>
      <c r="K16" s="1336" t="s">
        <v>1426</v>
      </c>
      <c r="L16" s="1337"/>
      <c r="M16" s="1293"/>
    </row>
    <row r="17" spans="1:37" s="1856" customFormat="1" ht="18" customHeight="1">
      <c r="A17" s="1201" t="s">
        <v>1390</v>
      </c>
      <c r="B17" s="345" t="s">
        <v>1427</v>
      </c>
      <c r="C17" s="23">
        <f ca="1">ROUND(F17*(F43+INDIRECT("'数据-取费表'!S"&amp;$G$1))/10000,0)</f>
        <v>338</v>
      </c>
      <c r="D17" s="345" t="s">
        <v>1428</v>
      </c>
      <c r="E17" s="345" t="s">
        <v>1429</v>
      </c>
      <c r="F17" s="25">
        <f>'数据-取费表'!B35</f>
        <v>200</v>
      </c>
      <c r="G17" s="1852"/>
      <c r="H17" s="1201" t="s">
        <v>1035</v>
      </c>
      <c r="I17" s="345" t="s">
        <v>1430</v>
      </c>
      <c r="J17" s="23">
        <f ca="1">ROUND(IF(项目基本情况!B11="自然人",J5*M17,J18+J19+J20),1)</f>
        <v>80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88</v>
      </c>
      <c r="D18" s="345" t="s">
        <v>1422</v>
      </c>
      <c r="E18" s="345" t="s">
        <v>1423</v>
      </c>
      <c r="F18" s="365">
        <f>'数据-取费表'!B36</f>
        <v>1.4999999999999999E-2</v>
      </c>
      <c r="G18" s="1852"/>
      <c r="H18" s="1201" t="s">
        <v>1034</v>
      </c>
      <c r="I18" s="345" t="s">
        <v>1434</v>
      </c>
      <c r="J18" s="23">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6487</v>
      </c>
      <c r="D19" s="138" t="s">
        <v>1437</v>
      </c>
      <c r="E19" s="1816"/>
      <c r="F19" s="25"/>
      <c r="G19" s="1849"/>
      <c r="H19" s="1201" t="s">
        <v>1036</v>
      </c>
      <c r="I19" s="345" t="s">
        <v>1438</v>
      </c>
      <c r="J19" s="23">
        <f ca="1">IF(K19="按租金收入计税",ROUND(J5*M19,2),ROUND(C29*M19*0.7,2))</f>
        <v>79.77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130</v>
      </c>
      <c r="D20" s="367" t="s">
        <v>1441</v>
      </c>
      <c r="E20" s="345" t="s">
        <v>1423</v>
      </c>
      <c r="F20" s="365">
        <f>'数据-取费表'!B37</f>
        <v>0.02</v>
      </c>
      <c r="G20" s="1852"/>
      <c r="H20" s="1201" t="s">
        <v>1389</v>
      </c>
      <c r="I20" s="162" t="s">
        <v>1442</v>
      </c>
      <c r="J20" s="24">
        <f ca="1">ROUND(M20*M21/10000,2)</f>
        <v>0.22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1473.75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ROUND(J14*M22,1)</f>
        <v>142.4</v>
      </c>
      <c r="K22" s="1796"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477</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1796" t="s">
        <v>1455</v>
      </c>
      <c r="L23" s="345" t="s">
        <v>1456</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ROUND(J5*M24,1)</f>
        <v>0</v>
      </c>
      <c r="K24" s="1341" t="s">
        <v>1460</v>
      </c>
      <c r="L24" s="1339" t="s">
        <v>1456</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1816"/>
      <c r="F25" s="25"/>
      <c r="G25" s="1849"/>
      <c r="H25" s="1328" t="s">
        <v>1031</v>
      </c>
      <c r="I25" s="1343" t="s">
        <v>1464</v>
      </c>
      <c r="J25" s="353">
        <f ca="1">J5-J16</f>
        <v>-222</v>
      </c>
      <c r="K25" s="1344" t="s">
        <v>1465</v>
      </c>
      <c r="L25" s="1345"/>
      <c r="M25" s="1346"/>
    </row>
    <row r="26" spans="1:37">
      <c r="A26" s="1201" t="s">
        <v>1034</v>
      </c>
      <c r="B26" s="345" t="s">
        <v>1466</v>
      </c>
      <c r="C26" s="23">
        <f ca="1">ROUND((C19+C20)*F26,0)</f>
        <v>1654</v>
      </c>
      <c r="D26" s="367" t="s">
        <v>1467</v>
      </c>
      <c r="E26" s="356" t="s">
        <v>1468</v>
      </c>
      <c r="F26" s="355">
        <f ca="1">INDIRECT("'数据-取费表'!q"&amp;$G$1)</f>
        <v>0.25</v>
      </c>
      <c r="G26" s="1849"/>
      <c r="H26" s="342" t="s">
        <v>1032</v>
      </c>
      <c r="I26" s="343" t="s">
        <v>1469</v>
      </c>
      <c r="J26" s="344">
        <f ca="1">IF(J5&lt;&gt;0,ROUND(J25*(1-((1+M28)/(1+M26))^M27)/(M26-M28),0),0)</f>
        <v>0</v>
      </c>
      <c r="K26" s="368" t="s">
        <v>1470</v>
      </c>
      <c r="L26" s="345" t="s">
        <v>1471</v>
      </c>
      <c r="M26" s="355">
        <f ca="1">INDIRECT("'数据-取费表'!I"&amp;$G$1)</f>
        <v>0.06</v>
      </c>
    </row>
    <row r="27" spans="1:37" ht="18" customHeight="1">
      <c r="A27" s="1201" t="s">
        <v>1036</v>
      </c>
      <c r="B27" s="345" t="s">
        <v>1472</v>
      </c>
      <c r="C27" s="23">
        <f ca="1">ROUND(F21*F26,4)</f>
        <v>5.0000000000000001E-3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9496</v>
      </c>
      <c r="D29" s="1341"/>
      <c r="E29" s="1339"/>
      <c r="F29" s="1342"/>
      <c r="G29" s="1852"/>
      <c r="H29" s="378" t="s">
        <v>1033</v>
      </c>
      <c r="I29" s="379" t="s">
        <v>1480</v>
      </c>
      <c r="J29" s="380">
        <f ca="1">ROUND(J26/(1+F40)^F41,0)</f>
        <v>0</v>
      </c>
      <c r="K29" s="381" t="s">
        <v>1481</v>
      </c>
      <c r="L29" s="382"/>
      <c r="M29" s="383">
        <f ca="1">INDIRECT("'数据-取费表'!k"&amp;$G$1)</f>
        <v>16315.1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864</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ROUND(IF(项目基本情况!B11="自然人",C5*F31,C32+C33+C34),1)</f>
        <v>629.20000000000005</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191.14</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437.88</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0.22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1473.75</v>
      </c>
      <c r="G35" s="1849"/>
      <c r="H35" s="743"/>
      <c r="I35" s="1858"/>
      <c r="J35" s="1859"/>
      <c r="K35" s="1860"/>
      <c r="L35" s="1857"/>
      <c r="M35" s="1857"/>
    </row>
    <row r="36" spans="1:18" ht="18" customHeight="1">
      <c r="A36" s="1351" t="s">
        <v>1039</v>
      </c>
      <c r="B36" s="345" t="s">
        <v>1450</v>
      </c>
      <c r="C36" s="23">
        <f ca="1">ROUND(C29*F36,1)</f>
        <v>142.4</v>
      </c>
      <c r="D36" s="1796"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19</v>
      </c>
      <c r="D37" s="1796" t="s">
        <v>1455</v>
      </c>
      <c r="E37" s="345" t="s">
        <v>1456</v>
      </c>
      <c r="F37" s="374">
        <f ca="1">INDIRECT("'数据-取费表'!Al"&amp;$G$1)</f>
        <v>2E-3</v>
      </c>
      <c r="G37" s="1849"/>
      <c r="H37" s="1857"/>
      <c r="I37" s="1858"/>
      <c r="J37" s="1859"/>
      <c r="K37" s="749"/>
      <c r="L37" s="1857"/>
      <c r="M37" s="1857"/>
    </row>
    <row r="38" spans="1:18" ht="18" customHeight="1" thickBot="1">
      <c r="A38" s="1338" t="s">
        <v>1393</v>
      </c>
      <c r="B38" s="1339" t="s">
        <v>1440</v>
      </c>
      <c r="C38" s="1340">
        <f ca="1">ROUND(C5*F38,1)</f>
        <v>73</v>
      </c>
      <c r="D38" s="1341" t="s">
        <v>1460</v>
      </c>
      <c r="E38" s="1339" t="s">
        <v>1456</v>
      </c>
      <c r="F38" s="1335">
        <f ca="1">INDIRECT("'数据-取费表'!Am"&amp;$G$1)</f>
        <v>0.02</v>
      </c>
      <c r="G38" s="1849"/>
      <c r="H38" s="1857"/>
      <c r="I38" s="1858"/>
      <c r="J38" s="1859"/>
      <c r="K38" s="1863"/>
      <c r="L38" s="1857"/>
      <c r="M38" s="1857"/>
    </row>
    <row r="39" spans="1:18" ht="24.6" customHeight="1" thickTop="1">
      <c r="A39" s="1328" t="s">
        <v>1031</v>
      </c>
      <c r="B39" s="1343" t="s">
        <v>1484</v>
      </c>
      <c r="C39" s="353">
        <f ca="1">C5-C30</f>
        <v>2785</v>
      </c>
      <c r="D39" s="1344" t="s">
        <v>1485</v>
      </c>
      <c r="E39" s="1345"/>
      <c r="F39" s="1346"/>
      <c r="G39" s="1849"/>
      <c r="H39" s="1857"/>
      <c r="I39" s="1858"/>
      <c r="J39" s="1859"/>
      <c r="K39" s="1863"/>
      <c r="L39" s="1857"/>
      <c r="M39" s="1857"/>
    </row>
    <row r="40" spans="1:18" ht="18" customHeight="1">
      <c r="A40" s="342" t="s">
        <v>1032</v>
      </c>
      <c r="B40" s="343" t="s">
        <v>1486</v>
      </c>
      <c r="C40" s="344">
        <f ca="1">ROUND(C39*(1-((1+F42)/(1+F40))^F41)/(F40-F42),0)</f>
        <v>50462</v>
      </c>
      <c r="D40" s="368" t="s">
        <v>1470</v>
      </c>
      <c r="E40" s="345" t="s">
        <v>1471</v>
      </c>
      <c r="F40" s="355">
        <f ca="1">INDIRECT("'数据-取费表'!I"&amp;$G$1)</f>
        <v>0.06</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29.950000000000003</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30930</v>
      </c>
      <c r="D43" s="381" t="s">
        <v>1489</v>
      </c>
      <c r="E43" s="382" t="s">
        <v>1490</v>
      </c>
      <c r="F43" s="383">
        <f ca="1">INDIRECT("'数据-取费表'!k"&amp;$G$1)</f>
        <v>16315.1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-63654</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40</v>
      </c>
      <c r="M47" s="1836" t="str">
        <f>IF(ISNUMBER(FIND("住宅",C1)),"住宅","非住宅")</f>
        <v>非住宅</v>
      </c>
      <c r="O47" s="1882" t="s">
        <v>1040</v>
      </c>
      <c r="P47" s="1883" t="s">
        <v>1529</v>
      </c>
      <c r="Q47" s="1884">
        <f ca="1">C40+J29</f>
        <v>50462</v>
      </c>
      <c r="R47" s="1884" t="s">
        <v>1530</v>
      </c>
    </row>
    <row r="48" spans="1:18" s="1840" customFormat="1" ht="40.200000000000003" thickBot="1">
      <c r="A48" s="1359" t="s">
        <v>1135</v>
      </c>
      <c r="B48" s="343" t="s">
        <v>1401</v>
      </c>
      <c r="C48" s="1815">
        <f ca="1">C49+C53+C55</f>
        <v>0</v>
      </c>
      <c r="D48" s="1361"/>
      <c r="E48" s="1362"/>
      <c r="F48" s="1181"/>
      <c r="G48" s="790"/>
      <c r="H48" s="791"/>
      <c r="I48" s="1885" t="s">
        <v>1531</v>
      </c>
      <c r="J48" s="1886" t="s">
        <v>3154</v>
      </c>
      <c r="K48" s="1887" t="s">
        <v>1532</v>
      </c>
      <c r="L48" s="1888">
        <f ca="1">INDIRECT("'数据-取费表'!f"&amp;$G$1)</f>
        <v>32.590000000000003</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3036</v>
      </c>
      <c r="E49" s="1828" t="s">
        <v>1492</v>
      </c>
      <c r="F49" s="1280"/>
      <c r="G49" s="1889"/>
      <c r="H49" s="791"/>
      <c r="I49" s="1885" t="s">
        <v>1535</v>
      </c>
      <c r="J49" s="1890"/>
      <c r="K49" s="1887" t="s">
        <v>1536</v>
      </c>
      <c r="L49" s="1891"/>
      <c r="O49" s="1892" t="s">
        <v>1042</v>
      </c>
      <c r="P49" s="1883" t="s">
        <v>1537</v>
      </c>
      <c r="Q49" s="1884">
        <f ca="1">C29</f>
        <v>9496</v>
      </c>
      <c r="R49" s="1884" t="s">
        <v>1530</v>
      </c>
    </row>
    <row r="50" spans="1:18" s="1840" customFormat="1" ht="13.8" thickBot="1">
      <c r="A50" s="1195"/>
      <c r="B50" s="1198"/>
      <c r="C50" s="1367"/>
      <c r="D50" s="1172"/>
      <c r="E50" s="1276" t="s">
        <v>1406</v>
      </c>
      <c r="F50" s="1277">
        <f ca="1">F7</f>
        <v>16315.1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29680</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29.950000000000003</v>
      </c>
      <c r="R52" s="1884" t="s">
        <v>1547</v>
      </c>
    </row>
    <row r="53" spans="1:18" s="1840" customFormat="1" ht="36.6" thickBot="1">
      <c r="A53" s="1404" t="s">
        <v>1137</v>
      </c>
      <c r="B53" s="1829" t="s">
        <v>1409</v>
      </c>
      <c r="C53" s="359">
        <f ca="1">ROUND(IF(F53="押一",F49*F51*F50/12*F11,IF(F53="押二",F49*F51*F50/12*2*F11,IF(F53="押三",F49*F51*F50/12*3*F11,C54*F11)))/10000,0)</f>
        <v>0</v>
      </c>
      <c r="D53" s="1822" t="s">
        <v>3034</v>
      </c>
      <c r="E53" s="356" t="s">
        <v>1411</v>
      </c>
      <c r="F53" s="1365"/>
      <c r="I53" s="1903" t="s">
        <v>1548</v>
      </c>
      <c r="J53" s="1904">
        <f ca="1">IF(M47="住宅",J51,IF(D1="——",MIN(J51,L48),IF(D1="在建（套用方法）",MIN(J51,L48-'数据-取费表'!B24),IF(D1="土地（套用方法）",MIN(J51,L48-'数据-取费表'!B20)))))</f>
        <v>29.950000000000003</v>
      </c>
      <c r="K53" s="3250" t="s">
        <v>1549</v>
      </c>
      <c r="L53" s="3251"/>
      <c r="O53" s="1882" t="s">
        <v>1046</v>
      </c>
      <c r="P53" s="1883" t="s">
        <v>1550</v>
      </c>
      <c r="Q53" s="1884">
        <f ca="1">Q47+Q48</f>
        <v>50462</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9496</v>
      </c>
      <c r="D56" s="1912"/>
      <c r="E56" s="1913"/>
      <c r="F56" s="1905"/>
      <c r="I56" s="1914" t="s">
        <v>1555</v>
      </c>
      <c r="J56" s="1915" t="s">
        <v>3049</v>
      </c>
      <c r="K56" s="1885" t="s">
        <v>1556</v>
      </c>
      <c r="L56" s="1888" t="str">
        <f ca="1">IF(L48&lt;J51,"——",L48-J53)</f>
        <v>——</v>
      </c>
      <c r="O56" s="1882" t="s">
        <v>1040</v>
      </c>
      <c r="P56" s="1883" t="s">
        <v>1529</v>
      </c>
      <c r="Q56" s="1884">
        <f ca="1">C40+J29</f>
        <v>50462</v>
      </c>
      <c r="R56" s="1884" t="s">
        <v>1530</v>
      </c>
    </row>
    <row r="57" spans="1:18" s="1840" customFormat="1" ht="24.6" thickBot="1">
      <c r="A57" s="1916"/>
      <c r="B57" s="1169" t="s">
        <v>1479</v>
      </c>
      <c r="C57" s="280">
        <f ca="1">C29</f>
        <v>9496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959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797.9</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1494</v>
      </c>
      <c r="C61" s="23">
        <f ca="1">IF(项目基本情况!B11="自然人","——",IF(D61="按租金收入计税",ROUND(C48*F61,2),IF(D61="按房产原值计税",ROUND(C57*F61*0.7,2),INDIRECT("'数据-取费表'!Aj"&amp;$G$1))))</f>
        <v>797.66</v>
      </c>
      <c r="D61" s="1826" t="s">
        <v>1439</v>
      </c>
      <c r="E61" s="1169" t="s">
        <v>1495</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1497</v>
      </c>
      <c r="C62" s="24">
        <f ca="1">IF(项目基本情况!B11="自然人","——",ROUND(F62*F63/10000,2))</f>
        <v>0.22</v>
      </c>
      <c r="D62" s="1184" t="s">
        <v>1498</v>
      </c>
      <c r="E62" s="1169" t="s">
        <v>1499</v>
      </c>
      <c r="F62" s="369">
        <f t="shared" si="0"/>
        <v>1.5</v>
      </c>
      <c r="I62" s="1927" t="s">
        <v>1571</v>
      </c>
      <c r="J62" s="1928" t="s">
        <v>1572</v>
      </c>
      <c r="K62" s="1928" t="s">
        <v>1573</v>
      </c>
      <c r="L62" s="1928" t="s">
        <v>1574</v>
      </c>
      <c r="M62" s="1929" t="s">
        <v>1575</v>
      </c>
      <c r="O62" s="1882" t="s">
        <v>1046</v>
      </c>
      <c r="P62" s="1883" t="s">
        <v>1576</v>
      </c>
      <c r="Q62" s="1884">
        <f ca="1">Q56+Q57</f>
        <v>50462</v>
      </c>
      <c r="R62" s="1884" t="s">
        <v>1047</v>
      </c>
    </row>
    <row r="63" spans="1:18" s="1840" customFormat="1" ht="13.8" thickBot="1">
      <c r="A63" s="370"/>
      <c r="B63" s="1175"/>
      <c r="C63" s="28"/>
      <c r="D63" s="1185"/>
      <c r="E63" s="1169" t="s">
        <v>1500</v>
      </c>
      <c r="F63" s="346">
        <f t="shared" ca="1" si="0"/>
        <v>1473.75</v>
      </c>
      <c r="I63" s="1927" t="s">
        <v>1577</v>
      </c>
      <c r="J63" s="1928">
        <v>70</v>
      </c>
      <c r="K63" s="1928">
        <v>50</v>
      </c>
      <c r="L63" s="1928">
        <v>80</v>
      </c>
      <c r="M63" s="1930">
        <v>0.02</v>
      </c>
      <c r="O63" s="1867" t="s">
        <v>1578</v>
      </c>
      <c r="P63" s="1837"/>
      <c r="Q63" s="1837"/>
      <c r="R63" s="1837"/>
    </row>
    <row r="64" spans="1:18" s="1840" customFormat="1" ht="13.8" thickBot="1">
      <c r="A64" s="1201" t="s">
        <v>1501</v>
      </c>
      <c r="B64" s="1169" t="s">
        <v>1502</v>
      </c>
      <c r="C64" s="23">
        <f ca="1">ROUND(C57*F64,1)</f>
        <v>142.4</v>
      </c>
      <c r="D64" s="1183" t="s">
        <v>1503</v>
      </c>
      <c r="E64" s="1169"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19</v>
      </c>
      <c r="D65" s="1183" t="s">
        <v>1455</v>
      </c>
      <c r="E65" s="1169" t="s">
        <v>1456</v>
      </c>
      <c r="F65" s="374">
        <f t="shared" ca="1" si="0"/>
        <v>2E-3</v>
      </c>
      <c r="I65" s="1927" t="s">
        <v>1580</v>
      </c>
      <c r="J65" s="1928">
        <v>40</v>
      </c>
      <c r="K65" s="1928">
        <v>30</v>
      </c>
      <c r="L65" s="1928">
        <v>50</v>
      </c>
      <c r="M65" s="1930">
        <v>0.02</v>
      </c>
      <c r="O65" s="1882" t="s">
        <v>1040</v>
      </c>
      <c r="P65" s="1883" t="s">
        <v>1581</v>
      </c>
      <c r="Q65" s="1884">
        <f ca="1">C40+J29</f>
        <v>50462</v>
      </c>
      <c r="R65" s="1884" t="s">
        <v>1530</v>
      </c>
    </row>
    <row r="66" spans="1:18" s="1840" customFormat="1" ht="16.2" thickBot="1">
      <c r="A66" s="1201" t="s">
        <v>1505</v>
      </c>
      <c r="B66" s="1169" t="s">
        <v>1440</v>
      </c>
      <c r="C66" s="23">
        <f ca="1">ROUND(C48*F66,1)</f>
        <v>0</v>
      </c>
      <c r="D66" s="1183" t="s">
        <v>1506</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-959</v>
      </c>
      <c r="D67" s="1182" t="s">
        <v>1465</v>
      </c>
      <c r="E67" s="1187"/>
      <c r="F67" s="1188"/>
      <c r="O67" s="1892" t="s">
        <v>1042</v>
      </c>
      <c r="P67" s="1883" t="s">
        <v>1563</v>
      </c>
      <c r="Q67" s="1931">
        <f ca="1">L51</f>
        <v>29680</v>
      </c>
      <c r="R67" s="1884" t="s">
        <v>1583</v>
      </c>
    </row>
    <row r="68" spans="1:18" s="1840" customFormat="1" ht="16.2" thickBot="1">
      <c r="A68" s="1166" t="s">
        <v>1032</v>
      </c>
      <c r="B68" s="1167" t="s">
        <v>1486</v>
      </c>
      <c r="C68" s="344">
        <f ca="1">ROUND(C67*(1-((1+F70)/(1+F68))^F69)/(F68-F70),0)</f>
        <v>-13192</v>
      </c>
      <c r="D68" s="1184" t="s">
        <v>1470</v>
      </c>
      <c r="E68" s="1169" t="s">
        <v>1471</v>
      </c>
      <c r="F68" s="355">
        <f ca="1">F40</f>
        <v>0.06</v>
      </c>
      <c r="O68" s="1892" t="s">
        <v>1043</v>
      </c>
      <c r="P68" s="1932" t="s">
        <v>1584</v>
      </c>
      <c r="Q68" s="1884">
        <f ca="1">ROUND(Q69-Q70*Q71,0)</f>
        <v>1978</v>
      </c>
      <c r="R68" s="1884" t="s">
        <v>1051</v>
      </c>
    </row>
    <row r="69" spans="1:18" s="1840" customFormat="1" ht="13.8" thickBot="1">
      <c r="A69" s="1170"/>
      <c r="B69" s="1171"/>
      <c r="C69" s="349"/>
      <c r="D69" s="1189" t="s">
        <v>1474</v>
      </c>
      <c r="E69" s="1169" t="s">
        <v>1475</v>
      </c>
      <c r="F69" s="377">
        <f ca="1">F41</f>
        <v>29.950000000000003</v>
      </c>
      <c r="O69" s="1892" t="s">
        <v>1048</v>
      </c>
      <c r="P69" s="1932" t="s">
        <v>1585</v>
      </c>
      <c r="Q69" s="1884">
        <f ca="1">C39</f>
        <v>2785</v>
      </c>
      <c r="R69" s="1884" t="s">
        <v>1530</v>
      </c>
    </row>
    <row r="70" spans="1:18" s="1840" customFormat="1" ht="13.8" thickBot="1">
      <c r="A70" s="1173"/>
      <c r="B70" s="1174"/>
      <c r="C70" s="353"/>
      <c r="D70" s="1185"/>
      <c r="E70" s="1169" t="s">
        <v>1478</v>
      </c>
      <c r="F70" s="1274"/>
      <c r="O70" s="1892" t="s">
        <v>1049</v>
      </c>
      <c r="P70" s="1932" t="s">
        <v>1586</v>
      </c>
      <c r="Q70" s="1884">
        <f ca="1">C13</f>
        <v>9496</v>
      </c>
      <c r="R70" s="1884" t="s">
        <v>1530</v>
      </c>
    </row>
    <row r="71" spans="1:18" s="1840" customFormat="1" ht="13.8" thickBot="1">
      <c r="A71" s="1190" t="s">
        <v>1033</v>
      </c>
      <c r="B71" s="1191" t="s">
        <v>1488</v>
      </c>
      <c r="C71" s="380">
        <f ca="1">ROUND(C68*10000/F71,0)</f>
        <v>-8086</v>
      </c>
      <c r="D71" s="1192" t="s">
        <v>1489</v>
      </c>
      <c r="E71" s="1193" t="s">
        <v>1490</v>
      </c>
      <c r="F71" s="383">
        <f ca="1">F43</f>
        <v>16315.1</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807</v>
      </c>
      <c r="D75" s="1840"/>
      <c r="E75" s="1840"/>
      <c r="F75" s="1840"/>
      <c r="K75" s="1866"/>
      <c r="L75" s="1840"/>
      <c r="O75" s="1882" t="s">
        <v>1046</v>
      </c>
      <c r="P75" s="1883" t="s">
        <v>1550</v>
      </c>
      <c r="Q75" s="1884">
        <f ca="1">Q65+Q66</f>
        <v>50462</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0.71</v>
      </c>
    </row>
    <row r="80" spans="1:18">
      <c r="B80" s="384" t="s">
        <v>1512</v>
      </c>
      <c r="C80" s="316">
        <f ca="1">ROUND(C75/C39,3)</f>
        <v>0.28999999999999998</v>
      </c>
    </row>
    <row r="81" spans="2:3">
      <c r="B81" s="312" t="s">
        <v>1513</v>
      </c>
      <c r="C81" s="280"/>
    </row>
    <row r="82" spans="2:3">
      <c r="B82" s="315" t="s">
        <v>1514</v>
      </c>
      <c r="C82" s="317">
        <f ca="1">1-C83</f>
        <v>0.81200000000000006</v>
      </c>
    </row>
    <row r="83" spans="2:3">
      <c r="B83" s="315" t="s">
        <v>1515</v>
      </c>
      <c r="C83" s="316">
        <f ca="1">ROUND(C13/C40,3)</f>
        <v>0.188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c r="D1" s="1818"/>
      <c r="E1" s="1819" t="s">
        <v>1387</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1">
        <f ca="1">C6+C10+C12</f>
        <v>0</v>
      </c>
      <c r="D5" s="1820" t="s">
        <v>1602</v>
      </c>
      <c r="E5" s="1292"/>
      <c r="F5" s="1293"/>
      <c r="G5" s="1849"/>
      <c r="H5" s="342">
        <v>1</v>
      </c>
      <c r="I5" s="343" t="s">
        <v>1601</v>
      </c>
      <c r="J5" s="1291">
        <f ca="1">J6+J10+J12</f>
        <v>0</v>
      </c>
      <c r="K5" s="1820" t="s">
        <v>1602</v>
      </c>
      <c r="L5" s="1292"/>
      <c r="M5" s="1293"/>
    </row>
    <row r="6" spans="1:37" ht="18" customHeight="1">
      <c r="A6" s="1290" t="s">
        <v>1035</v>
      </c>
      <c r="B6" s="3252" t="s">
        <v>1403</v>
      </c>
      <c r="C6" s="1295">
        <f ca="1">ROUND(F6*F8*F7*(1-F9),0)</f>
        <v>0</v>
      </c>
      <c r="D6" s="162" t="s">
        <v>3028</v>
      </c>
      <c r="E6" s="345" t="s">
        <v>1405</v>
      </c>
      <c r="F6" s="346">
        <f ca="1">INDIRECT("'数据-取费表'!u"&amp;$G$1)</f>
        <v>0</v>
      </c>
      <c r="G6" s="1849"/>
      <c r="H6" s="1290" t="s">
        <v>1035</v>
      </c>
      <c r="I6" s="3252" t="s">
        <v>1403</v>
      </c>
      <c r="J6" s="344">
        <f ca="1">ROUND(M6*M8*M7*(1-M9),0)</f>
        <v>0</v>
      </c>
      <c r="K6" s="1832" t="s">
        <v>3031</v>
      </c>
      <c r="L6" s="345" t="s">
        <v>1405</v>
      </c>
      <c r="M6" s="346">
        <f ca="1">INDIRECT("'数据-取费表'!z"&amp;$G$1)</f>
        <v>0</v>
      </c>
    </row>
    <row r="7" spans="1:37" ht="18" customHeight="1">
      <c r="A7" s="1294"/>
      <c r="B7" s="3253"/>
      <c r="C7" s="1296"/>
      <c r="D7" s="350"/>
      <c r="E7" s="1297" t="s">
        <v>1406</v>
      </c>
      <c r="F7" s="346">
        <f ca="1">IF(INDIRECT("'数据-取费表'!ah"&amp;$G$1)="",INDIRECT("'数据-取费表'!k"&amp;$G$1),INDIRECT("'数据-取费表'!ah"&amp;$G$1))</f>
        <v>0</v>
      </c>
      <c r="G7" s="1849"/>
      <c r="H7" s="347"/>
      <c r="I7" s="3253"/>
      <c r="J7" s="349"/>
      <c r="K7" s="350"/>
      <c r="L7" s="345" t="s">
        <v>1406</v>
      </c>
      <c r="M7" s="346">
        <f ca="1">F7</f>
        <v>0</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ROUND(IF(F10="押一",F6*F8*F7/12*F11,IF(F10="押二",F6*F8*F7/12*2*F11,IF(F10="押三",F6*F8*F7/12*3*F11,C11*F11))),0)</f>
        <v>0</v>
      </c>
      <c r="D10" s="1822" t="s">
        <v>3029</v>
      </c>
      <c r="E10" s="356" t="s">
        <v>1411</v>
      </c>
      <c r="F10" s="1365"/>
      <c r="G10" s="1849"/>
      <c r="H10" s="1290" t="s">
        <v>1039</v>
      </c>
      <c r="I10" s="1821" t="s">
        <v>1409</v>
      </c>
      <c r="J10" s="344">
        <f ca="1">ROUND(IF(M10="押一",M6*M8*M7/12*M11,IF(M10="押二",M6*M8*M7/12*2*M11,IF(M10="押三",M6*M8*M7/12*3*M11,J11*M11))),0)</f>
        <v>0</v>
      </c>
      <c r="K10" s="1833" t="s">
        <v>3030</v>
      </c>
      <c r="L10" s="356" t="s">
        <v>1411</v>
      </c>
      <c r="M10" s="1365"/>
    </row>
    <row r="11" spans="1:37" ht="18" customHeight="1">
      <c r="A11" s="351"/>
      <c r="B11" s="1823" t="s">
        <v>1603</v>
      </c>
      <c r="C11" s="1178"/>
      <c r="D11" s="350"/>
      <c r="E11" s="356" t="s">
        <v>1413</v>
      </c>
      <c r="F11" s="357">
        <f ca="1">'数据-取费表'!B39</f>
        <v>1.4999999999999999E-2</v>
      </c>
      <c r="G11" s="1849"/>
      <c r="H11" s="1298"/>
      <c r="I11" s="1823" t="s">
        <v>1604</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0</v>
      </c>
      <c r="D13" s="1330" t="s">
        <v>1416</v>
      </c>
      <c r="E13" s="1330" t="s">
        <v>1417</v>
      </c>
      <c r="F13" s="1331">
        <f ca="1">INDIRECT("'数据-取费表'!y"&amp;$G$1)</f>
        <v>0</v>
      </c>
      <c r="G13" s="1849"/>
      <c r="H13" s="1328">
        <v>2</v>
      </c>
      <c r="I13" s="1329" t="s">
        <v>1415</v>
      </c>
      <c r="J13" s="1289">
        <f ca="1">ROUND(J14*J15,0)</f>
        <v>0</v>
      </c>
      <c r="K13" s="1336" t="s">
        <v>1416</v>
      </c>
      <c r="L13" s="1850"/>
      <c r="M13" s="1851"/>
    </row>
    <row r="14" spans="1:37" ht="18" customHeight="1">
      <c r="A14" s="1201" t="s">
        <v>1034</v>
      </c>
      <c r="B14" s="345" t="s">
        <v>1418</v>
      </c>
      <c r="C14" s="361">
        <f ca="1">ROUND(INDIRECT("'数据-取费表'!l"&amp;$G$1)*F43+'数据-取费表'!L14*INDIRECT("'数据-取费表'!S"&amp;$G$1),0)</f>
        <v>0</v>
      </c>
      <c r="D14" s="1798" t="s">
        <v>1419</v>
      </c>
      <c r="E14" s="1792"/>
      <c r="F14" s="362"/>
      <c r="G14" s="1849"/>
      <c r="H14" s="1201" t="s">
        <v>1035</v>
      </c>
      <c r="I14" s="345" t="s">
        <v>1420</v>
      </c>
      <c r="J14" s="23">
        <f ca="1">C29</f>
        <v>0</v>
      </c>
      <c r="K14" s="14"/>
      <c r="L14" s="979"/>
      <c r="M14" s="980"/>
    </row>
    <row r="15" spans="1:37" s="1856" customFormat="1" ht="18" customHeight="1" thickBot="1">
      <c r="A15" s="1201" t="s">
        <v>1036</v>
      </c>
      <c r="B15" s="345" t="s">
        <v>1421</v>
      </c>
      <c r="C15" s="23">
        <f ca="1">ROUND(C14*F15,0)</f>
        <v>0</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ROUND(INDIRECT("'数据-取费表'!l"&amp;$G$1)*F43*F16,0)</f>
        <v>0</v>
      </c>
      <c r="D16" s="345" t="s">
        <v>1422</v>
      </c>
      <c r="E16" s="345" t="s">
        <v>1423</v>
      </c>
      <c r="F16" s="365">
        <f ca="1">IF(INDIRECT("'数据-取费表'!c"&amp;$G$1)="住宅",'数据-取费表'!B34,0)</f>
        <v>0</v>
      </c>
      <c r="G16" s="1849"/>
      <c r="H16" s="1328" t="s">
        <v>1030</v>
      </c>
      <c r="I16" s="1329" t="s">
        <v>1425</v>
      </c>
      <c r="J16" s="353">
        <f ca="1">ROUND(J17+J22+J23+J24,0)</f>
        <v>0</v>
      </c>
      <c r="K16" s="1336" t="s">
        <v>1426</v>
      </c>
      <c r="L16" s="1337"/>
      <c r="M16" s="1293"/>
    </row>
    <row r="17" spans="1:37" s="1856" customFormat="1" ht="18" customHeight="1">
      <c r="A17" s="1201" t="s">
        <v>1390</v>
      </c>
      <c r="B17" s="345" t="s">
        <v>1427</v>
      </c>
      <c r="C17" s="23">
        <f ca="1">ROUND(F17*(F43+INDIRECT("'数据-取费表'!S"&amp;$G$1)),0)</f>
        <v>0</v>
      </c>
      <c r="D17" s="345" t="s">
        <v>1428</v>
      </c>
      <c r="E17" s="345" t="s">
        <v>1429</v>
      </c>
      <c r="F17" s="25">
        <f>'数据-取费表'!B35</f>
        <v>200</v>
      </c>
      <c r="G17" s="1852"/>
      <c r="H17" s="1201" t="s">
        <v>1035</v>
      </c>
      <c r="I17" s="345" t="s">
        <v>1430</v>
      </c>
      <c r="J17" s="23">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0</v>
      </c>
      <c r="D18" s="345" t="s">
        <v>1422</v>
      </c>
      <c r="E18" s="345" t="s">
        <v>1423</v>
      </c>
      <c r="F18" s="365">
        <f>'数据-取费表'!B36</f>
        <v>1.4999999999999999E-2</v>
      </c>
      <c r="G18" s="1852"/>
      <c r="H18" s="1201" t="s">
        <v>1034</v>
      </c>
      <c r="I18" s="345" t="s">
        <v>1434</v>
      </c>
      <c r="J18" s="23">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0</v>
      </c>
      <c r="D19" s="138" t="s">
        <v>1437</v>
      </c>
      <c r="E19" s="1816"/>
      <c r="F19" s="25"/>
      <c r="G19" s="1849"/>
      <c r="H19" s="1201" t="s">
        <v>1036</v>
      </c>
      <c r="I19" s="345" t="s">
        <v>1438</v>
      </c>
      <c r="J19" s="23">
        <f ca="1">IF(K19="按租金收入计税",ROUND(J5*M19,0),ROUND(C29*M19*0.7,0))</f>
        <v>0</v>
      </c>
      <c r="K19" s="1826" t="s">
        <v>1439</v>
      </c>
      <c r="L19" s="345" t="s">
        <v>1423</v>
      </c>
      <c r="M19" s="365">
        <f>IF(K19="按租金收入计税",'数据-取费表'!B51,'数据-取费表'!B50)</f>
        <v>1.2E-2</v>
      </c>
    </row>
    <row r="20" spans="1:37" s="1856" customFormat="1" ht="18" customHeight="1">
      <c r="A20" s="1201" t="s">
        <v>1039</v>
      </c>
      <c r="B20" s="345" t="s">
        <v>1440</v>
      </c>
      <c r="C20" s="23">
        <f ca="1">ROUND(C19*F20,0)</f>
        <v>0</v>
      </c>
      <c r="D20" s="367" t="s">
        <v>1441</v>
      </c>
      <c r="E20" s="345" t="s">
        <v>1423</v>
      </c>
      <c r="F20" s="365">
        <f>'数据-取费表'!B37</f>
        <v>0.02</v>
      </c>
      <c r="G20" s="1852"/>
      <c r="H20" s="1201" t="s">
        <v>1389</v>
      </c>
      <c r="I20" s="162" t="s">
        <v>1442</v>
      </c>
      <c r="J20" s="24">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v>
      </c>
      <c r="D21" s="367" t="s">
        <v>1446</v>
      </c>
      <c r="E21" s="345" t="s">
        <v>1447</v>
      </c>
      <c r="F21" s="365">
        <f>'数据-取费表'!B38</f>
        <v>0.02</v>
      </c>
      <c r="G21" s="1852"/>
      <c r="H21" s="370"/>
      <c r="I21" s="354"/>
      <c r="J21" s="28"/>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1816"/>
      <c r="F22" s="25"/>
      <c r="G22" s="1849"/>
      <c r="H22" s="1201" t="s">
        <v>1039</v>
      </c>
      <c r="I22" s="345" t="s">
        <v>1450</v>
      </c>
      <c r="J22" s="23">
        <f ca="1">ROUND(J14*M22,0)</f>
        <v>0</v>
      </c>
      <c r="K22" s="1796" t="s">
        <v>1451</v>
      </c>
      <c r="L22" s="345" t="s">
        <v>1423</v>
      </c>
      <c r="M22" s="372">
        <f ca="1">INDIRECT("'数据-取费表'!Ak"&amp;$G$1)</f>
        <v>0</v>
      </c>
    </row>
    <row r="23" spans="1:37" s="1856" customFormat="1" ht="18" customHeight="1">
      <c r="A23" s="1201" t="s">
        <v>1034</v>
      </c>
      <c r="B23" s="345" t="s">
        <v>1452</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1393</v>
      </c>
      <c r="I24" s="1339" t="s">
        <v>1440</v>
      </c>
      <c r="J24" s="1340">
        <f ca="1">ROUND(J5*M24,0)</f>
        <v>0</v>
      </c>
      <c r="K24" s="1341" t="s">
        <v>1460</v>
      </c>
      <c r="L24" s="1339" t="s">
        <v>1456</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5" t="s">
        <v>1462</v>
      </c>
      <c r="C25" s="23"/>
      <c r="D25" s="138" t="s">
        <v>1463</v>
      </c>
      <c r="E25" s="1816"/>
      <c r="F25" s="25"/>
      <c r="G25" s="1849"/>
      <c r="H25" s="1328" t="s">
        <v>1031</v>
      </c>
      <c r="I25" s="1343" t="s">
        <v>1464</v>
      </c>
      <c r="J25" s="353">
        <f ca="1">J5-J16</f>
        <v>0</v>
      </c>
      <c r="K25" s="1344" t="s">
        <v>1465</v>
      </c>
      <c r="L25" s="1345"/>
      <c r="M25" s="1346"/>
    </row>
    <row r="26" spans="1:37" ht="18" customHeight="1">
      <c r="A26" s="1201" t="s">
        <v>1034</v>
      </c>
      <c r="B26" s="345" t="s">
        <v>1466</v>
      </c>
      <c r="C26" s="23">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201" t="s">
        <v>1036</v>
      </c>
      <c r="B27" s="345" t="s">
        <v>1472</v>
      </c>
      <c r="C27" s="23">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0</v>
      </c>
      <c r="D29" s="1341"/>
      <c r="E29" s="1339"/>
      <c r="F29" s="1342"/>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0</v>
      </c>
      <c r="D30" s="1336" t="s">
        <v>1426</v>
      </c>
      <c r="E30" s="1337"/>
      <c r="F30" s="1293"/>
      <c r="G30" s="1849"/>
      <c r="H30" s="743"/>
      <c r="I30" s="744"/>
      <c r="J30" s="745"/>
      <c r="K30" s="746"/>
      <c r="L30" s="747"/>
      <c r="M30" s="748"/>
    </row>
    <row r="31" spans="1:37" ht="18" customHeight="1">
      <c r="A31" s="1201" t="s">
        <v>1035</v>
      </c>
      <c r="B31" s="345" t="s">
        <v>1430</v>
      </c>
      <c r="C31" s="23">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0</v>
      </c>
      <c r="G35" s="1849"/>
      <c r="H35" s="743"/>
      <c r="I35" s="1858"/>
      <c r="J35" s="1859"/>
      <c r="K35" s="1860"/>
      <c r="L35" s="1857"/>
      <c r="M35" s="1857"/>
    </row>
    <row r="36" spans="1:18" ht="18" customHeight="1">
      <c r="A36" s="1351" t="s">
        <v>1039</v>
      </c>
      <c r="B36" s="345" t="s">
        <v>1450</v>
      </c>
      <c r="C36" s="23">
        <f ca="1">ROUND(C29*F36,0)</f>
        <v>0</v>
      </c>
      <c r="D36" s="1796" t="s">
        <v>1483</v>
      </c>
      <c r="E36" s="345" t="s">
        <v>1423</v>
      </c>
      <c r="F36" s="372">
        <f ca="1">INDIRECT("'数据-取费表'!Ak"&amp;$G$1)</f>
        <v>0</v>
      </c>
      <c r="G36" s="1849"/>
      <c r="H36" s="1857"/>
      <c r="I36" s="1858"/>
      <c r="J36" s="1859"/>
      <c r="K36" s="749"/>
      <c r="L36" s="1857"/>
      <c r="M36" s="1857"/>
    </row>
    <row r="37" spans="1:18" ht="18" customHeight="1">
      <c r="A37" s="1201" t="s">
        <v>1075</v>
      </c>
      <c r="B37" s="345" t="s">
        <v>1454</v>
      </c>
      <c r="C37" s="23">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8" t="s">
        <v>1393</v>
      </c>
      <c r="B38" s="1339" t="s">
        <v>1440</v>
      </c>
      <c r="C38" s="1340">
        <f ca="1">ROUND(C5*F38,1)</f>
        <v>0</v>
      </c>
      <c r="D38" s="1341" t="s">
        <v>1460</v>
      </c>
      <c r="E38" s="1339" t="s">
        <v>1456</v>
      </c>
      <c r="F38" s="1335">
        <f ca="1">INDIRECT("'数据-取费表'!Am"&amp;$G$1)</f>
        <v>0</v>
      </c>
      <c r="G38" s="1849"/>
      <c r="H38" s="1857"/>
      <c r="I38" s="1858"/>
      <c r="J38" s="1859"/>
      <c r="K38" s="1863"/>
      <c r="L38" s="1857"/>
      <c r="M38" s="1857"/>
    </row>
    <row r="39" spans="1:18" ht="24.6" customHeight="1" thickTop="1">
      <c r="A39" s="1328" t="s">
        <v>1031</v>
      </c>
      <c r="B39" s="1343" t="s">
        <v>1484</v>
      </c>
      <c r="C39" s="353">
        <f ca="1">C5-C30</f>
        <v>0</v>
      </c>
      <c r="D39" s="1344" t="s">
        <v>1485</v>
      </c>
      <c r="E39" s="1345"/>
      <c r="F39" s="1346"/>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8"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8" thickBot="1">
      <c r="A47" s="1165" t="s">
        <v>1396</v>
      </c>
      <c r="B47" s="1197" t="s">
        <v>1397</v>
      </c>
      <c r="C47" s="1197" t="s">
        <v>1398</v>
      </c>
      <c r="D47" s="1197" t="s">
        <v>1399</v>
      </c>
      <c r="E47" s="1278" t="s">
        <v>1400</v>
      </c>
      <c r="F47" s="1279"/>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40.200000000000003" thickBot="1">
      <c r="A48" s="1359" t="s">
        <v>1135</v>
      </c>
      <c r="B48" s="343" t="s">
        <v>1401</v>
      </c>
      <c r="C48" s="1815">
        <f ca="1">C49+C53+C55</f>
        <v>0</v>
      </c>
      <c r="D48" s="1361"/>
      <c r="E48" s="1362"/>
      <c r="F48" s="1181"/>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8" thickBot="1">
      <c r="A49" s="1194" t="s">
        <v>1136</v>
      </c>
      <c r="B49" s="1827" t="s">
        <v>1491</v>
      </c>
      <c r="C49" s="1363">
        <f ca="1">ROUND(F49*F51*F50*(1-F52),0)</f>
        <v>0</v>
      </c>
      <c r="D49" s="1275" t="s">
        <v>1404</v>
      </c>
      <c r="E49" s="1828" t="s">
        <v>1492</v>
      </c>
      <c r="F49" s="1280"/>
      <c r="G49" s="1889"/>
      <c r="H49" s="791"/>
      <c r="I49" s="1885" t="s">
        <v>1535</v>
      </c>
      <c r="J49" s="1890"/>
      <c r="K49" s="1887" t="s">
        <v>1536</v>
      </c>
      <c r="L49" s="1891"/>
      <c r="O49" s="1892" t="s">
        <v>1042</v>
      </c>
      <c r="P49" s="1883" t="s">
        <v>1537</v>
      </c>
      <c r="Q49" s="1884">
        <f ca="1">C29</f>
        <v>0</v>
      </c>
      <c r="R49" s="1884" t="s">
        <v>1530</v>
      </c>
    </row>
    <row r="50" spans="1:18" s="1840" customFormat="1" ht="13.8" thickBot="1">
      <c r="A50" s="1195"/>
      <c r="B50" s="1198"/>
      <c r="C50" s="1199"/>
      <c r="D50" s="1172"/>
      <c r="E50" s="1276" t="s">
        <v>1406</v>
      </c>
      <c r="F50" s="1277">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8" thickBot="1">
      <c r="A51" s="1196"/>
      <c r="B51" s="1198"/>
      <c r="C51" s="1199"/>
      <c r="D51" s="1172"/>
      <c r="E51" s="1200" t="s">
        <v>1407</v>
      </c>
      <c r="F51" s="346">
        <f ca="1">F8</f>
        <v>365</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t="b">
        <f>J53</f>
        <v>0</v>
      </c>
      <c r="R52" s="1884" t="s">
        <v>1547</v>
      </c>
    </row>
    <row r="53" spans="1:18" s="1840" customFormat="1" ht="30.75" customHeight="1" thickBot="1">
      <c r="A53" s="1360" t="s">
        <v>1137</v>
      </c>
      <c r="B53" s="367" t="s">
        <v>1409</v>
      </c>
      <c r="C53" s="359">
        <f ca="1">ROUND(IF(F53="押一",F49*F51*F50/12*F11,IF(F53="押二",F49*F51*F50/12*2*F11,IF(F53="押三",F49*F51*F50/12*3*F11,C54*F11))),0)</f>
        <v>0</v>
      </c>
      <c r="D53" s="1822" t="s">
        <v>1410</v>
      </c>
      <c r="E53" s="356" t="s">
        <v>1411</v>
      </c>
      <c r="F53" s="1365"/>
      <c r="I53" s="1903" t="s">
        <v>1548</v>
      </c>
      <c r="J53" s="1904" t="b">
        <f>IF(M47="住宅",J51,IF(D1="——",MIN(J51,L48),IF(D1="在建（套用方法）",MIN(J51,L48-'数据-取费表'!B24),IF(D1="土地（套用方法）",MIN(J51,L48-'数据-取费表'!B20)))))</f>
        <v>0</v>
      </c>
      <c r="K53" s="3250" t="s">
        <v>1549</v>
      </c>
      <c r="L53" s="3251"/>
      <c r="O53" s="1882" t="s">
        <v>1046</v>
      </c>
      <c r="P53" s="1883" t="s">
        <v>1550</v>
      </c>
      <c r="Q53" s="1884" t="e">
        <f ca="1">Q47+Q48</f>
        <v>#DIV/0!</v>
      </c>
      <c r="R53" s="1884" t="s">
        <v>1047</v>
      </c>
    </row>
    <row r="54" spans="1:18" s="1840" customFormat="1" ht="13.8"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8" thickBot="1">
      <c r="A55" s="1332" t="s">
        <v>1075</v>
      </c>
      <c r="B55" s="1825" t="s">
        <v>1414</v>
      </c>
      <c r="C55" s="1333"/>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6">
        <v>2</v>
      </c>
      <c r="B56" s="1177"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6" thickBot="1">
      <c r="A57" s="1916"/>
      <c r="B57" s="1169"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6" thickBot="1">
      <c r="A58" s="358" t="s">
        <v>1030</v>
      </c>
      <c r="B58" s="1177" t="s">
        <v>1425</v>
      </c>
      <c r="C58" s="359">
        <f ca="1">ROUND(C59+C64+C65+C66,0)</f>
        <v>0</v>
      </c>
      <c r="D58" s="1179" t="s">
        <v>1426</v>
      </c>
      <c r="E58" s="1180"/>
      <c r="F58" s="1181"/>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ROUND(IF(项目基本情况!B11="自然人",C48*F59,C60+C61+C62),0)</f>
        <v>0</v>
      </c>
      <c r="D59" s="1182" t="s">
        <v>1431</v>
      </c>
      <c r="E59" s="1183"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IF(项目基本情况!B11="自然人","——",ROUND(C48*F60/(1+'数据-取费表'!C42),0))</f>
        <v>0</v>
      </c>
      <c r="D60" s="1183" t="s">
        <v>1435</v>
      </c>
      <c r="E60" s="1169"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8" thickBot="1">
      <c r="A61" s="1201" t="s">
        <v>1493</v>
      </c>
      <c r="B61" s="1169" t="s">
        <v>1494</v>
      </c>
      <c r="C61" s="23">
        <f ca="1">IF(项目基本情况!B11="自然人","——",IF(D61="按租金收入计税",ROUND(C48*F61,0),IF(D61="按房产原值计税",ROUND(C57*F61*0.7,0),INDIRECT("'数据-取费表'!Aj"&amp;$G$1))))</f>
        <v>0</v>
      </c>
      <c r="D61" s="1826" t="s">
        <v>1439</v>
      </c>
      <c r="E61" s="1169"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8" thickBot="1">
      <c r="A62" s="1201" t="s">
        <v>1496</v>
      </c>
      <c r="B62" s="1168" t="s">
        <v>1497</v>
      </c>
      <c r="C62" s="24">
        <f ca="1">IF(项目基本情况!B11="自然人","——",ROUND(F62*F63,0))</f>
        <v>0</v>
      </c>
      <c r="D62" s="1184" t="s">
        <v>1498</v>
      </c>
      <c r="E62" s="1169"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8" thickBot="1">
      <c r="A63" s="370"/>
      <c r="B63" s="1175"/>
      <c r="C63" s="28"/>
      <c r="D63" s="1185"/>
      <c r="E63" s="1169" t="s">
        <v>1500</v>
      </c>
      <c r="F63" s="346">
        <f t="shared" ca="1" si="0"/>
        <v>0</v>
      </c>
      <c r="I63" s="1927" t="s">
        <v>1577</v>
      </c>
      <c r="J63" s="1928">
        <v>70</v>
      </c>
      <c r="K63" s="1928">
        <v>50</v>
      </c>
      <c r="L63" s="1928">
        <v>80</v>
      </c>
      <c r="M63" s="1930">
        <v>0.02</v>
      </c>
      <c r="O63" s="1867" t="s">
        <v>1578</v>
      </c>
      <c r="P63" s="1837"/>
      <c r="Q63" s="1837"/>
      <c r="R63" s="1837"/>
    </row>
    <row r="64" spans="1:18" s="1840" customFormat="1" ht="13.8" thickBot="1">
      <c r="A64" s="1201" t="s">
        <v>1501</v>
      </c>
      <c r="B64" s="1169" t="s">
        <v>1502</v>
      </c>
      <c r="C64" s="23">
        <f ca="1">ROUND(C57*F64,0)</f>
        <v>0</v>
      </c>
      <c r="D64" s="1183" t="s">
        <v>1503</v>
      </c>
      <c r="E64" s="1169"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ROUND(C56*F65,0)</f>
        <v>0</v>
      </c>
      <c r="D65" s="1183" t="s">
        <v>1455</v>
      </c>
      <c r="E65" s="1169"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2" thickBot="1">
      <c r="A66" s="1201" t="s">
        <v>1505</v>
      </c>
      <c r="B66" s="1169" t="s">
        <v>1440</v>
      </c>
      <c r="C66" s="23">
        <f ca="1">ROUND(C48*F66,0)</f>
        <v>0</v>
      </c>
      <c r="D66" s="1183" t="s">
        <v>1506</v>
      </c>
      <c r="E66" s="1169" t="s">
        <v>1423</v>
      </c>
      <c r="F66" s="355">
        <f t="shared" ca="1" si="0"/>
        <v>0</v>
      </c>
      <c r="O66" s="1882" t="s">
        <v>1041</v>
      </c>
      <c r="P66" s="1883" t="s">
        <v>1559</v>
      </c>
      <c r="Q66" s="1884" t="e">
        <f ca="1">L60</f>
        <v>#DIV/0!</v>
      </c>
      <c r="R66" s="1884" t="s">
        <v>1582</v>
      </c>
    </row>
    <row r="67" spans="1:18" s="1840" customFormat="1" ht="24.6" thickBot="1">
      <c r="A67" s="1176" t="s">
        <v>1031</v>
      </c>
      <c r="B67" s="1186" t="s">
        <v>1464</v>
      </c>
      <c r="C67" s="359">
        <f ca="1">C48-C58</f>
        <v>0</v>
      </c>
      <c r="D67" s="1182" t="s">
        <v>1465</v>
      </c>
      <c r="E67" s="1187"/>
      <c r="F67" s="1188"/>
      <c r="O67" s="1892" t="s">
        <v>1042</v>
      </c>
      <c r="P67" s="1883" t="s">
        <v>1563</v>
      </c>
      <c r="Q67" s="1931">
        <f ca="1">L51</f>
        <v>0</v>
      </c>
      <c r="R67" s="1884" t="s">
        <v>1583</v>
      </c>
    </row>
    <row r="68" spans="1:18" s="1840" customFormat="1" ht="16.2" thickBot="1">
      <c r="A68" s="1166" t="s">
        <v>1032</v>
      </c>
      <c r="B68" s="1167" t="s">
        <v>1486</v>
      </c>
      <c r="C68" s="344" t="e">
        <f ca="1">ROUND(C67*(1-((1+F70)/(1+F68))^F69)/(F68-F70),0)</f>
        <v>#DIV/0!</v>
      </c>
      <c r="D68" s="1184" t="s">
        <v>1470</v>
      </c>
      <c r="E68" s="1169" t="s">
        <v>1471</v>
      </c>
      <c r="F68" s="355">
        <f ca="1">F40</f>
        <v>0</v>
      </c>
      <c r="O68" s="1892" t="s">
        <v>1043</v>
      </c>
      <c r="P68" s="1932" t="s">
        <v>1584</v>
      </c>
      <c r="Q68" s="1884">
        <f ca="1">ROUND(Q69-Q70*Q71,0)</f>
        <v>0</v>
      </c>
      <c r="R68" s="1884" t="s">
        <v>1051</v>
      </c>
    </row>
    <row r="69" spans="1:18" s="1840" customFormat="1" ht="13.8" thickBot="1">
      <c r="A69" s="1170"/>
      <c r="B69" s="1171"/>
      <c r="C69" s="349"/>
      <c r="D69" s="1189" t="s">
        <v>1474</v>
      </c>
      <c r="E69" s="1169" t="s">
        <v>1475</v>
      </c>
      <c r="F69" s="377">
        <f ca="1">F41</f>
        <v>0</v>
      </c>
      <c r="O69" s="1892" t="s">
        <v>1048</v>
      </c>
      <c r="P69" s="1932" t="s">
        <v>1585</v>
      </c>
      <c r="Q69" s="1884">
        <f ca="1">C39</f>
        <v>0</v>
      </c>
      <c r="R69" s="1884" t="s">
        <v>1530</v>
      </c>
    </row>
    <row r="70" spans="1:18" s="1840" customFormat="1" ht="13.8" thickBot="1">
      <c r="A70" s="1173"/>
      <c r="B70" s="1174"/>
      <c r="C70" s="353"/>
      <c r="D70" s="1185"/>
      <c r="E70" s="1169" t="s">
        <v>1478</v>
      </c>
      <c r="F70" s="1274">
        <f ca="1">F42</f>
        <v>0</v>
      </c>
      <c r="O70" s="1892" t="s">
        <v>1049</v>
      </c>
      <c r="P70" s="1932" t="s">
        <v>1586</v>
      </c>
      <c r="Q70" s="1884">
        <f ca="1">C13</f>
        <v>0</v>
      </c>
      <c r="R70" s="1884" t="s">
        <v>1530</v>
      </c>
    </row>
    <row r="71" spans="1:18" s="1840" customFormat="1" ht="13.8" thickBot="1">
      <c r="A71" s="1190" t="s">
        <v>1033</v>
      </c>
      <c r="B71" s="1191" t="s">
        <v>1488</v>
      </c>
      <c r="C71" s="380" t="e">
        <f ca="1">ROUND(C68/F71,0)</f>
        <v>#DIV/0!</v>
      </c>
      <c r="D71" s="1192" t="s">
        <v>1489</v>
      </c>
      <c r="E71" s="1193" t="s">
        <v>1490</v>
      </c>
      <c r="F71" s="383">
        <f ca="1">F43</f>
        <v>0</v>
      </c>
      <c r="O71" s="1892" t="s">
        <v>1050</v>
      </c>
      <c r="P71" s="1932" t="s">
        <v>1587</v>
      </c>
      <c r="Q71" s="1895">
        <f ca="1">C76</f>
        <v>0</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8"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2527</v>
      </c>
      <c r="B1" s="2560"/>
      <c r="C1" s="2560"/>
      <c r="D1" s="2560"/>
      <c r="E1" s="2561"/>
    </row>
    <row r="2" spans="1:6" ht="15.6">
      <c r="A2" s="2562" t="s">
        <v>2331</v>
      </c>
      <c r="B2" s="2563">
        <f ca="1">SUMIF(B6:B13,"&lt;&gt;#ref!",B6:B13)</f>
        <v>72191</v>
      </c>
      <c r="C2" s="2564" t="s">
        <v>2520</v>
      </c>
      <c r="D2" s="2565" t="s">
        <v>2521</v>
      </c>
      <c r="E2" s="2566">
        <f>SUM(E6:E13)</f>
        <v>49721.01</v>
      </c>
    </row>
    <row r="3" spans="1:6" ht="15.6">
      <c r="A3" s="2562" t="s">
        <v>1395</v>
      </c>
      <c r="B3" s="2563">
        <f ca="1">ROUND(B2*10000/E2,0)</f>
        <v>14519</v>
      </c>
      <c r="C3" s="2564" t="s">
        <v>2528</v>
      </c>
      <c r="D3" s="2567"/>
      <c r="E3" s="2568"/>
    </row>
    <row r="4" spans="1:6" ht="15.6">
      <c r="A4" s="2569"/>
      <c r="B4" s="2567"/>
      <c r="C4" s="2567"/>
      <c r="D4" s="2567"/>
      <c r="E4" s="2568"/>
    </row>
    <row r="5" spans="1:6" ht="14.4">
      <c r="A5" s="2570" t="s">
        <v>2522</v>
      </c>
      <c r="B5" s="3255" t="s">
        <v>2523</v>
      </c>
      <c r="C5" s="3255"/>
      <c r="D5" s="2571"/>
      <c r="E5" s="2572" t="s">
        <v>2524</v>
      </c>
      <c r="F5" s="2573" t="s">
        <v>2525</v>
      </c>
    </row>
    <row r="6" spans="1:6" ht="14.4">
      <c r="A6" s="2574">
        <f>'数据-取费表'!AN6</f>
        <v>0</v>
      </c>
      <c r="B6" s="2573" t="e">
        <f ca="1">IF(F6="是",'数据-取费表'!AO6,0)</f>
        <v>#REF!</v>
      </c>
      <c r="C6" s="2564" t="s">
        <v>2520</v>
      </c>
      <c r="D6" s="2567"/>
      <c r="E6" s="2575">
        <f>IF(OR(A6=0,F6="否"),0,'数据-取费表'!K6+'数据-取费表'!S6)</f>
        <v>0</v>
      </c>
      <c r="F6" s="2576" t="s">
        <v>2526</v>
      </c>
    </row>
    <row r="7" spans="1:6" ht="14.4">
      <c r="A7" s="2574" t="str">
        <f>'数据-取费表'!AN7</f>
        <v>收益法商业</v>
      </c>
      <c r="B7" s="2573">
        <f ca="1">IF(F7="是",'数据-取费表'!AO7,0)</f>
        <v>50462</v>
      </c>
      <c r="C7" s="2564" t="s">
        <v>2520</v>
      </c>
      <c r="D7" s="2567"/>
      <c r="E7" s="2575">
        <f>IF(OR(A7=0,F7="否"),0,'数据-取费表'!K7+'数据-取费表'!S7)</f>
        <v>16893.98</v>
      </c>
      <c r="F7" s="2576" t="s">
        <v>2526</v>
      </c>
    </row>
    <row r="8" spans="1:6" ht="14.4">
      <c r="A8" s="2574" t="str">
        <f>'数据-取费表'!AN8</f>
        <v>收益法车库</v>
      </c>
      <c r="B8" s="2573">
        <f ca="1">IF(F8="是",'数据-取费表'!AO8,0)</f>
        <v>20881</v>
      </c>
      <c r="C8" s="2564" t="s">
        <v>2520</v>
      </c>
      <c r="D8" s="2567"/>
      <c r="E8" s="2575">
        <f>IF(OR(A8=0,F8="否"),0,'数据-取费表'!K8+'数据-取费表'!S8)</f>
        <v>31653.93</v>
      </c>
      <c r="F8" s="2576" t="s">
        <v>2526</v>
      </c>
    </row>
    <row r="9" spans="1:6" ht="14.4">
      <c r="A9" s="2574" t="str">
        <f>'数据-取费表'!AN9</f>
        <v>收益法仓储</v>
      </c>
      <c r="B9" s="2573">
        <f ca="1">IF(F9="是",'数据-取费表'!AO9,0)</f>
        <v>848</v>
      </c>
      <c r="C9" s="2564" t="s">
        <v>2520</v>
      </c>
      <c r="D9" s="2567"/>
      <c r="E9" s="2575">
        <f>IF(OR(A9=0,F9="否"),0,'数据-取费表'!K9+'数据-取费表'!S9)</f>
        <v>1173.1000000000001</v>
      </c>
      <c r="F9" s="2576" t="s">
        <v>2526</v>
      </c>
    </row>
    <row r="10" spans="1:6" ht="14.4">
      <c r="A10" s="2574">
        <f>'数据-取费表'!AN10</f>
        <v>0</v>
      </c>
      <c r="B10" s="2573" t="e">
        <f ca="1">IF(F10="是",'数据-取费表'!AO10,0)</f>
        <v>#REF!</v>
      </c>
      <c r="C10" s="2564" t="s">
        <v>2520</v>
      </c>
      <c r="D10" s="2567"/>
      <c r="E10" s="2575">
        <f>IF(OR(A10=0,F10="否"),0,'数据-取费表'!K10+'数据-取费表'!S10)</f>
        <v>0</v>
      </c>
      <c r="F10" s="2576" t="s">
        <v>2526</v>
      </c>
    </row>
    <row r="11" spans="1:6" ht="14.4">
      <c r="A11" s="2574">
        <f>'数据-取费表'!AN11</f>
        <v>0</v>
      </c>
      <c r="B11" s="2573" t="e">
        <f ca="1">IF(F11="是",'数据-取费表'!AO11,0)</f>
        <v>#REF!</v>
      </c>
      <c r="C11" s="2564" t="s">
        <v>2520</v>
      </c>
      <c r="D11" s="2567"/>
      <c r="E11" s="2575">
        <f>IF(OR(A11=0,F11="否"),0,'数据-取费表'!K11+'数据-取费表'!S11)</f>
        <v>0</v>
      </c>
      <c r="F11" s="2576" t="s">
        <v>2526</v>
      </c>
    </row>
    <row r="12" spans="1:6" ht="14.4">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6" t="s">
        <v>1076</v>
      </c>
      <c r="B1" s="3257"/>
      <c r="C1" s="3258"/>
      <c r="D1" s="3259">
        <f>SUM(I10,I15,I20,I21,I23)</f>
        <v>0</v>
      </c>
      <c r="E1" s="3259"/>
      <c r="F1" s="3259"/>
      <c r="G1" s="3259"/>
      <c r="H1" s="3259"/>
      <c r="I1" s="3260"/>
    </row>
    <row r="2" spans="1:9">
      <c r="A2" s="3261" t="s">
        <v>1077</v>
      </c>
      <c r="B2" s="3262" t="s">
        <v>1078</v>
      </c>
      <c r="C2" s="3262"/>
      <c r="D2" s="1300" t="s">
        <v>1079</v>
      </c>
      <c r="E2" s="1300" t="s">
        <v>1080</v>
      </c>
      <c r="F2" s="1300" t="s">
        <v>1081</v>
      </c>
      <c r="G2" s="1300" t="s">
        <v>1082</v>
      </c>
      <c r="H2" s="1300" t="s">
        <v>1083</v>
      </c>
      <c r="I2" s="1301" t="s">
        <v>1084</v>
      </c>
    </row>
    <row r="3" spans="1:9">
      <c r="A3" s="3261"/>
      <c r="B3" s="3262" t="s">
        <v>1085</v>
      </c>
      <c r="C3" s="3262"/>
      <c r="D3" s="1302"/>
      <c r="E3" s="1300"/>
      <c r="F3" s="1303"/>
      <c r="G3" s="1303"/>
      <c r="H3" s="1304"/>
      <c r="I3" s="1305">
        <f>ROUND(D3*E3*F3*G3*H3/10000,0)</f>
        <v>0</v>
      </c>
    </row>
    <row r="4" spans="1:9">
      <c r="A4" s="3261"/>
      <c r="B4" s="3262" t="s">
        <v>1086</v>
      </c>
      <c r="C4" s="3262"/>
      <c r="D4" s="1302"/>
      <c r="E4" s="1300"/>
      <c r="F4" s="1303"/>
      <c r="G4" s="1303"/>
      <c r="H4" s="1304"/>
      <c r="I4" s="1305">
        <f t="shared" ref="I4:I9" si="0">ROUND(D4*E4*F4*G4*H4/10000,0)</f>
        <v>0</v>
      </c>
    </row>
    <row r="5" spans="1:9">
      <c r="A5" s="3261"/>
      <c r="B5" s="3262" t="s">
        <v>1087</v>
      </c>
      <c r="C5" s="3262"/>
      <c r="D5" s="1302"/>
      <c r="E5" s="1300"/>
      <c r="F5" s="1303"/>
      <c r="G5" s="1303"/>
      <c r="H5" s="1304"/>
      <c r="I5" s="1305">
        <f t="shared" si="0"/>
        <v>0</v>
      </c>
    </row>
    <row r="6" spans="1:9">
      <c r="A6" s="3261"/>
      <c r="B6" s="3262" t="s">
        <v>1088</v>
      </c>
      <c r="C6" s="3262"/>
      <c r="D6" s="1302"/>
      <c r="E6" s="1300"/>
      <c r="F6" s="1303"/>
      <c r="G6" s="1303"/>
      <c r="H6" s="1304"/>
      <c r="I6" s="1305">
        <f t="shared" si="0"/>
        <v>0</v>
      </c>
    </row>
    <row r="7" spans="1:9">
      <c r="A7" s="3261"/>
      <c r="B7" s="3262" t="s">
        <v>1089</v>
      </c>
      <c r="C7" s="3262"/>
      <c r="D7" s="1302"/>
      <c r="E7" s="1300"/>
      <c r="F7" s="1303"/>
      <c r="G7" s="1303"/>
      <c r="H7" s="1304"/>
      <c r="I7" s="1305">
        <f t="shared" si="0"/>
        <v>0</v>
      </c>
    </row>
    <row r="8" spans="1:9">
      <c r="A8" s="3261"/>
      <c r="B8" s="3262" t="s">
        <v>1090</v>
      </c>
      <c r="C8" s="3262"/>
      <c r="D8" s="1302"/>
      <c r="E8" s="1300"/>
      <c r="F8" s="1303"/>
      <c r="G8" s="1303"/>
      <c r="H8" s="1304"/>
      <c r="I8" s="1305">
        <f t="shared" si="0"/>
        <v>0</v>
      </c>
    </row>
    <row r="9" spans="1:9">
      <c r="A9" s="3261"/>
      <c r="B9" s="3262" t="s">
        <v>1091</v>
      </c>
      <c r="C9" s="3262"/>
      <c r="D9" s="1302"/>
      <c r="E9" s="1300"/>
      <c r="F9" s="1303"/>
      <c r="G9" s="1303"/>
      <c r="H9" s="1304"/>
      <c r="I9" s="1305">
        <f t="shared" si="0"/>
        <v>0</v>
      </c>
    </row>
    <row r="10" spans="1:9">
      <c r="A10" s="3261"/>
      <c r="B10" s="3263" t="s">
        <v>1092</v>
      </c>
      <c r="C10" s="3263"/>
      <c r="D10" s="1306"/>
      <c r="E10" s="1306" t="e">
        <f>ROUND(D1*10000/D10/H9,0)</f>
        <v>#DIV/0!</v>
      </c>
      <c r="F10" s="1307"/>
      <c r="G10" s="1307"/>
      <c r="H10" s="1308"/>
      <c r="I10" s="1309">
        <f>SUM(I3:I9)</f>
        <v>0</v>
      </c>
    </row>
    <row r="11" spans="1:9" ht="15.6">
      <c r="A11" s="3261" t="s">
        <v>1093</v>
      </c>
      <c r="B11" s="3262" t="s">
        <v>1094</v>
      </c>
      <c r="C11" s="3262"/>
      <c r="D11" s="1302" t="s">
        <v>1095</v>
      </c>
      <c r="E11" s="1302" t="s">
        <v>1096</v>
      </c>
      <c r="F11" s="1303" t="s">
        <v>1097</v>
      </c>
      <c r="G11" s="1303" t="s">
        <v>1083</v>
      </c>
      <c r="H11" s="1310" t="s">
        <v>1098</v>
      </c>
      <c r="I11" s="1301" t="s">
        <v>1084</v>
      </c>
    </row>
    <row r="12" spans="1:9">
      <c r="A12" s="3261"/>
      <c r="B12" s="3262" t="s">
        <v>1099</v>
      </c>
      <c r="C12" s="3262"/>
      <c r="D12" s="1302"/>
      <c r="E12" s="1302"/>
      <c r="F12" s="1303"/>
      <c r="G12" s="1304"/>
      <c r="H12" s="1311"/>
      <c r="I12" s="1301">
        <f>ROUND(D12*E12*F12*G12/10000,0)</f>
        <v>0</v>
      </c>
    </row>
    <row r="13" spans="1:9">
      <c r="A13" s="3261"/>
      <c r="B13" s="3262" t="s">
        <v>1100</v>
      </c>
      <c r="C13" s="3262"/>
      <c r="D13" s="1302"/>
      <c r="E13" s="1302"/>
      <c r="F13" s="1303"/>
      <c r="G13" s="1304"/>
      <c r="H13" s="1311"/>
      <c r="I13" s="1301">
        <f>ROUND(D13*E13*F13*G13/10000,0)</f>
        <v>0</v>
      </c>
    </row>
    <row r="14" spans="1:9">
      <c r="A14" s="3261"/>
      <c r="B14" s="3262" t="s">
        <v>1101</v>
      </c>
      <c r="C14" s="3262"/>
      <c r="D14" s="1302"/>
      <c r="E14" s="1302"/>
      <c r="F14" s="1303"/>
      <c r="G14" s="1304"/>
      <c r="H14" s="1311"/>
      <c r="I14" s="1301">
        <f>ROUND(D14*E14*F14*G14/10000,0)</f>
        <v>0</v>
      </c>
    </row>
    <row r="15" spans="1:9">
      <c r="A15" s="3261"/>
      <c r="B15" s="3263" t="s">
        <v>1092</v>
      </c>
      <c r="C15" s="3263"/>
      <c r="D15" s="1306"/>
      <c r="E15" s="1306">
        <f>SUM(E12:E14)</f>
        <v>0</v>
      </c>
      <c r="F15" s="1307"/>
      <c r="G15" s="1304"/>
      <c r="H15" s="1311"/>
      <c r="I15" s="1312">
        <f>SUM(I12:I14)</f>
        <v>0</v>
      </c>
    </row>
    <row r="16" spans="1:9" ht="24">
      <c r="A16" s="3261" t="s">
        <v>1102</v>
      </c>
      <c r="B16" s="3262" t="s">
        <v>1103</v>
      </c>
      <c r="C16" s="3262"/>
      <c r="D16" s="1302" t="s">
        <v>1079</v>
      </c>
      <c r="E16" s="1313" t="s">
        <v>1104</v>
      </c>
      <c r="F16" s="1303" t="s">
        <v>1105</v>
      </c>
      <c r="G16" s="1304" t="s">
        <v>1083</v>
      </c>
      <c r="H16" s="1310" t="s">
        <v>1098</v>
      </c>
      <c r="I16" s="1301" t="s">
        <v>1084</v>
      </c>
    </row>
    <row r="17" spans="1:9" ht="15.6">
      <c r="A17" s="3261"/>
      <c r="B17" s="3262" t="s">
        <v>1106</v>
      </c>
      <c r="C17" s="3262"/>
      <c r="D17" s="1302"/>
      <c r="E17" s="1302"/>
      <c r="F17" s="1303"/>
      <c r="G17" s="1304"/>
      <c r="H17" s="1314"/>
      <c r="I17" s="1315">
        <f>ROUND(D17*E17*F17*G17/10000,0)</f>
        <v>0</v>
      </c>
    </row>
    <row r="18" spans="1:9" ht="15.6">
      <c r="A18" s="3261"/>
      <c r="B18" s="3262" t="s">
        <v>1107</v>
      </c>
      <c r="C18" s="3262"/>
      <c r="D18" s="1302"/>
      <c r="E18" s="1302"/>
      <c r="F18" s="1303"/>
      <c r="G18" s="1304"/>
      <c r="H18" s="1314"/>
      <c r="I18" s="1315">
        <f>ROUND(D18*E18*F18*G18/10000,0)</f>
        <v>0</v>
      </c>
    </row>
    <row r="19" spans="1:9" ht="15.6">
      <c r="A19" s="3261"/>
      <c r="B19" s="3262" t="s">
        <v>1108</v>
      </c>
      <c r="C19" s="3262"/>
      <c r="D19" s="1302"/>
      <c r="E19" s="1302"/>
      <c r="F19" s="1303"/>
      <c r="G19" s="1304"/>
      <c r="H19" s="1314"/>
      <c r="I19" s="1315">
        <f>ROUND(D19*E19*F19*G19/10000,0)</f>
        <v>0</v>
      </c>
    </row>
    <row r="20" spans="1:9">
      <c r="A20" s="3261"/>
      <c r="B20" s="3263" t="s">
        <v>1092</v>
      </c>
      <c r="C20" s="3263"/>
      <c r="D20" s="1306">
        <f>SUM(D17:D19)</f>
        <v>0</v>
      </c>
      <c r="E20" s="1306"/>
      <c r="F20" s="1307"/>
      <c r="G20" s="1304"/>
      <c r="H20" s="1311"/>
      <c r="I20" s="1312">
        <f>SUM(I17:I19)</f>
        <v>0</v>
      </c>
    </row>
    <row r="21" spans="1:9">
      <c r="A21" s="3261" t="s">
        <v>1109</v>
      </c>
      <c r="B21" s="3265"/>
      <c r="C21" s="3265"/>
      <c r="D21" s="3265"/>
      <c r="E21" s="3265"/>
      <c r="F21" s="3265"/>
      <c r="G21" s="3265"/>
      <c r="H21" s="1763">
        <v>0.1</v>
      </c>
      <c r="I21" s="1309">
        <f>ROUND(I10*H21,0)</f>
        <v>0</v>
      </c>
    </row>
    <row r="22" spans="1:9" ht="15.6">
      <c r="A22" s="3266" t="s">
        <v>1110</v>
      </c>
      <c r="B22" s="3267"/>
      <c r="C22" s="3268"/>
      <c r="D22" s="1316" t="s">
        <v>1111</v>
      </c>
      <c r="E22" s="1316" t="s">
        <v>1112</v>
      </c>
      <c r="F22" s="1317" t="s">
        <v>1113</v>
      </c>
      <c r="G22" s="1317" t="s">
        <v>1114</v>
      </c>
      <c r="H22" s="1310" t="s">
        <v>1115</v>
      </c>
      <c r="I22" s="1301" t="s">
        <v>1116</v>
      </c>
    </row>
    <row r="23" spans="1:9" ht="15" thickBot="1">
      <c r="A23" s="3269"/>
      <c r="B23" s="3270"/>
      <c r="C23" s="3271"/>
      <c r="D23" s="1318"/>
      <c r="E23" s="1318"/>
      <c r="F23" s="1318"/>
      <c r="G23" s="1319"/>
      <c r="H23" s="1320"/>
      <c r="I23" s="1321">
        <f>ROUND(E23*D23*F23*(1-G23)/10000,0)</f>
        <v>0</v>
      </c>
    </row>
    <row r="26" spans="1:9">
      <c r="A26" s="1322" t="s">
        <v>1117</v>
      </c>
      <c r="B26" s="1322"/>
      <c r="C26" s="1322"/>
      <c r="D26" s="1322"/>
      <c r="E26" s="3272">
        <f>C27-C30-C31-C32</f>
        <v>0</v>
      </c>
      <c r="F26" s="3272"/>
      <c r="G26" s="3272"/>
      <c r="H26" s="1735" t="s">
        <v>1340</v>
      </c>
    </row>
    <row r="27" spans="1:9">
      <c r="A27" s="1323">
        <v>1</v>
      </c>
      <c r="B27" s="1324" t="s">
        <v>1118</v>
      </c>
      <c r="C27" s="1324">
        <f>C28+C29</f>
        <v>0</v>
      </c>
      <c r="D27" s="1324"/>
      <c r="E27" s="3273"/>
      <c r="F27" s="3273"/>
      <c r="G27" s="3273"/>
    </row>
    <row r="28" spans="1:9">
      <c r="A28" s="1325" t="s">
        <v>1119</v>
      </c>
      <c r="B28" s="1324" t="s">
        <v>1120</v>
      </c>
      <c r="C28" s="1324"/>
      <c r="D28" s="1324"/>
      <c r="E28" s="3273"/>
      <c r="F28" s="3273"/>
      <c r="G28" s="327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4"/>
      <c r="F32" s="3264"/>
      <c r="G32" s="3264"/>
    </row>
    <row r="33" spans="1:7" hidden="1">
      <c r="A33" s="3274" t="s">
        <v>1129</v>
      </c>
      <c r="B33" s="3275"/>
      <c r="C33" s="3275"/>
      <c r="D33" s="3276"/>
      <c r="E33" s="3272"/>
      <c r="F33" s="3272"/>
      <c r="G33" s="3272"/>
    </row>
    <row r="34" spans="1:7" hidden="1">
      <c r="A34" s="1327">
        <v>1</v>
      </c>
      <c r="B34" s="1324" t="s">
        <v>1130</v>
      </c>
      <c r="C34" s="1324"/>
      <c r="D34" s="1324"/>
      <c r="E34" s="3273"/>
      <c r="F34" s="3273"/>
      <c r="G34" s="3273"/>
    </row>
    <row r="35" spans="1:7" hidden="1">
      <c r="A35" s="1327">
        <v>2</v>
      </c>
      <c r="B35" s="1324" t="s">
        <v>1131</v>
      </c>
      <c r="C35" s="1324"/>
      <c r="D35" s="1324"/>
      <c r="E35" s="3273"/>
      <c r="F35" s="3273"/>
      <c r="G35" s="3273"/>
    </row>
    <row r="36" spans="1:7" hidden="1">
      <c r="A36" s="1327">
        <v>3</v>
      </c>
      <c r="B36" s="1324" t="s">
        <v>1132</v>
      </c>
      <c r="C36" s="1324"/>
      <c r="D36" s="1324"/>
      <c r="E36" s="3273"/>
      <c r="F36" s="3273"/>
      <c r="G36" s="3273"/>
    </row>
    <row r="37" spans="1:7" hidden="1">
      <c r="A37" s="1327">
        <v>4</v>
      </c>
      <c r="B37" s="1324" t="s">
        <v>1133</v>
      </c>
      <c r="C37" s="1324"/>
      <c r="D37" s="1324"/>
      <c r="E37" s="3273"/>
      <c r="F37" s="3273"/>
      <c r="G37" s="3273"/>
    </row>
    <row r="38" spans="1:7" hidden="1">
      <c r="A38" s="3274" t="s">
        <v>1134</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1612</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1613</v>
      </c>
    </row>
    <row r="6" spans="1:1" ht="17.399999999999999">
      <c r="A6" s="1948" t="s">
        <v>1614</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估价对象为北京市出让国有建设用地使用权及在建建筑物房地产，为所有。根据《国有土地使用证》[]，估价对象（分摊）出让国有建设用地使用权面积为11023.92平方米，建筑面积为126370.2平方米。</v>
      </c>
    </row>
    <row r="8" spans="1:1" ht="54.6">
      <c r="A8" s="1949" t="s">
        <v>1615</v>
      </c>
    </row>
    <row r="9" spans="1:1" ht="17.399999999999999">
      <c r="A9" s="1948" t="s">
        <v>1616</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11023.92平方米，规划建筑面积为126370.2平方米。</v>
      </c>
    </row>
    <row r="11" spans="1:1" ht="72">
      <c r="A11" s="1949" t="s">
        <v>1617</v>
      </c>
    </row>
    <row r="12" spans="1:1" ht="17.399999999999999">
      <c r="A12" s="1947" t="s">
        <v>1618</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1619</v>
      </c>
    </row>
    <row r="15" spans="1:1" ht="17.399999999999999">
      <c r="A15" s="1952" t="str">
        <f>TEXT(项目基本情况!D3,"yyyy年m月d日;;")&amp;IF(项目基本情况!D3=项目基本情况!B3,"（评估专业人员实地查勘之日）","")</f>
        <v>2018年8月20日（评估专业人员实地查勘之日）</v>
      </c>
    </row>
    <row r="16" spans="1:1" ht="17.399999999999999">
      <c r="A16" s="1951" t="s">
        <v>1620</v>
      </c>
    </row>
    <row r="17" spans="1:1" ht="69.599999999999994">
      <c r="A17" s="1946" t="s">
        <v>1621</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1610</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2535</v>
      </c>
      <c r="D3" s="397">
        <f>IF(D1="",'数据-汇总表'!E3,SUMIF('数据-汇总表'!$C19:$C33,D1,'数据-汇总表'!$E19:$E33))</f>
        <v>126370.20000000001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4.4">
      <c r="A4" s="399" t="s">
        <v>2536</v>
      </c>
      <c r="B4" s="400"/>
      <c r="C4" s="3192" t="s">
        <v>2537</v>
      </c>
      <c r="D4" s="3193"/>
      <c r="E4" s="3194" t="s">
        <v>2538</v>
      </c>
      <c r="F4" s="3195"/>
      <c r="G4" s="3192" t="s">
        <v>2539</v>
      </c>
      <c r="H4" s="3193"/>
      <c r="I4" s="3192" t="s">
        <v>2540</v>
      </c>
      <c r="J4" s="3193"/>
      <c r="K4" s="2594" t="s">
        <v>2541</v>
      </c>
      <c r="L4" s="1130"/>
      <c r="M4" s="1131"/>
      <c r="N4" s="1131"/>
      <c r="O4" s="1131"/>
      <c r="P4" s="3196" t="s">
        <v>2542</v>
      </c>
      <c r="Q4" s="3197"/>
      <c r="R4" s="3179" t="s">
        <v>2538</v>
      </c>
      <c r="S4" s="3180"/>
      <c r="T4" s="3179" t="s">
        <v>2539</v>
      </c>
      <c r="U4" s="3180"/>
      <c r="V4" s="3204" t="s">
        <v>2540</v>
      </c>
      <c r="W4" s="3204"/>
      <c r="X4" s="1811"/>
      <c r="Y4" s="3179" t="s">
        <v>2542</v>
      </c>
      <c r="Z4" s="3180"/>
      <c r="AA4" s="3174" t="s">
        <v>2538</v>
      </c>
      <c r="AB4" s="3174" t="s">
        <v>2539</v>
      </c>
      <c r="AC4" s="3174" t="s">
        <v>2540</v>
      </c>
    </row>
    <row r="5" spans="1:29">
      <c r="A5" s="402"/>
      <c r="B5" s="403"/>
      <c r="C5" s="3185" t="s">
        <v>2543</v>
      </c>
      <c r="D5" s="3186"/>
      <c r="E5" s="3183" t="s">
        <v>2544</v>
      </c>
      <c r="F5" s="3184"/>
      <c r="G5" s="3185" t="s">
        <v>2545</v>
      </c>
      <c r="H5" s="3186"/>
      <c r="I5" s="3185" t="s">
        <v>2546</v>
      </c>
      <c r="J5" s="3186"/>
      <c r="K5" s="2595"/>
      <c r="L5" s="1130"/>
      <c r="M5" s="1131"/>
      <c r="N5" s="1131"/>
      <c r="O5" s="1131"/>
      <c r="P5" s="3198"/>
      <c r="Q5" s="3199"/>
      <c r="R5" s="3181"/>
      <c r="S5" s="3182"/>
      <c r="T5" s="3181"/>
      <c r="U5" s="3182"/>
      <c r="V5" s="3204"/>
      <c r="W5" s="3204"/>
      <c r="X5" s="1811"/>
      <c r="Y5" s="3181"/>
      <c r="Z5" s="3182"/>
      <c r="AA5" s="3175"/>
      <c r="AB5" s="3175"/>
      <c r="AC5" s="3175"/>
    </row>
    <row r="6" spans="1:29" ht="15" thickBot="1">
      <c r="A6" s="404"/>
      <c r="B6" s="405"/>
      <c r="C6" s="3187" t="s">
        <v>2547</v>
      </c>
      <c r="D6" s="3188"/>
      <c r="E6" s="3189" t="s">
        <v>2547</v>
      </c>
      <c r="F6" s="3190"/>
      <c r="G6" s="3187" t="s">
        <v>2547</v>
      </c>
      <c r="H6" s="3188"/>
      <c r="I6" s="3187" t="s">
        <v>2547</v>
      </c>
      <c r="J6" s="3188"/>
      <c r="K6" s="2595" t="s">
        <v>2548</v>
      </c>
      <c r="L6" s="1130"/>
      <c r="M6" s="1131"/>
      <c r="N6" s="1131"/>
      <c r="O6" s="1131"/>
      <c r="P6" s="3200"/>
      <c r="Q6" s="3201"/>
      <c r="R6" s="3181"/>
      <c r="S6" s="3182"/>
      <c r="T6" s="3202"/>
      <c r="U6" s="3203"/>
      <c r="V6" s="3204"/>
      <c r="W6" s="3204"/>
      <c r="X6" s="1811"/>
      <c r="Y6" s="3202"/>
      <c r="Z6" s="3203"/>
      <c r="AA6" s="3176"/>
      <c r="AB6" s="3176"/>
      <c r="AC6" s="3176"/>
    </row>
    <row r="7" spans="1:29" s="115" customFormat="1" ht="15" thickBot="1">
      <c r="A7" s="406" t="s">
        <v>2549</v>
      </c>
      <c r="B7" s="407"/>
      <c r="C7" s="408">
        <f>'数据-取费表'!B2</f>
        <v>43332</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177" t="s">
        <v>2550</v>
      </c>
      <c r="Q7" s="3205"/>
      <c r="R7" s="768" t="s">
        <v>23</v>
      </c>
      <c r="S7" s="769">
        <f t="shared" ref="S7:S15" si="0">F7</f>
        <v>0</v>
      </c>
      <c r="T7" s="768" t="s">
        <v>23</v>
      </c>
      <c r="U7" s="769">
        <f t="shared" ref="U7:U15" si="1">H7</f>
        <v>0</v>
      </c>
      <c r="V7" s="768" t="s">
        <v>23</v>
      </c>
      <c r="W7" s="769">
        <f t="shared" ref="W7:W15" si="2">J7</f>
        <v>0</v>
      </c>
      <c r="X7" s="770"/>
      <c r="Y7" s="3177" t="s">
        <v>2550</v>
      </c>
      <c r="Z7" s="3178"/>
      <c r="AA7" s="771" t="e">
        <f>D7/F7</f>
        <v>#DIV/0!</v>
      </c>
      <c r="AB7" s="771" t="e">
        <f>D7/H7</f>
        <v>#DIV/0!</v>
      </c>
      <c r="AC7" s="771" t="e">
        <f>D7/J7</f>
        <v>#DIV/0!</v>
      </c>
    </row>
    <row r="8" spans="1:29" s="115" customFormat="1" ht="15" thickBot="1">
      <c r="A8" s="406" t="s">
        <v>2551</v>
      </c>
      <c r="B8" s="407"/>
      <c r="C8" s="412" t="s">
        <v>2552</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177" t="s">
        <v>2553</v>
      </c>
      <c r="Q8" s="3178"/>
      <c r="R8" s="768" t="s">
        <v>23</v>
      </c>
      <c r="S8" s="769">
        <f t="shared" si="0"/>
        <v>0</v>
      </c>
      <c r="T8" s="768" t="s">
        <v>23</v>
      </c>
      <c r="U8" s="769">
        <f t="shared" si="1"/>
        <v>0</v>
      </c>
      <c r="V8" s="768" t="s">
        <v>23</v>
      </c>
      <c r="W8" s="769">
        <f t="shared" si="2"/>
        <v>0</v>
      </c>
      <c r="X8" s="770"/>
      <c r="Y8" s="3177" t="s">
        <v>2553</v>
      </c>
      <c r="Z8" s="3178"/>
      <c r="AA8" s="771" t="e">
        <f t="shared" ref="AA8:AA19" si="3">D8/F8</f>
        <v>#DIV/0!</v>
      </c>
      <c r="AB8" s="771" t="e">
        <f t="shared" ref="AB8:AB19" si="4">D8/H8</f>
        <v>#DIV/0!</v>
      </c>
      <c r="AC8" s="771" t="e">
        <f t="shared" ref="AC8:AC19" si="5">D8/J8</f>
        <v>#DIV/0!</v>
      </c>
    </row>
    <row r="9" spans="1:29" s="115" customFormat="1" ht="14.4">
      <c r="A9" s="413" t="s">
        <v>2554</v>
      </c>
      <c r="B9" s="70" t="s">
        <v>2555</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16"/>
      <c r="Q11" s="1793" t="str">
        <f t="shared" si="6"/>
        <v>容积率</v>
      </c>
      <c r="R11" s="768" t="s">
        <v>21</v>
      </c>
      <c r="S11" s="769" t="e">
        <f t="shared" si="0"/>
        <v>#N/A</v>
      </c>
      <c r="T11" s="768" t="s">
        <v>21</v>
      </c>
      <c r="U11" s="769" t="e">
        <f t="shared" si="1"/>
        <v>#N/A</v>
      </c>
      <c r="V11" s="768" t="s">
        <v>21</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216"/>
      <c r="Q12" s="1793">
        <f t="shared" si="6"/>
        <v>111</v>
      </c>
      <c r="R12" s="768" t="s">
        <v>21</v>
      </c>
      <c r="S12" s="769">
        <f t="shared" si="0"/>
        <v>100</v>
      </c>
      <c r="T12" s="768" t="s">
        <v>21</v>
      </c>
      <c r="U12" s="769">
        <f t="shared" si="1"/>
        <v>100</v>
      </c>
      <c r="V12" s="768" t="s">
        <v>21</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216"/>
      <c r="Q13" s="1793">
        <f t="shared" si="6"/>
        <v>111</v>
      </c>
      <c r="R13" s="768" t="s">
        <v>21</v>
      </c>
      <c r="S13" s="769">
        <f t="shared" si="0"/>
        <v>100</v>
      </c>
      <c r="T13" s="768" t="s">
        <v>21</v>
      </c>
      <c r="U13" s="769">
        <f t="shared" si="1"/>
        <v>100</v>
      </c>
      <c r="V13" s="768" t="s">
        <v>21</v>
      </c>
      <c r="W13" s="769">
        <f t="shared" si="2"/>
        <v>100</v>
      </c>
      <c r="X13" s="770"/>
      <c r="Y13" s="3051"/>
      <c r="Z13" s="54">
        <f t="shared" si="7"/>
        <v>111</v>
      </c>
      <c r="AA13" s="771">
        <f t="shared" si="3"/>
        <v>1</v>
      </c>
      <c r="AB13" s="771">
        <f t="shared" si="4"/>
        <v>1</v>
      </c>
      <c r="AC13" s="771">
        <f t="shared" si="5"/>
        <v>1</v>
      </c>
    </row>
    <row r="14" spans="1:29" ht="15.6"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216"/>
      <c r="Q14" s="1793">
        <f t="shared" si="6"/>
        <v>111</v>
      </c>
      <c r="R14" s="768" t="s">
        <v>21</v>
      </c>
      <c r="S14" s="769">
        <f t="shared" si="0"/>
        <v>100</v>
      </c>
      <c r="T14" s="768" t="s">
        <v>21</v>
      </c>
      <c r="U14" s="769">
        <f t="shared" si="1"/>
        <v>100</v>
      </c>
      <c r="V14" s="768" t="s">
        <v>21</v>
      </c>
      <c r="W14" s="769">
        <f t="shared" si="2"/>
        <v>100</v>
      </c>
      <c r="X14" s="770"/>
      <c r="Y14" s="3051"/>
      <c r="Z14" s="54">
        <f t="shared" si="7"/>
        <v>111</v>
      </c>
      <c r="AA14" s="771">
        <f t="shared" si="3"/>
        <v>1</v>
      </c>
      <c r="AB14" s="771">
        <f t="shared" si="4"/>
        <v>1</v>
      </c>
      <c r="AC14" s="771">
        <f t="shared" si="5"/>
        <v>1</v>
      </c>
    </row>
    <row r="15" spans="1:29" ht="96.6">
      <c r="A15" s="438" t="s">
        <v>2560</v>
      </c>
      <c r="B15" s="68" t="s">
        <v>2091</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36" t="s">
        <v>2561</v>
      </c>
      <c r="Q15" s="1808" t="str">
        <f t="shared" si="6"/>
        <v>居住社区成熟度</v>
      </c>
      <c r="R15" s="772" t="s">
        <v>21</v>
      </c>
      <c r="S15" s="773">
        <f t="shared" si="0"/>
        <v>100</v>
      </c>
      <c r="T15" s="772" t="s">
        <v>21</v>
      </c>
      <c r="U15" s="773">
        <f t="shared" si="1"/>
        <v>100</v>
      </c>
      <c r="V15" s="772" t="s">
        <v>21</v>
      </c>
      <c r="W15" s="773">
        <f t="shared" si="2"/>
        <v>100</v>
      </c>
      <c r="X15" s="1811"/>
      <c r="Y15" s="3206" t="s">
        <v>2561</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37"/>
      <c r="Q16" s="1808"/>
      <c r="R16" s="772"/>
      <c r="S16" s="773"/>
      <c r="T16" s="772"/>
      <c r="U16" s="773"/>
      <c r="V16" s="772"/>
      <c r="W16" s="773"/>
      <c r="X16" s="1811"/>
      <c r="Y16" s="3207"/>
      <c r="Z16" s="1812"/>
      <c r="AA16" s="1809">
        <v>1</v>
      </c>
      <c r="AB16" s="1809">
        <v>1</v>
      </c>
      <c r="AC16" s="1809">
        <v>1</v>
      </c>
    </row>
    <row r="17" spans="1:29" ht="110.4">
      <c r="A17" s="426"/>
      <c r="B17" s="449" t="s">
        <v>2100</v>
      </c>
      <c r="C17" s="2605" t="str">
        <f>估价对象房地状况!C6</f>
        <v>附近主要有317路、552路、809、通49路等公交线路，紧邻地铁6号线，路网密集度较好，交通便捷度较好。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37"/>
      <c r="Q17" s="1808" t="str">
        <f>B17</f>
        <v>交通便捷度</v>
      </c>
      <c r="R17" s="772" t="s">
        <v>21</v>
      </c>
      <c r="S17" s="773">
        <f>F17</f>
        <v>100</v>
      </c>
      <c r="T17" s="772" t="s">
        <v>21</v>
      </c>
      <c r="U17" s="773">
        <f>H17</f>
        <v>100</v>
      </c>
      <c r="V17" s="772" t="s">
        <v>21</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37"/>
      <c r="Q18" s="1808"/>
      <c r="R18" s="772"/>
      <c r="S18" s="773"/>
      <c r="T18" s="772"/>
      <c r="U18" s="773"/>
      <c r="V18" s="772"/>
      <c r="W18" s="773"/>
      <c r="X18" s="1811"/>
      <c r="Y18" s="3207"/>
      <c r="Z18" s="1812"/>
      <c r="AA18" s="1809">
        <v>1</v>
      </c>
      <c r="AB18" s="1809">
        <v>1</v>
      </c>
      <c r="AC18" s="1809">
        <v>1</v>
      </c>
    </row>
    <row r="19" spans="1:29" ht="165.6">
      <c r="A19" s="426"/>
      <c r="B19" s="449" t="s">
        <v>2098</v>
      </c>
      <c r="C19" s="2605" t="str">
        <f>估价对象房地状况!C7</f>
        <v>估价对象周边有银行（兴业银行（北京通州运河支行）等）、医院（北京京通医院等）、超市（隆品源超市等）、学校（北京通州芙蓉小学等），公共配套设施齐备情况较好。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37"/>
      <c r="Q19" s="1808" t="str">
        <f>B19</f>
        <v>公共配套设施</v>
      </c>
      <c r="R19" s="772" t="s">
        <v>21</v>
      </c>
      <c r="S19" s="773">
        <f>F19</f>
        <v>100</v>
      </c>
      <c r="T19" s="772" t="s">
        <v>21</v>
      </c>
      <c r="U19" s="773">
        <f>H19</f>
        <v>100</v>
      </c>
      <c r="V19" s="772" t="s">
        <v>21</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37"/>
      <c r="Q20" s="1808"/>
      <c r="R20" s="772"/>
      <c r="S20" s="773"/>
      <c r="T20" s="772"/>
      <c r="U20" s="773"/>
      <c r="V20" s="772"/>
      <c r="W20" s="773"/>
      <c r="X20" s="1811"/>
      <c r="Y20" s="3207"/>
      <c r="Z20" s="1812"/>
      <c r="AA20" s="1809">
        <v>1</v>
      </c>
      <c r="AB20" s="1809">
        <v>1</v>
      </c>
      <c r="AC20" s="1809">
        <v>1</v>
      </c>
    </row>
    <row r="21" spans="1:29" ht="15">
      <c r="A21" s="426"/>
      <c r="B21" s="1383" t="s">
        <v>2101</v>
      </c>
      <c r="C21" s="260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37"/>
      <c r="Q22" s="1808"/>
      <c r="R22" s="772"/>
      <c r="S22" s="773"/>
      <c r="T22" s="772"/>
      <c r="U22" s="773"/>
      <c r="V22" s="772"/>
      <c r="W22" s="773"/>
      <c r="X22" s="1811"/>
      <c r="Y22" s="3207"/>
      <c r="Z22" s="1812"/>
      <c r="AA22" s="1809">
        <v>1</v>
      </c>
      <c r="AB22" s="1809">
        <v>1</v>
      </c>
      <c r="AC22" s="1809">
        <v>1</v>
      </c>
    </row>
    <row r="23" spans="1:29" ht="124.2">
      <c r="A23" s="426"/>
      <c r="B23" s="449" t="s">
        <v>2105</v>
      </c>
      <c r="C23" s="2605" t="str">
        <f>估价对象房地状况!C9</f>
        <v>估价对象周边有水系、运河奥体公园，自然环境较好；周边有大运河美术馆等人文设施，人文环境较好；综合评价环境状况较好。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37"/>
      <c r="Q23" s="1808" t="str">
        <f>B23</f>
        <v>自然及人文环境</v>
      </c>
      <c r="R23" s="772" t="s">
        <v>21</v>
      </c>
      <c r="S23" s="773">
        <f>F23</f>
        <v>100</v>
      </c>
      <c r="T23" s="772" t="s">
        <v>21</v>
      </c>
      <c r="U23" s="773">
        <f>H23</f>
        <v>100</v>
      </c>
      <c r="V23" s="772" t="s">
        <v>21</v>
      </c>
      <c r="W23" s="773">
        <f>J23</f>
        <v>100</v>
      </c>
      <c r="X23" s="1811"/>
      <c r="Y23" s="3207"/>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37"/>
      <c r="Q24" s="1808"/>
      <c r="R24" s="772"/>
      <c r="S24" s="773"/>
      <c r="T24" s="772"/>
      <c r="U24" s="773"/>
      <c r="V24" s="772"/>
      <c r="W24" s="773"/>
      <c r="X24" s="1811"/>
      <c r="Y24" s="3207"/>
      <c r="Z24" s="1812"/>
      <c r="AA24" s="1809">
        <v>1</v>
      </c>
      <c r="AB24" s="1809">
        <v>1</v>
      </c>
      <c r="AC24" s="1809">
        <v>1</v>
      </c>
    </row>
    <row r="25" spans="1:29" ht="15">
      <c r="A25" s="426"/>
      <c r="B25" s="420" t="s">
        <v>2562</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3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c r="A26" s="426"/>
      <c r="B26" s="420" t="s">
        <v>2563</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37"/>
      <c r="Q26" s="1808" t="str">
        <f t="shared" si="11"/>
        <v>朝向</v>
      </c>
      <c r="R26" s="772" t="s">
        <v>21</v>
      </c>
      <c r="S26" s="773">
        <f t="shared" si="12"/>
        <v>100</v>
      </c>
      <c r="T26" s="772" t="s">
        <v>21</v>
      </c>
      <c r="U26" s="773">
        <f t="shared" si="13"/>
        <v>100</v>
      </c>
      <c r="V26" s="772" t="s">
        <v>21</v>
      </c>
      <c r="W26" s="773">
        <f t="shared" si="14"/>
        <v>100</v>
      </c>
      <c r="X26" s="1811"/>
      <c r="Y26" s="3207"/>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37"/>
      <c r="Q27" s="1793">
        <f t="shared" si="11"/>
        <v>111</v>
      </c>
      <c r="R27" s="768" t="s">
        <v>21</v>
      </c>
      <c r="S27" s="769">
        <f t="shared" si="12"/>
        <v>100</v>
      </c>
      <c r="T27" s="768" t="s">
        <v>21</v>
      </c>
      <c r="U27" s="769">
        <f t="shared" si="13"/>
        <v>100</v>
      </c>
      <c r="V27" s="768" t="s">
        <v>21</v>
      </c>
      <c r="W27" s="769">
        <f t="shared" si="14"/>
        <v>100</v>
      </c>
      <c r="X27" s="770"/>
      <c r="Y27" s="3207"/>
      <c r="Z27" s="54">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37"/>
      <c r="Q28" s="1808">
        <f t="shared" si="11"/>
        <v>111</v>
      </c>
      <c r="R28" s="772" t="s">
        <v>21</v>
      </c>
      <c r="S28" s="773">
        <f t="shared" si="12"/>
        <v>100</v>
      </c>
      <c r="T28" s="772" t="s">
        <v>21</v>
      </c>
      <c r="U28" s="773">
        <f t="shared" si="13"/>
        <v>100</v>
      </c>
      <c r="V28" s="772" t="s">
        <v>21</v>
      </c>
      <c r="W28" s="773">
        <f t="shared" si="14"/>
        <v>100</v>
      </c>
      <c r="X28" s="1811"/>
      <c r="Y28" s="3207"/>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37"/>
      <c r="Q29" s="1808">
        <f t="shared" si="11"/>
        <v>111</v>
      </c>
      <c r="R29" s="772" t="s">
        <v>21</v>
      </c>
      <c r="S29" s="773">
        <f t="shared" si="12"/>
        <v>100</v>
      </c>
      <c r="T29" s="772" t="s">
        <v>21</v>
      </c>
      <c r="U29" s="773">
        <f t="shared" si="13"/>
        <v>100</v>
      </c>
      <c r="V29" s="772" t="s">
        <v>21</v>
      </c>
      <c r="W29" s="773">
        <f t="shared" si="14"/>
        <v>100</v>
      </c>
      <c r="X29" s="1811"/>
      <c r="Y29" s="3207"/>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37"/>
      <c r="Q30" s="1808">
        <f t="shared" si="11"/>
        <v>111</v>
      </c>
      <c r="R30" s="772" t="s">
        <v>21</v>
      </c>
      <c r="S30" s="773">
        <f t="shared" si="12"/>
        <v>100</v>
      </c>
      <c r="T30" s="772" t="s">
        <v>21</v>
      </c>
      <c r="U30" s="773">
        <f t="shared" si="13"/>
        <v>100</v>
      </c>
      <c r="V30" s="772" t="s">
        <v>21</v>
      </c>
      <c r="W30" s="773">
        <f t="shared" si="14"/>
        <v>100</v>
      </c>
      <c r="X30" s="1811"/>
      <c r="Y30" s="3207"/>
      <c r="Z30" s="1812">
        <f t="shared" si="18"/>
        <v>111</v>
      </c>
      <c r="AA30" s="1809">
        <f t="shared" si="15"/>
        <v>1</v>
      </c>
      <c r="AB30" s="1809">
        <f t="shared" si="16"/>
        <v>1</v>
      </c>
      <c r="AC30" s="1809">
        <f t="shared" si="17"/>
        <v>1</v>
      </c>
    </row>
    <row r="31" spans="1:29" ht="15.6"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37"/>
      <c r="Q31" s="1808">
        <f t="shared" si="11"/>
        <v>111</v>
      </c>
      <c r="R31" s="772" t="s">
        <v>21</v>
      </c>
      <c r="S31" s="773">
        <f t="shared" si="12"/>
        <v>100</v>
      </c>
      <c r="T31" s="772" t="s">
        <v>21</v>
      </c>
      <c r="U31" s="773">
        <f t="shared" si="13"/>
        <v>100</v>
      </c>
      <c r="V31" s="772" t="s">
        <v>21</v>
      </c>
      <c r="W31" s="773">
        <f t="shared" si="14"/>
        <v>100</v>
      </c>
      <c r="X31" s="1811"/>
      <c r="Y31" s="3207"/>
      <c r="Z31" s="1812">
        <f t="shared" si="18"/>
        <v>111</v>
      </c>
      <c r="AA31" s="1809">
        <f t="shared" si="15"/>
        <v>1</v>
      </c>
      <c r="AB31" s="1809">
        <f t="shared" si="16"/>
        <v>1</v>
      </c>
      <c r="AC31" s="1809">
        <f t="shared" si="17"/>
        <v>1</v>
      </c>
    </row>
    <row r="32" spans="1:29" ht="15">
      <c r="A32" s="438" t="s">
        <v>2564</v>
      </c>
      <c r="B32" s="70" t="s">
        <v>2565</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8" t="s">
        <v>2566</v>
      </c>
      <c r="Q32" s="1808" t="str">
        <f t="shared" si="11"/>
        <v>建筑类型</v>
      </c>
      <c r="R32" s="772" t="s">
        <v>21</v>
      </c>
      <c r="S32" s="773">
        <f t="shared" si="12"/>
        <v>100</v>
      </c>
      <c r="T32" s="772" t="s">
        <v>21</v>
      </c>
      <c r="U32" s="773">
        <f t="shared" si="13"/>
        <v>100</v>
      </c>
      <c r="V32" s="772" t="s">
        <v>21</v>
      </c>
      <c r="W32" s="773">
        <f t="shared" si="14"/>
        <v>100</v>
      </c>
      <c r="X32" s="1811"/>
      <c r="Y32" s="3209" t="s">
        <v>2566</v>
      </c>
      <c r="Z32" s="1812" t="str">
        <f t="shared" si="18"/>
        <v>建筑类型</v>
      </c>
      <c r="AA32" s="1809">
        <f t="shared" si="15"/>
        <v>1</v>
      </c>
      <c r="AB32" s="1809">
        <f t="shared" si="16"/>
        <v>1</v>
      </c>
      <c r="AC32" s="1809">
        <f t="shared" si="17"/>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9"/>
      <c r="Q33" s="774" t="str">
        <f t="shared" si="11"/>
        <v>项目建筑规模</v>
      </c>
      <c r="R33" s="775" t="s">
        <v>21</v>
      </c>
      <c r="S33" s="776" t="e">
        <f t="shared" si="12"/>
        <v>#N/A</v>
      </c>
      <c r="T33" s="775" t="s">
        <v>21</v>
      </c>
      <c r="U33" s="776" t="e">
        <f t="shared" si="13"/>
        <v>#N/A</v>
      </c>
      <c r="V33" s="775" t="s">
        <v>21</v>
      </c>
      <c r="W33" s="776" t="e">
        <f t="shared" si="14"/>
        <v>#N/A</v>
      </c>
      <c r="X33" s="777"/>
      <c r="Y33" s="3209"/>
      <c r="Z33" s="778" t="str">
        <f t="shared" si="18"/>
        <v>项目建筑规模</v>
      </c>
      <c r="AA33" s="1809" t="e">
        <f t="shared" si="15"/>
        <v>#N/A</v>
      </c>
      <c r="AB33" s="1809" t="e">
        <f t="shared" si="16"/>
        <v>#N/A</v>
      </c>
      <c r="AC33" s="1809" t="e">
        <f t="shared" si="17"/>
        <v>#N/A</v>
      </c>
    </row>
    <row r="34" spans="1:29" ht="15">
      <c r="A34" s="470"/>
      <c r="B34" s="420" t="s">
        <v>2568</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9"/>
      <c r="Q34" s="1808" t="str">
        <f t="shared" si="11"/>
        <v>建筑结构</v>
      </c>
      <c r="R34" s="772" t="s">
        <v>21</v>
      </c>
      <c r="S34" s="773">
        <f t="shared" si="12"/>
        <v>100</v>
      </c>
      <c r="T34" s="772" t="s">
        <v>21</v>
      </c>
      <c r="U34" s="773">
        <f t="shared" si="13"/>
        <v>100</v>
      </c>
      <c r="V34" s="772" t="s">
        <v>21</v>
      </c>
      <c r="W34" s="773">
        <f t="shared" si="14"/>
        <v>100</v>
      </c>
      <c r="X34" s="1811"/>
      <c r="Y34" s="3209"/>
      <c r="Z34" s="1812" t="str">
        <f t="shared" si="18"/>
        <v>建筑结构</v>
      </c>
      <c r="AA34" s="1809">
        <f t="shared" si="15"/>
        <v>1</v>
      </c>
      <c r="AB34" s="1809">
        <f t="shared" si="16"/>
        <v>1</v>
      </c>
      <c r="AC34" s="1809">
        <f t="shared" si="17"/>
        <v>1</v>
      </c>
    </row>
    <row r="35" spans="1:29" ht="15">
      <c r="A35" s="470"/>
      <c r="B35" s="420" t="s">
        <v>2569</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9"/>
      <c r="Q35" s="1808" t="str">
        <f t="shared" si="11"/>
        <v>建筑品质</v>
      </c>
      <c r="R35" s="772" t="s">
        <v>21</v>
      </c>
      <c r="S35" s="773">
        <f t="shared" si="12"/>
        <v>100</v>
      </c>
      <c r="T35" s="772" t="s">
        <v>21</v>
      </c>
      <c r="U35" s="773">
        <f t="shared" si="13"/>
        <v>100</v>
      </c>
      <c r="V35" s="772" t="s">
        <v>21</v>
      </c>
      <c r="W35" s="773">
        <f t="shared" si="14"/>
        <v>100</v>
      </c>
      <c r="X35" s="1811"/>
      <c r="Y35" s="3209"/>
      <c r="Z35" s="1812" t="str">
        <f t="shared" si="18"/>
        <v>建筑品质</v>
      </c>
      <c r="AA35" s="1809">
        <f t="shared" si="15"/>
        <v>1</v>
      </c>
      <c r="AB35" s="1809">
        <f t="shared" si="16"/>
        <v>1</v>
      </c>
      <c r="AC35" s="1809">
        <f t="shared" si="17"/>
        <v>1</v>
      </c>
    </row>
    <row r="36" spans="1:29" ht="15">
      <c r="A36" s="470"/>
      <c r="B36" s="420" t="s">
        <v>2570</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9"/>
      <c r="Q36" s="1808" t="str">
        <f t="shared" si="11"/>
        <v>公共部分装修</v>
      </c>
      <c r="R36" s="772" t="s">
        <v>21</v>
      </c>
      <c r="S36" s="773">
        <f t="shared" si="12"/>
        <v>100</v>
      </c>
      <c r="T36" s="772" t="s">
        <v>21</v>
      </c>
      <c r="U36" s="773">
        <f t="shared" si="13"/>
        <v>100</v>
      </c>
      <c r="V36" s="772" t="s">
        <v>21</v>
      </c>
      <c r="W36" s="773">
        <f t="shared" si="14"/>
        <v>100</v>
      </c>
      <c r="X36" s="1811"/>
      <c r="Y36" s="3209"/>
      <c r="Z36" s="1812" t="str">
        <f t="shared" si="18"/>
        <v>公共部分装修</v>
      </c>
      <c r="AA36" s="1809">
        <f t="shared" si="15"/>
        <v>1</v>
      </c>
      <c r="AB36" s="1809">
        <f t="shared" si="16"/>
        <v>1</v>
      </c>
      <c r="AC36" s="1809">
        <f t="shared" si="17"/>
        <v>1</v>
      </c>
    </row>
    <row r="37" spans="1:29" s="115" customFormat="1" ht="15">
      <c r="A37" s="471"/>
      <c r="B37" s="420" t="s">
        <v>2571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9"/>
      <c r="Q37" s="1793" t="str">
        <f t="shared" si="11"/>
        <v>成新度</v>
      </c>
      <c r="R37" s="768" t="s">
        <v>21</v>
      </c>
      <c r="S37" s="769" t="e">
        <f t="shared" si="12"/>
        <v>#N/A</v>
      </c>
      <c r="T37" s="768" t="s">
        <v>21</v>
      </c>
      <c r="U37" s="769" t="e">
        <f t="shared" si="13"/>
        <v>#N/A</v>
      </c>
      <c r="V37" s="768" t="s">
        <v>21</v>
      </c>
      <c r="W37" s="769" t="e">
        <f t="shared" si="14"/>
        <v>#N/A</v>
      </c>
      <c r="X37" s="770"/>
      <c r="Y37" s="3209"/>
      <c r="Z37" s="54" t="str">
        <f t="shared" si="18"/>
        <v>成新度</v>
      </c>
      <c r="AA37" s="771" t="e">
        <f t="shared" si="15"/>
        <v>#N/A</v>
      </c>
      <c r="AB37" s="771" t="e">
        <f t="shared" si="16"/>
        <v>#N/A</v>
      </c>
      <c r="AC37" s="771" t="e">
        <f t="shared" si="17"/>
        <v>#N/A</v>
      </c>
    </row>
    <row r="38" spans="1:29" ht="15">
      <c r="A38" s="470"/>
      <c r="B38" s="420" t="s">
        <v>2572</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9" t="s">
        <v>2566</v>
      </c>
      <c r="Q38" s="1808" t="str">
        <f t="shared" si="11"/>
        <v>物业管理</v>
      </c>
      <c r="R38" s="772" t="s">
        <v>21</v>
      </c>
      <c r="S38" s="773">
        <f t="shared" si="12"/>
        <v>100</v>
      </c>
      <c r="T38" s="772" t="s">
        <v>21</v>
      </c>
      <c r="U38" s="773">
        <f t="shared" si="13"/>
        <v>100</v>
      </c>
      <c r="V38" s="772" t="s">
        <v>21</v>
      </c>
      <c r="W38" s="773">
        <f t="shared" si="14"/>
        <v>100</v>
      </c>
      <c r="X38" s="1811"/>
      <c r="Y38" s="3209" t="s">
        <v>2566</v>
      </c>
      <c r="Z38" s="1812" t="str">
        <f t="shared" si="18"/>
        <v>物业管理</v>
      </c>
      <c r="AA38" s="1809">
        <f t="shared" si="15"/>
        <v>1</v>
      </c>
      <c r="AB38" s="1809">
        <f t="shared" si="16"/>
        <v>1</v>
      </c>
      <c r="AC38" s="1809">
        <f t="shared" si="17"/>
        <v>1</v>
      </c>
    </row>
    <row r="39" spans="1:29" ht="15">
      <c r="A39" s="470"/>
      <c r="B39" s="420" t="s">
        <v>2573</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9"/>
      <c r="Q39" s="1808" t="str">
        <f t="shared" si="11"/>
        <v>市政基础设施</v>
      </c>
      <c r="R39" s="772" t="s">
        <v>21</v>
      </c>
      <c r="S39" s="773">
        <f t="shared" si="12"/>
        <v>100</v>
      </c>
      <c r="T39" s="772" t="s">
        <v>21</v>
      </c>
      <c r="U39" s="773">
        <f t="shared" si="13"/>
        <v>100</v>
      </c>
      <c r="V39" s="772" t="s">
        <v>21</v>
      </c>
      <c r="W39" s="773">
        <f t="shared" si="14"/>
        <v>100</v>
      </c>
      <c r="X39" s="1811"/>
      <c r="Y39" s="3209"/>
      <c r="Z39" s="1812" t="str">
        <f t="shared" si="18"/>
        <v>市政基础设施</v>
      </c>
      <c r="AA39" s="1809">
        <f t="shared" si="15"/>
        <v>1</v>
      </c>
      <c r="AB39" s="1809">
        <f t="shared" si="16"/>
        <v>1</v>
      </c>
      <c r="AC39" s="1809">
        <f t="shared" si="17"/>
        <v>1</v>
      </c>
    </row>
    <row r="40" spans="1:29" ht="15">
      <c r="A40" s="470"/>
      <c r="B40" s="420" t="s">
        <v>2574</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9"/>
      <c r="Q40" s="1808" t="str">
        <f t="shared" si="11"/>
        <v>房型</v>
      </c>
      <c r="R40" s="772" t="s">
        <v>21</v>
      </c>
      <c r="S40" s="773">
        <f t="shared" si="12"/>
        <v>100</v>
      </c>
      <c r="T40" s="772" t="s">
        <v>21</v>
      </c>
      <c r="U40" s="773">
        <f t="shared" si="13"/>
        <v>100</v>
      </c>
      <c r="V40" s="772" t="s">
        <v>21</v>
      </c>
      <c r="W40" s="773">
        <f t="shared" si="14"/>
        <v>100</v>
      </c>
      <c r="X40" s="1811"/>
      <c r="Y40" s="3209"/>
      <c r="Z40" s="1812" t="str">
        <f t="shared" si="18"/>
        <v>房型</v>
      </c>
      <c r="AA40" s="1809">
        <f t="shared" si="15"/>
        <v>1</v>
      </c>
      <c r="AB40" s="1809">
        <f t="shared" si="16"/>
        <v>1</v>
      </c>
      <c r="AC40" s="1809">
        <f t="shared" si="17"/>
        <v>1</v>
      </c>
    </row>
    <row r="41" spans="1:29" s="469" customFormat="1" ht="28.8">
      <c r="A41" s="466"/>
      <c r="B41" s="420" t="s">
        <v>2575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9"/>
      <c r="Q41" s="774" t="str">
        <f t="shared" si="11"/>
        <v>单套/主力户型建筑面积</v>
      </c>
      <c r="R41" s="775" t="s">
        <v>21</v>
      </c>
      <c r="S41" s="776">
        <f t="shared" si="12"/>
        <v>100</v>
      </c>
      <c r="T41" s="775" t="s">
        <v>21</v>
      </c>
      <c r="U41" s="776">
        <f t="shared" si="13"/>
        <v>100</v>
      </c>
      <c r="V41" s="775" t="s">
        <v>21</v>
      </c>
      <c r="W41" s="776">
        <f t="shared" si="14"/>
        <v>100</v>
      </c>
      <c r="X41" s="777"/>
      <c r="Y41" s="3209"/>
      <c r="Z41" s="778" t="str">
        <f t="shared" si="18"/>
        <v>单套/主力户型建筑面积</v>
      </c>
      <c r="AA41" s="1809">
        <f t="shared" si="15"/>
        <v>1</v>
      </c>
      <c r="AB41" s="1809">
        <f t="shared" si="16"/>
        <v>1</v>
      </c>
      <c r="AC41" s="1809">
        <f t="shared" si="17"/>
        <v>1</v>
      </c>
    </row>
    <row r="42" spans="1:29" ht="15">
      <c r="A42" s="470"/>
      <c r="B42" s="420" t="s">
        <v>2576</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9"/>
      <c r="Q42" s="1808" t="str">
        <f t="shared" si="11"/>
        <v>内部装修</v>
      </c>
      <c r="R42" s="772" t="s">
        <v>21</v>
      </c>
      <c r="S42" s="773">
        <f t="shared" si="12"/>
        <v>100</v>
      </c>
      <c r="T42" s="772" t="s">
        <v>21</v>
      </c>
      <c r="U42" s="773">
        <f t="shared" si="13"/>
        <v>100</v>
      </c>
      <c r="V42" s="772" t="s">
        <v>21</v>
      </c>
      <c r="W42" s="773">
        <f t="shared" si="14"/>
        <v>100</v>
      </c>
      <c r="X42" s="1811"/>
      <c r="Y42" s="3209"/>
      <c r="Z42" s="1812" t="str">
        <f t="shared" si="18"/>
        <v>内部装修</v>
      </c>
      <c r="AA42" s="1809">
        <f t="shared" si="15"/>
        <v>1</v>
      </c>
      <c r="AB42" s="1809">
        <f t="shared" si="16"/>
        <v>1</v>
      </c>
      <c r="AC42" s="1809">
        <f t="shared" si="17"/>
        <v>1</v>
      </c>
    </row>
    <row r="43" spans="1:29" ht="28.8">
      <c r="A43" s="470"/>
      <c r="B43" s="420" t="s">
        <v>2577</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9"/>
      <c r="Q43" s="1808" t="str">
        <f t="shared" si="11"/>
        <v>内部装修维护情况</v>
      </c>
      <c r="R43" s="772" t="s">
        <v>21</v>
      </c>
      <c r="S43" s="773">
        <f t="shared" si="12"/>
        <v>100</v>
      </c>
      <c r="T43" s="772" t="s">
        <v>21</v>
      </c>
      <c r="U43" s="773">
        <f t="shared" si="13"/>
        <v>100</v>
      </c>
      <c r="V43" s="772" t="s">
        <v>21</v>
      </c>
      <c r="W43" s="773">
        <f t="shared" si="14"/>
        <v>100</v>
      </c>
      <c r="X43" s="1811"/>
      <c r="Y43" s="3209"/>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9"/>
      <c r="Q44" s="1793">
        <f t="shared" si="11"/>
        <v>111</v>
      </c>
      <c r="R44" s="768" t="s">
        <v>21</v>
      </c>
      <c r="S44" s="769">
        <f t="shared" si="12"/>
        <v>100</v>
      </c>
      <c r="T44" s="768" t="s">
        <v>21</v>
      </c>
      <c r="U44" s="769">
        <f t="shared" si="13"/>
        <v>100</v>
      </c>
      <c r="V44" s="768" t="s">
        <v>21</v>
      </c>
      <c r="W44" s="769">
        <f t="shared" si="14"/>
        <v>100</v>
      </c>
      <c r="X44" s="770"/>
      <c r="Y44" s="3209"/>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9"/>
      <c r="Q45" s="1808">
        <f t="shared" si="11"/>
        <v>111</v>
      </c>
      <c r="R45" s="772" t="s">
        <v>21</v>
      </c>
      <c r="S45" s="773">
        <f t="shared" si="12"/>
        <v>100</v>
      </c>
      <c r="T45" s="772" t="s">
        <v>21</v>
      </c>
      <c r="U45" s="773">
        <f t="shared" si="13"/>
        <v>100</v>
      </c>
      <c r="V45" s="772" t="s">
        <v>21</v>
      </c>
      <c r="W45" s="773">
        <f t="shared" si="14"/>
        <v>100</v>
      </c>
      <c r="X45" s="1811"/>
      <c r="Y45" s="3209"/>
      <c r="Z45" s="1812">
        <f t="shared" si="18"/>
        <v>111</v>
      </c>
      <c r="AA45" s="1809">
        <f t="shared" si="15"/>
        <v>1</v>
      </c>
      <c r="AB45" s="1809">
        <f t="shared" si="16"/>
        <v>1</v>
      </c>
      <c r="AC45" s="1809">
        <f t="shared" si="17"/>
        <v>1</v>
      </c>
    </row>
    <row r="46" spans="1:29" ht="15.6"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40"/>
      <c r="Q46" s="1808">
        <f t="shared" si="11"/>
        <v>111</v>
      </c>
      <c r="R46" s="772" t="s">
        <v>20</v>
      </c>
      <c r="S46" s="773">
        <f t="shared" si="12"/>
        <v>100</v>
      </c>
      <c r="T46" s="772" t="s">
        <v>20</v>
      </c>
      <c r="U46" s="773">
        <f t="shared" si="13"/>
        <v>100</v>
      </c>
      <c r="V46" s="772" t="s">
        <v>20</v>
      </c>
      <c r="W46" s="773">
        <f t="shared" si="14"/>
        <v>100</v>
      </c>
      <c r="X46" s="1811"/>
      <c r="Y46" s="3241"/>
      <c r="Z46" s="1812">
        <f t="shared" si="18"/>
        <v>111</v>
      </c>
      <c r="AA46" s="1809">
        <f t="shared" si="15"/>
        <v>1</v>
      </c>
      <c r="AB46" s="1809">
        <f t="shared" si="16"/>
        <v>1</v>
      </c>
      <c r="AC46" s="1809">
        <f t="shared" si="17"/>
        <v>1</v>
      </c>
    </row>
    <row r="47" spans="1:29" ht="14.4">
      <c r="A47" s="477" t="s">
        <v>2578</v>
      </c>
      <c r="B47" s="478"/>
      <c r="C47" s="1406" t="s">
        <v>19</v>
      </c>
      <c r="D47" s="1407"/>
      <c r="E47" s="1408"/>
      <c r="F47" s="1409"/>
      <c r="G47" s="1410"/>
      <c r="H47" s="1411"/>
      <c r="I47" s="1408"/>
      <c r="J47" s="1411"/>
      <c r="K47" s="2619"/>
      <c r="L47" s="1143"/>
      <c r="M47" s="1144"/>
      <c r="N47" s="1131"/>
      <c r="O47" s="1144"/>
      <c r="P47" s="3191" t="str">
        <f>A47</f>
        <v>成交单价（元/平方米）</v>
      </c>
      <c r="Q47" s="3191"/>
      <c r="R47" s="3242">
        <f>E47</f>
        <v>0</v>
      </c>
      <c r="S47" s="3242"/>
      <c r="T47" s="3242">
        <f>G47</f>
        <v>0</v>
      </c>
      <c r="U47" s="3242"/>
      <c r="V47" s="3242">
        <f>I47</f>
        <v>0</v>
      </c>
      <c r="W47" s="3242"/>
      <c r="X47" s="757"/>
      <c r="Y47" s="779"/>
      <c r="Z47" s="757"/>
      <c r="AA47" s="757"/>
      <c r="AB47" s="757"/>
      <c r="AC47" s="757"/>
    </row>
    <row r="48" spans="1:29" ht="15" thickBot="1">
      <c r="A48" s="484" t="s">
        <v>2579</v>
      </c>
      <c r="B48" s="485"/>
      <c r="C48" s="1412" t="e">
        <f>R49</f>
        <v>#DIV/0!</v>
      </c>
      <c r="D48" s="1413"/>
      <c r="E48" s="1414" t="e">
        <f>R48</f>
        <v>#DIV/0!</v>
      </c>
      <c r="F48" s="1414"/>
      <c r="G48" s="1412" t="e">
        <f>T48</f>
        <v>#DIV/0!</v>
      </c>
      <c r="H48" s="1413"/>
      <c r="I48" s="1414" t="e">
        <f>V48</f>
        <v>#DIV/0!</v>
      </c>
      <c r="J48" s="1413"/>
      <c r="K48" s="2620"/>
      <c r="L48" s="1143"/>
      <c r="M48" s="1144"/>
      <c r="N48" s="1144"/>
      <c r="O48" s="1144"/>
      <c r="P48" s="3191" t="str">
        <f>A48</f>
        <v>比较价值（元/平方米）</v>
      </c>
      <c r="Q48" s="319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 thickBot="1">
      <c r="A49" s="490" t="s">
        <v>2580</v>
      </c>
      <c r="B49" s="491"/>
      <c r="C49" s="1415" t="e">
        <f>R49</f>
        <v>#DIV/0!</v>
      </c>
      <c r="D49" s="1416"/>
      <c r="E49" s="1416"/>
      <c r="F49" s="1416"/>
      <c r="G49" s="1416"/>
      <c r="H49" s="1416"/>
      <c r="I49" s="1416"/>
      <c r="J49" s="1416"/>
      <c r="K49" s="2621"/>
      <c r="L49" s="1143"/>
      <c r="M49" s="1144"/>
      <c r="N49" s="1144"/>
      <c r="O49" s="1144"/>
      <c r="P49" s="3212" t="str">
        <f>A49</f>
        <v>估价对象XX用房的比较价值（楼面单价，元/平方米）</v>
      </c>
      <c r="Q49" s="3213"/>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1" t="s">
        <v>2584</v>
      </c>
      <c r="B57" s="757"/>
      <c r="C57" s="762"/>
      <c r="D57" s="762"/>
      <c r="E57" s="762"/>
      <c r="F57" s="763"/>
      <c r="G57" s="763"/>
      <c r="H57" s="762"/>
      <c r="I57" s="762"/>
      <c r="J57" s="762"/>
      <c r="K57" s="1160"/>
      <c r="L57" s="1161"/>
      <c r="M57" s="1159"/>
      <c r="N57" s="1159"/>
      <c r="O57" s="1159"/>
      <c r="P57" s="2624"/>
      <c r="Q57" s="502"/>
    </row>
    <row r="58" spans="1:29" s="506" customFormat="1" ht="14.4">
      <c r="A58" s="503" t="s">
        <v>2585</v>
      </c>
      <c r="B58" s="504"/>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5" customFormat="1">
      <c r="A59" s="507"/>
      <c r="B59" s="2625"/>
      <c r="C59" s="1571">
        <v>100</v>
      </c>
      <c r="D59" s="509"/>
      <c r="E59" s="510"/>
      <c r="F59" s="510"/>
      <c r="G59" s="510"/>
      <c r="H59" s="510"/>
      <c r="I59" s="510"/>
      <c r="J59" s="510"/>
      <c r="K59" s="510"/>
      <c r="L59" s="510"/>
      <c r="M59" s="511"/>
      <c r="N59" s="510"/>
      <c r="O59" s="511"/>
      <c r="P59" s="2626"/>
    </row>
    <row r="60" spans="1:29" s="115" customFormat="1" ht="15" thickBot="1">
      <c r="A60" s="513" t="s">
        <v>2586</v>
      </c>
      <c r="B60" s="514"/>
      <c r="C60" s="515"/>
      <c r="D60" s="516"/>
      <c r="E60" s="516"/>
      <c r="F60" s="516"/>
      <c r="G60" s="516"/>
      <c r="H60" s="516"/>
      <c r="I60" s="516"/>
      <c r="J60" s="516"/>
      <c r="K60" s="516"/>
      <c r="L60" s="516"/>
      <c r="M60" s="517"/>
      <c r="N60" s="516"/>
      <c r="O60" s="517"/>
      <c r="P60" s="2626"/>
      <c r="Q60" s="502"/>
    </row>
    <row r="61" spans="1:29" s="115" customFormat="1" ht="14.4">
      <c r="A61" s="519" t="s">
        <v>2587</v>
      </c>
      <c r="B61" s="508"/>
      <c r="C61" s="520" t="s">
        <v>2588</v>
      </c>
      <c r="D61" s="521"/>
      <c r="E61" s="521"/>
      <c r="F61" s="521"/>
      <c r="G61" s="521"/>
      <c r="H61" s="521"/>
      <c r="I61" s="521"/>
      <c r="J61" s="521"/>
      <c r="K61" s="521"/>
      <c r="L61" s="522"/>
      <c r="M61" s="523"/>
      <c r="N61" s="1151"/>
      <c r="O61" s="1151"/>
      <c r="P61" s="2627"/>
      <c r="Q61" s="502"/>
    </row>
    <row r="62" spans="1:29" s="115" customFormat="1" ht="14.4" thickBot="1">
      <c r="A62" s="519"/>
      <c r="B62" s="508"/>
      <c r="C62" s="509">
        <v>100</v>
      </c>
      <c r="D62" s="510"/>
      <c r="E62" s="510"/>
      <c r="F62" s="510"/>
      <c r="G62" s="510"/>
      <c r="H62" s="510"/>
      <c r="I62" s="510"/>
      <c r="J62" s="510"/>
      <c r="K62" s="510"/>
      <c r="L62" s="510"/>
      <c r="M62" s="512"/>
      <c r="N62" s="1151"/>
      <c r="O62" s="1151"/>
      <c r="P62" s="2626"/>
      <c r="Q62" s="502"/>
    </row>
    <row r="63" spans="1:29" ht="14.4">
      <c r="A63" s="525" t="s">
        <v>2589</v>
      </c>
      <c r="B63" s="526" t="s">
        <v>2555</v>
      </c>
      <c r="C63" s="527">
        <f>C9</f>
        <v>0</v>
      </c>
      <c r="D63" s="528"/>
      <c r="E63" s="528"/>
      <c r="F63" s="528"/>
      <c r="G63" s="528"/>
      <c r="H63" s="528"/>
      <c r="I63" s="528"/>
      <c r="J63" s="528"/>
      <c r="K63" s="529"/>
      <c r="L63" s="530"/>
      <c r="M63" s="531"/>
      <c r="N63" s="1152"/>
      <c r="O63" s="1152"/>
      <c r="P63" s="2628"/>
      <c r="Q63" s="502"/>
    </row>
    <row r="64" spans="1:29" ht="14.4" thickBot="1">
      <c r="A64" s="532"/>
      <c r="B64" s="533"/>
      <c r="C64" s="534">
        <v>100</v>
      </c>
      <c r="D64" s="534"/>
      <c r="E64" s="534"/>
      <c r="F64" s="534"/>
      <c r="G64" s="534"/>
      <c r="H64" s="534"/>
      <c r="I64" s="534"/>
      <c r="J64" s="534"/>
      <c r="K64" s="534"/>
      <c r="L64" s="534"/>
      <c r="M64" s="535"/>
      <c r="N64" s="1153"/>
      <c r="O64" s="1153"/>
      <c r="P64" s="2628"/>
      <c r="Q64" s="502"/>
    </row>
    <row r="65" spans="1:17" ht="29.4"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 thickTop="1">
      <c r="A67" s="532"/>
      <c r="B67" s="544" t="s">
        <v>2559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c r="A68" s="532"/>
      <c r="B68" s="546"/>
      <c r="C68" s="547"/>
      <c r="D68" s="547"/>
      <c r="E68" s="547"/>
      <c r="F68" s="547"/>
      <c r="G68" s="547"/>
      <c r="H68" s="547"/>
      <c r="I68" s="547"/>
      <c r="J68" s="547"/>
      <c r="K68" s="548"/>
      <c r="L68" s="549"/>
      <c r="M68" s="550"/>
      <c r="N68" s="1152"/>
      <c r="O68" s="1152"/>
      <c r="P68" s="2628"/>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4.4" thickTop="1">
      <c r="A70" s="551"/>
      <c r="B70" s="536">
        <f>B12</f>
        <v>111</v>
      </c>
      <c r="C70" s="552"/>
      <c r="D70" s="552"/>
      <c r="E70" s="552"/>
      <c r="F70" s="552"/>
      <c r="G70" s="552"/>
      <c r="H70" s="553"/>
      <c r="I70" s="553"/>
      <c r="J70" s="553"/>
      <c r="K70" s="553"/>
      <c r="L70" s="554"/>
      <c r="M70" s="555"/>
      <c r="N70" s="1154"/>
      <c r="O70" s="1154"/>
      <c r="P70" s="2629"/>
      <c r="Q70" s="557"/>
    </row>
    <row r="71" spans="1:17" s="469" customFormat="1" ht="14.4" thickBot="1">
      <c r="A71" s="551"/>
      <c r="B71" s="541"/>
      <c r="C71" s="558"/>
      <c r="D71" s="534"/>
      <c r="E71" s="534"/>
      <c r="F71" s="534"/>
      <c r="G71" s="534"/>
      <c r="H71" s="534"/>
      <c r="I71" s="534"/>
      <c r="J71" s="534"/>
      <c r="K71" s="534"/>
      <c r="L71" s="534"/>
      <c r="M71" s="535"/>
      <c r="N71" s="1153"/>
      <c r="O71" s="1153"/>
      <c r="P71" s="2629"/>
      <c r="Q71" s="557"/>
    </row>
    <row r="72" spans="1:17" s="469" customFormat="1" ht="14.4" thickTop="1">
      <c r="A72" s="551"/>
      <c r="B72" s="536">
        <f>B13</f>
        <v>111</v>
      </c>
      <c r="C72" s="552"/>
      <c r="D72" s="552"/>
      <c r="E72" s="552"/>
      <c r="F72" s="552"/>
      <c r="G72" s="552"/>
      <c r="H72" s="553"/>
      <c r="I72" s="553"/>
      <c r="J72" s="553"/>
      <c r="K72" s="553"/>
      <c r="L72" s="554"/>
      <c r="M72" s="555"/>
      <c r="N72" s="1154"/>
      <c r="O72" s="1154"/>
      <c r="P72" s="2630"/>
      <c r="Q72" s="559"/>
    </row>
    <row r="73" spans="1:17" s="469" customFormat="1" ht="14.4" thickBot="1">
      <c r="A73" s="551"/>
      <c r="B73" s="541"/>
      <c r="C73" s="558"/>
      <c r="D73" s="558"/>
      <c r="E73" s="558"/>
      <c r="F73" s="558"/>
      <c r="G73" s="558"/>
      <c r="H73" s="560"/>
      <c r="I73" s="560"/>
      <c r="J73" s="560"/>
      <c r="K73" s="560"/>
      <c r="L73" s="560"/>
      <c r="M73" s="561"/>
      <c r="N73" s="1154"/>
      <c r="O73" s="1154"/>
      <c r="P73" s="2629"/>
      <c r="Q73" s="557"/>
    </row>
    <row r="74" spans="1:17" s="469" customFormat="1" ht="14.4" thickTop="1">
      <c r="A74" s="551"/>
      <c r="B74" s="544">
        <f>B14</f>
        <v>111</v>
      </c>
      <c r="C74" s="552"/>
      <c r="D74" s="552"/>
      <c r="E74" s="552"/>
      <c r="F74" s="552"/>
      <c r="G74" s="521"/>
      <c r="H74" s="562"/>
      <c r="I74" s="562"/>
      <c r="J74" s="562"/>
      <c r="K74" s="562"/>
      <c r="L74" s="563"/>
      <c r="M74" s="564"/>
      <c r="N74" s="1154"/>
      <c r="O74" s="1154"/>
      <c r="P74" s="2631"/>
      <c r="Q74" s="557"/>
    </row>
    <row r="75" spans="1:17" s="469" customFormat="1" ht="14.4" thickBot="1">
      <c r="A75" s="566"/>
      <c r="B75" s="567"/>
      <c r="C75" s="568"/>
      <c r="D75" s="568"/>
      <c r="E75" s="568"/>
      <c r="F75" s="568"/>
      <c r="G75" s="568"/>
      <c r="H75" s="569"/>
      <c r="I75" s="569"/>
      <c r="J75" s="569"/>
      <c r="K75" s="569"/>
      <c r="L75" s="569"/>
      <c r="M75" s="570"/>
      <c r="N75" s="1154"/>
      <c r="O75" s="1154"/>
      <c r="P75" s="2629"/>
      <c r="Q75" s="557"/>
    </row>
    <row r="76" spans="1:17" ht="14.4">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 thickTop="1">
      <c r="A82" s="532"/>
      <c r="B82" s="544" t="s">
        <v>2101</v>
      </c>
      <c r="C82" s="537" t="s">
        <v>2605</v>
      </c>
      <c r="D82" s="537" t="s">
        <v>2606</v>
      </c>
      <c r="E82" s="537" t="s">
        <v>2607</v>
      </c>
      <c r="F82" s="537" t="s">
        <v>2608</v>
      </c>
      <c r="G82" s="537" t="s">
        <v>2609</v>
      </c>
      <c r="H82" s="537"/>
      <c r="I82" s="537"/>
      <c r="J82" s="537"/>
      <c r="K82" s="537"/>
      <c r="L82" s="537"/>
      <c r="M82" s="1381"/>
      <c r="N82" s="1153"/>
      <c r="O82" s="1153"/>
      <c r="P82" s="2628"/>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 thickTop="1">
      <c r="A86" s="577"/>
      <c r="B86" s="536" t="s">
        <v>2611</v>
      </c>
      <c r="C86" s="552"/>
      <c r="D86" s="552"/>
      <c r="E86" s="552"/>
      <c r="F86" s="552"/>
      <c r="G86" s="552"/>
      <c r="H86" s="552"/>
      <c r="I86" s="552"/>
      <c r="J86" s="552"/>
      <c r="K86" s="552"/>
      <c r="L86" s="578"/>
      <c r="M86" s="579"/>
      <c r="N86" s="1151"/>
      <c r="O86" s="1151"/>
      <c r="P86" s="2628"/>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 thickTop="1">
      <c r="A88" s="577"/>
      <c r="B88" s="536" t="s">
        <v>2612</v>
      </c>
      <c r="C88" s="552"/>
      <c r="D88" s="552"/>
      <c r="E88" s="552"/>
      <c r="F88" s="2633"/>
      <c r="G88" s="552"/>
      <c r="H88" s="552"/>
      <c r="I88" s="552"/>
      <c r="J88" s="552"/>
      <c r="K88" s="552"/>
      <c r="L88" s="552"/>
      <c r="M88" s="579"/>
      <c r="N88" s="1151"/>
      <c r="O88" s="1151"/>
      <c r="P88" s="2628"/>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4.4" thickTop="1">
      <c r="A90" s="551"/>
      <c r="B90" s="536">
        <f>B27</f>
        <v>111</v>
      </c>
      <c r="C90" s="552"/>
      <c r="D90" s="552"/>
      <c r="E90" s="552"/>
      <c r="F90" s="552"/>
      <c r="G90" s="552"/>
      <c r="H90" s="553"/>
      <c r="I90" s="553"/>
      <c r="J90" s="553"/>
      <c r="K90" s="553"/>
      <c r="L90" s="554"/>
      <c r="M90" s="555"/>
      <c r="N90" s="1154"/>
      <c r="O90" s="1154"/>
      <c r="P90" s="2629"/>
      <c r="Q90" s="557"/>
    </row>
    <row r="91" spans="1:17" s="469" customFormat="1" ht="14.4" thickBot="1">
      <c r="A91" s="551"/>
      <c r="B91" s="541"/>
      <c r="C91" s="558"/>
      <c r="D91" s="558"/>
      <c r="E91" s="558"/>
      <c r="F91" s="558"/>
      <c r="G91" s="558"/>
      <c r="H91" s="560"/>
      <c r="I91" s="560"/>
      <c r="J91" s="560"/>
      <c r="K91" s="560"/>
      <c r="L91" s="560"/>
      <c r="M91" s="561"/>
      <c r="N91" s="1154"/>
      <c r="O91" s="1154"/>
      <c r="P91" s="2629"/>
      <c r="Q91" s="557"/>
    </row>
    <row r="92" spans="1:17" ht="14.4" thickTop="1">
      <c r="A92" s="532"/>
      <c r="B92" s="536">
        <f>B28</f>
        <v>111</v>
      </c>
      <c r="C92" s="552"/>
      <c r="D92" s="552"/>
      <c r="E92" s="552"/>
      <c r="F92" s="552"/>
      <c r="G92" s="581"/>
      <c r="H92" s="581"/>
      <c r="I92" s="581"/>
      <c r="J92" s="581"/>
      <c r="K92" s="582"/>
      <c r="L92" s="583"/>
      <c r="M92" s="584"/>
      <c r="N92" s="1152"/>
      <c r="O92" s="1152"/>
      <c r="P92" s="2628"/>
      <c r="Q92" s="502"/>
    </row>
    <row r="93" spans="1:17" ht="14.4" thickBot="1">
      <c r="A93" s="532"/>
      <c r="B93" s="541"/>
      <c r="C93" s="558"/>
      <c r="D93" s="534"/>
      <c r="E93" s="534"/>
      <c r="F93" s="534"/>
      <c r="G93" s="534"/>
      <c r="H93" s="534"/>
      <c r="I93" s="534"/>
      <c r="J93" s="534"/>
      <c r="K93" s="534"/>
      <c r="L93" s="534"/>
      <c r="M93" s="535"/>
      <c r="N93" s="1153"/>
      <c r="O93" s="1153"/>
      <c r="P93" s="2628"/>
      <c r="Q93" s="502"/>
    </row>
    <row r="94" spans="1:17" ht="14.4" thickTop="1">
      <c r="A94" s="532"/>
      <c r="B94" s="536">
        <f>B29</f>
        <v>111</v>
      </c>
      <c r="C94" s="552"/>
      <c r="D94" s="552"/>
      <c r="E94" s="552"/>
      <c r="F94" s="552"/>
      <c r="G94" s="581"/>
      <c r="H94" s="581"/>
      <c r="I94" s="581"/>
      <c r="J94" s="581"/>
      <c r="K94" s="582"/>
      <c r="L94" s="583"/>
      <c r="M94" s="584"/>
      <c r="N94" s="1152"/>
      <c r="O94" s="1152"/>
      <c r="P94" s="2628"/>
      <c r="Q94" s="502"/>
    </row>
    <row r="95" spans="1:17" ht="14.4" thickBot="1">
      <c r="A95" s="532"/>
      <c r="B95" s="541"/>
      <c r="C95" s="558"/>
      <c r="D95" s="558"/>
      <c r="E95" s="558"/>
      <c r="F95" s="558"/>
      <c r="G95" s="534"/>
      <c r="H95" s="534"/>
      <c r="I95" s="534"/>
      <c r="J95" s="534"/>
      <c r="K95" s="534"/>
      <c r="L95" s="534"/>
      <c r="M95" s="535"/>
      <c r="N95" s="1153"/>
      <c r="O95" s="1153"/>
      <c r="P95" s="2628"/>
      <c r="Q95" s="502"/>
    </row>
    <row r="96" spans="1:17" ht="14.4" thickTop="1">
      <c r="A96" s="532"/>
      <c r="B96" s="536">
        <f>B30</f>
        <v>111</v>
      </c>
      <c r="C96" s="552"/>
      <c r="D96" s="552"/>
      <c r="E96" s="552"/>
      <c r="F96" s="552"/>
      <c r="G96" s="581"/>
      <c r="H96" s="581"/>
      <c r="I96" s="581"/>
      <c r="J96" s="581"/>
      <c r="K96" s="582"/>
      <c r="L96" s="583"/>
      <c r="M96" s="584"/>
      <c r="N96" s="1152"/>
      <c r="O96" s="1152"/>
      <c r="P96" s="2628"/>
      <c r="Q96" s="502"/>
    </row>
    <row r="97" spans="1:17" ht="14.4" thickBot="1">
      <c r="A97" s="532"/>
      <c r="B97" s="541"/>
      <c r="C97" s="568"/>
      <c r="D97" s="568"/>
      <c r="E97" s="568"/>
      <c r="F97" s="568"/>
      <c r="G97" s="534"/>
      <c r="H97" s="534"/>
      <c r="I97" s="534"/>
      <c r="J97" s="534"/>
      <c r="K97" s="534"/>
      <c r="L97" s="534"/>
      <c r="M97" s="535"/>
      <c r="N97" s="1153"/>
      <c r="O97" s="1153"/>
      <c r="P97" s="2628"/>
      <c r="Q97" s="502"/>
    </row>
    <row r="98" spans="1:17" ht="14.4" thickTop="1">
      <c r="A98" s="532"/>
      <c r="B98" s="544">
        <f>B31</f>
        <v>111</v>
      </c>
      <c r="C98" s="585"/>
      <c r="D98" s="585"/>
      <c r="E98" s="585"/>
      <c r="F98" s="585"/>
      <c r="G98" s="585"/>
      <c r="H98" s="585"/>
      <c r="I98" s="585"/>
      <c r="J98" s="585"/>
      <c r="K98" s="586"/>
      <c r="L98" s="587"/>
      <c r="M98" s="588"/>
      <c r="N98" s="1152"/>
      <c r="O98" s="1152"/>
      <c r="P98" s="2628"/>
      <c r="Q98" s="502"/>
    </row>
    <row r="99" spans="1:17" ht="14.4" thickBot="1">
      <c r="A99" s="2634"/>
      <c r="B99" s="567"/>
      <c r="C99" s="589"/>
      <c r="D99" s="589"/>
      <c r="E99" s="589"/>
      <c r="F99" s="589"/>
      <c r="G99" s="589"/>
      <c r="H99" s="589"/>
      <c r="I99" s="589"/>
      <c r="J99" s="589"/>
      <c r="K99" s="589"/>
      <c r="L99" s="589"/>
      <c r="M99" s="590"/>
      <c r="N99" s="1153"/>
      <c r="O99" s="1153"/>
      <c r="P99" s="2628"/>
      <c r="Q99" s="502"/>
    </row>
    <row r="100" spans="1:17" ht="14.4">
      <c r="A100" s="525" t="s">
        <v>2564</v>
      </c>
      <c r="B100" s="526" t="s">
        <v>2613</v>
      </c>
      <c r="C100" s="528"/>
      <c r="D100" s="528"/>
      <c r="E100" s="528"/>
      <c r="F100" s="528"/>
      <c r="G100" s="528"/>
      <c r="H100" s="528"/>
      <c r="I100" s="528"/>
      <c r="J100" s="528"/>
      <c r="K100" s="529"/>
      <c r="L100" s="530"/>
      <c r="M100" s="531"/>
      <c r="N100" s="1152"/>
      <c r="O100" s="1152"/>
      <c r="P100" s="2628"/>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 thickTop="1">
      <c r="A102" s="532"/>
      <c r="B102" s="536" t="s">
        <v>2614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4.4"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2616</v>
      </c>
      <c r="C107" s="581"/>
      <c r="D107" s="581"/>
      <c r="E107" s="581"/>
      <c r="F107" s="581"/>
      <c r="G107" s="581"/>
      <c r="H107" s="581"/>
      <c r="I107" s="581"/>
      <c r="J107" s="581"/>
      <c r="K107" s="582"/>
      <c r="L107" s="583"/>
      <c r="M107" s="584"/>
      <c r="N107" s="1152"/>
      <c r="O107" s="1152"/>
      <c r="P107" s="2628"/>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2617</v>
      </c>
      <c r="C109" s="552"/>
      <c r="D109" s="552"/>
      <c r="E109" s="552"/>
      <c r="F109" s="581"/>
      <c r="G109" s="581"/>
      <c r="H109" s="581"/>
      <c r="I109" s="581"/>
      <c r="J109" s="581"/>
      <c r="K109" s="582"/>
      <c r="L109" s="583"/>
      <c r="M109" s="584"/>
      <c r="N109" s="1152"/>
      <c r="O109" s="1152"/>
      <c r="P109" s="2628"/>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2001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2618</v>
      </c>
      <c r="C114" s="552"/>
      <c r="D114" s="552"/>
      <c r="E114" s="581"/>
      <c r="F114" s="581"/>
      <c r="G114" s="581"/>
      <c r="H114" s="581"/>
      <c r="I114" s="581"/>
      <c r="J114" s="581"/>
      <c r="K114" s="582"/>
      <c r="L114" s="583"/>
      <c r="M114" s="584"/>
      <c r="N114" s="1152"/>
      <c r="O114" s="1152"/>
      <c r="P114" s="2628"/>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2619</v>
      </c>
      <c r="C116" s="552"/>
      <c r="D116" s="552"/>
      <c r="E116" s="552"/>
      <c r="F116" s="552"/>
      <c r="G116" s="552"/>
      <c r="H116" s="581"/>
      <c r="I116" s="581"/>
      <c r="J116" s="581"/>
      <c r="K116" s="582"/>
      <c r="L116" s="583"/>
      <c r="M116" s="584"/>
      <c r="N116" s="1152"/>
      <c r="O116" s="1152"/>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2620</v>
      </c>
      <c r="C118" s="581"/>
      <c r="D118" s="581"/>
      <c r="E118" s="581"/>
      <c r="F118" s="581"/>
      <c r="G118" s="581"/>
      <c r="H118" s="581"/>
      <c r="I118" s="581"/>
      <c r="J118" s="581"/>
      <c r="K118" s="582"/>
      <c r="L118" s="583"/>
      <c r="M118" s="584"/>
      <c r="N118" s="1152"/>
      <c r="O118" s="1152"/>
      <c r="P118" s="2628"/>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9.4" thickTop="1">
      <c r="A120" s="591"/>
      <c r="B120" s="536" t="s">
        <v>2575</v>
      </c>
      <c r="C120" s="552"/>
      <c r="D120" s="552"/>
      <c r="E120" s="552"/>
      <c r="F120" s="552"/>
      <c r="G120" s="552"/>
      <c r="H120" s="552"/>
      <c r="I120" s="552"/>
      <c r="J120" s="552"/>
      <c r="K120" s="552"/>
      <c r="L120" s="578"/>
      <c r="M120" s="579"/>
      <c r="N120" s="1154"/>
      <c r="O120" s="1154"/>
      <c r="P120" s="2629"/>
      <c r="Q120" s="557"/>
    </row>
    <row r="121" spans="1:17" s="469" customFormat="1" ht="14.4"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29.4"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9"/>
      <c r="Q127" s="557"/>
    </row>
    <row r="128" spans="1:17" ht="14.4" thickTop="1">
      <c r="A128" s="597"/>
      <c r="B128" s="536">
        <f>B45</f>
        <v>111</v>
      </c>
      <c r="C128" s="552"/>
      <c r="D128" s="552"/>
      <c r="E128" s="552"/>
      <c r="F128" s="552"/>
      <c r="G128" s="581"/>
      <c r="H128" s="581"/>
      <c r="I128" s="581"/>
      <c r="J128" s="581"/>
      <c r="K128" s="582"/>
      <c r="L128" s="583"/>
      <c r="M128" s="584"/>
      <c r="N128" s="1152"/>
      <c r="O128" s="1152"/>
      <c r="P128" s="2628"/>
      <c r="Q128" s="502"/>
    </row>
    <row r="129" spans="1:17" ht="14.4" thickBot="1">
      <c r="A129" s="532"/>
      <c r="B129" s="541"/>
      <c r="C129" s="558"/>
      <c r="D129" s="558"/>
      <c r="E129" s="558"/>
      <c r="F129" s="558"/>
      <c r="G129" s="534"/>
      <c r="H129" s="534"/>
      <c r="I129" s="534"/>
      <c r="J129" s="534"/>
      <c r="K129" s="534"/>
      <c r="L129" s="534"/>
      <c r="M129" s="535"/>
      <c r="N129" s="1153"/>
      <c r="O129" s="1153"/>
      <c r="P129" s="2628"/>
      <c r="Q129" s="502"/>
    </row>
    <row r="130" spans="1:17" ht="14.4" thickTop="1">
      <c r="A130" s="597"/>
      <c r="B130" s="544">
        <f>B46</f>
        <v>111</v>
      </c>
      <c r="C130" s="552"/>
      <c r="D130" s="552"/>
      <c r="E130" s="552"/>
      <c r="F130" s="552"/>
      <c r="G130" s="585"/>
      <c r="H130" s="585"/>
      <c r="I130" s="585"/>
      <c r="J130" s="585"/>
      <c r="K130" s="521"/>
      <c r="L130" s="522"/>
      <c r="M130" s="588"/>
      <c r="N130" s="1152"/>
      <c r="O130" s="1152"/>
      <c r="P130" s="2628"/>
      <c r="Q130" s="502"/>
    </row>
    <row r="131" spans="1:17" ht="14.4"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4" t="s">
        <v>2626</v>
      </c>
      <c r="D138" s="144" t="s">
        <v>2627</v>
      </c>
      <c r="E138" s="2643" t="s">
        <v>2628</v>
      </c>
      <c r="F138" s="2644" t="s">
        <v>2629</v>
      </c>
      <c r="G138" s="144" t="s">
        <v>2627</v>
      </c>
      <c r="H138" s="145" t="s">
        <v>2628</v>
      </c>
      <c r="I138" s="2645"/>
      <c r="J138" s="144" t="s">
        <v>2630</v>
      </c>
      <c r="K138" s="145" t="s">
        <v>2631</v>
      </c>
    </row>
    <row r="139" spans="1:17" ht="15">
      <c r="B139" s="1084">
        <v>6</v>
      </c>
      <c r="C139" s="1085">
        <v>96</v>
      </c>
      <c r="D139" s="2646" t="s">
        <v>2632</v>
      </c>
      <c r="E139" s="1086">
        <v>100</v>
      </c>
      <c r="F139" s="1087">
        <v>102.5</v>
      </c>
      <c r="G139" s="2646" t="s">
        <v>2632</v>
      </c>
      <c r="H139" s="1088">
        <v>105</v>
      </c>
      <c r="I139" s="2647" t="s">
        <v>2633</v>
      </c>
      <c r="J139" s="1085">
        <v>20</v>
      </c>
      <c r="K139" s="1089">
        <f>C145/(J139-2)</f>
        <v>4.0555555555555553E-3</v>
      </c>
    </row>
    <row r="140" spans="1:17" ht="15">
      <c r="B140" s="1090">
        <v>5</v>
      </c>
      <c r="C140" s="1091">
        <v>100</v>
      </c>
      <c r="D140" s="1091"/>
      <c r="E140" s="1092"/>
      <c r="F140" s="1093">
        <v>102</v>
      </c>
      <c r="G140" s="1091"/>
      <c r="H140" s="1094"/>
      <c r="I140" s="2648" t="s">
        <v>2634</v>
      </c>
      <c r="J140" s="313">
        <f>ROUNDUP((J139-1)/2,0)</f>
        <v>10</v>
      </c>
      <c r="K140" s="1095">
        <v>100</v>
      </c>
    </row>
    <row r="141" spans="1:17" ht="15">
      <c r="B141" s="1090">
        <v>4</v>
      </c>
      <c r="C141" s="1091">
        <v>102</v>
      </c>
      <c r="D141" s="1091"/>
      <c r="E141" s="1092"/>
      <c r="F141" s="1093">
        <v>101.5</v>
      </c>
      <c r="G141" s="1091"/>
      <c r="H141" s="1094"/>
      <c r="I141" s="2648" t="s">
        <v>2635</v>
      </c>
      <c r="J141" s="313">
        <v>1</v>
      </c>
      <c r="K141" s="1096">
        <f>ROUND(100+(J141-J140)*K139*100,1)</f>
        <v>96.4</v>
      </c>
    </row>
    <row r="142" spans="1:17" ht="15">
      <c r="B142" s="1090">
        <v>3</v>
      </c>
      <c r="C142" s="1091">
        <v>103</v>
      </c>
      <c r="D142" s="1091"/>
      <c r="E142" s="1092"/>
      <c r="F142" s="1093">
        <v>101</v>
      </c>
      <c r="G142" s="1091"/>
      <c r="H142" s="1094"/>
      <c r="I142" s="2648" t="s">
        <v>2636</v>
      </c>
      <c r="J142" s="313">
        <f>J139</f>
        <v>20</v>
      </c>
      <c r="K142" s="1097">
        <v>95</v>
      </c>
    </row>
    <row r="143" spans="1:17" ht="15">
      <c r="B143" s="1090">
        <v>2</v>
      </c>
      <c r="C143" s="1091">
        <v>100</v>
      </c>
      <c r="D143" s="1091"/>
      <c r="E143" s="1092"/>
      <c r="F143" s="1093">
        <v>100.5</v>
      </c>
      <c r="G143" s="1091"/>
      <c r="H143" s="1094"/>
      <c r="I143" s="2648" t="s">
        <v>2637</v>
      </c>
      <c r="J143" s="1091">
        <v>15</v>
      </c>
      <c r="K143" s="1096">
        <f>ROUND(100+(J143-J140)*K139*100,1)</f>
        <v>102</v>
      </c>
    </row>
    <row r="144" spans="1:17" ht="15">
      <c r="B144" s="1090">
        <v>1</v>
      </c>
      <c r="C144" s="1091">
        <v>98</v>
      </c>
      <c r="D144" s="2649" t="s">
        <v>2638</v>
      </c>
      <c r="E144" s="1092">
        <v>102</v>
      </c>
      <c r="F144" s="1098">
        <v>100</v>
      </c>
      <c r="G144" s="2649" t="s">
        <v>2638</v>
      </c>
      <c r="H144" s="1094">
        <v>105</v>
      </c>
      <c r="I144" s="2648" t="s">
        <v>2637</v>
      </c>
      <c r="J144" s="1091">
        <v>18</v>
      </c>
      <c r="K144" s="1096">
        <f>ROUND(100+(J144-J140)*K139*100,1)</f>
        <v>103.2</v>
      </c>
    </row>
    <row r="145" spans="2:11" ht="16.2" thickBot="1">
      <c r="B145" s="2650" t="s">
        <v>2639</v>
      </c>
      <c r="C145" s="1099">
        <f>ROUND(MAX(C139:C144)/MIN(C139:C144)-1,3)</f>
        <v>7.2999999999999995E-2</v>
      </c>
      <c r="D145" s="1100"/>
      <c r="E145" s="1100"/>
      <c r="F145" s="2651" t="s">
        <v>2640</v>
      </c>
      <c r="G145" s="2652"/>
      <c r="H145" s="2653"/>
      <c r="I145" s="2654" t="s">
        <v>2637</v>
      </c>
      <c r="J145" s="1101">
        <v>8</v>
      </c>
      <c r="K145" s="1102">
        <f>ROUND(100+(J145-J140)*K139*100,1)</f>
        <v>99.2</v>
      </c>
    </row>
    <row r="147" spans="2:11" ht="14.4">
      <c r="B147" s="2635" t="s">
        <v>2641</v>
      </c>
    </row>
    <row r="148" spans="2:11" ht="14.4">
      <c r="B148" s="2635"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2331</v>
      </c>
      <c r="B2" s="1417" t="e">
        <f ca="1">IF(C2="——",ROUND(C49*D3/10000,0),ROUND(C49*D3/10000,0)-D2)</f>
        <v>#DIV/0!</v>
      </c>
      <c r="C2" s="2584"/>
      <c r="D2" s="1364" t="e">
        <f ca="1">SUMIF(INDIRECT("'"&amp;F2&amp;"'"&amp;"!A:A"),"承租人权益价值",INDIRECT("'"&amp;F2&amp;"'"&amp;"!c:c"))</f>
        <v>#REF!</v>
      </c>
      <c r="E2" s="2585" t="s">
        <v>2332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2333</v>
      </c>
      <c r="B3" s="607" t="e">
        <f ca="1">IF(C2="——",C49,ROUND(B2*10000/D3,0))</f>
        <v>#DIV/0!</v>
      </c>
      <c r="C3" s="398" t="s">
        <v>2645</v>
      </c>
      <c r="D3" s="397">
        <f>IF(D1="",'数据-汇总表'!E3,SUMIF('数据-汇总表'!$C19:$C33,D1,'数据-汇总表'!$E19:$E33))</f>
        <v>126370.20000000001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204" t="s">
        <v>2649</v>
      </c>
      <c r="AC4" s="3174" t="s">
        <v>2650</v>
      </c>
    </row>
    <row r="5" spans="1:29">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204"/>
      <c r="AC5" s="3175"/>
    </row>
    <row r="6" spans="1:29" ht="1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204"/>
      <c r="AC6" s="3176"/>
    </row>
    <row r="7" spans="1:29" s="115" customFormat="1" ht="15" thickBot="1">
      <c r="A7" s="406" t="s">
        <v>2549</v>
      </c>
      <c r="B7" s="407"/>
      <c r="C7" s="408">
        <f>'数据-取费表'!B2</f>
        <v>43332</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 thickBot="1">
      <c r="A8" s="406" t="s">
        <v>2551</v>
      </c>
      <c r="B8" s="407"/>
      <c r="C8" s="412" t="s">
        <v>2653</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6" si="3">D8/F8</f>
        <v>#DIV/0!</v>
      </c>
      <c r="AB8" s="771" t="e">
        <f t="shared" ref="AB8:AB46" si="4">D8/H8</f>
        <v>#DIV/0!</v>
      </c>
      <c r="AC8" s="771" t="e">
        <f t="shared" ref="AC8:AC46" si="5">D8/J8</f>
        <v>#DIV/0!</v>
      </c>
    </row>
    <row r="9" spans="1:29" s="115" customFormat="1" ht="14.4">
      <c r="A9" s="413" t="s">
        <v>2554</v>
      </c>
      <c r="B9" s="70" t="s">
        <v>2555</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16"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16"/>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16"/>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16"/>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16"/>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6"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16"/>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82.8">
      <c r="A15" s="438" t="s">
        <v>2560</v>
      </c>
      <c r="B15" s="68" t="s">
        <v>2654</v>
      </c>
      <c r="C15" s="2601" t="str">
        <f>估价对象房地状况!C4</f>
        <v>估价对象位于通州运河核心区，周边商业氛围成熟度一般，人流量一般，商业繁华度一般。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36" t="s">
        <v>2561</v>
      </c>
      <c r="Q15" s="1808" t="str">
        <f t="shared" si="6"/>
        <v>商业繁华度</v>
      </c>
      <c r="R15" s="772" t="s">
        <v>17</v>
      </c>
      <c r="S15" s="773">
        <f t="shared" si="0"/>
        <v>100</v>
      </c>
      <c r="T15" s="772" t="s">
        <v>17</v>
      </c>
      <c r="U15" s="773">
        <f t="shared" si="1"/>
        <v>100</v>
      </c>
      <c r="V15" s="772" t="s">
        <v>17</v>
      </c>
      <c r="W15" s="773">
        <f t="shared" si="2"/>
        <v>100</v>
      </c>
      <c r="X15" s="1811"/>
      <c r="Y15" s="3206" t="s">
        <v>2561</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37"/>
      <c r="Q16" s="1808"/>
      <c r="R16" s="772"/>
      <c r="S16" s="773"/>
      <c r="T16" s="772"/>
      <c r="U16" s="773"/>
      <c r="V16" s="772"/>
      <c r="W16" s="773"/>
      <c r="X16" s="1811"/>
      <c r="Y16" s="3207"/>
      <c r="Z16" s="1812"/>
      <c r="AA16" s="1809">
        <v>1</v>
      </c>
      <c r="AB16" s="1809">
        <v>1</v>
      </c>
      <c r="AC16" s="1809">
        <v>1</v>
      </c>
    </row>
    <row r="17" spans="1:29" ht="110.4">
      <c r="A17" s="426"/>
      <c r="B17" s="449" t="s">
        <v>2100</v>
      </c>
      <c r="C17" s="2605" t="str">
        <f>估价对象房地状况!C6</f>
        <v>附近主要有317路、552路、809、通49路等公交线路，紧邻地铁6号线，路网密集度较好，交通便捷度较好。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3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37"/>
      <c r="Q18" s="1808"/>
      <c r="R18" s="772"/>
      <c r="S18" s="773"/>
      <c r="T18" s="772"/>
      <c r="U18" s="773"/>
      <c r="V18" s="772"/>
      <c r="W18" s="773"/>
      <c r="X18" s="1811"/>
      <c r="Y18" s="3207"/>
      <c r="Z18" s="1812"/>
      <c r="AA18" s="1809">
        <v>1</v>
      </c>
      <c r="AB18" s="1809">
        <v>1</v>
      </c>
      <c r="AC18" s="1809">
        <v>1</v>
      </c>
    </row>
    <row r="19" spans="1:29" ht="165.6">
      <c r="A19" s="426"/>
      <c r="B19" s="449" t="s">
        <v>2655</v>
      </c>
      <c r="C19" s="2605" t="str">
        <f>估价对象房地状况!C7</f>
        <v>估价对象周边有银行（兴业银行（北京通州运河支行）等）、医院（北京京通医院等）、超市（隆品源超市等）、学校（北京通州芙蓉小学等），公共配套设施齐备情况较好。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3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37"/>
      <c r="Q20" s="1808"/>
      <c r="R20" s="772"/>
      <c r="S20" s="773"/>
      <c r="T20" s="772"/>
      <c r="U20" s="773"/>
      <c r="V20" s="772"/>
      <c r="W20" s="773"/>
      <c r="X20" s="1811"/>
      <c r="Y20" s="3207"/>
      <c r="Z20" s="1812"/>
      <c r="AA20" s="1809">
        <v>1</v>
      </c>
      <c r="AB20" s="1809">
        <v>1</v>
      </c>
      <c r="AC20" s="1809">
        <v>1</v>
      </c>
    </row>
    <row r="21" spans="1:29" ht="15">
      <c r="A21" s="426"/>
      <c r="B21" s="1383" t="s">
        <v>2656</v>
      </c>
      <c r="C21" s="260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3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37"/>
      <c r="Q22" s="1808"/>
      <c r="R22" s="772"/>
      <c r="S22" s="773"/>
      <c r="T22" s="772"/>
      <c r="U22" s="773"/>
      <c r="V22" s="772"/>
      <c r="W22" s="773"/>
      <c r="X22" s="1811"/>
      <c r="Y22" s="3207"/>
      <c r="Z22" s="1812"/>
      <c r="AA22" s="1809">
        <v>1</v>
      </c>
      <c r="AB22" s="1809">
        <v>1</v>
      </c>
      <c r="AC22" s="1809">
        <v>1</v>
      </c>
    </row>
    <row r="23" spans="1:29" ht="124.2">
      <c r="A23" s="426"/>
      <c r="B23" s="449" t="s">
        <v>2105</v>
      </c>
      <c r="C23" s="2662" t="str">
        <f>估价对象房地状况!C9</f>
        <v>估价对象周边有水系、运河奥体公园，自然环境较好；周边有大运河美术馆等人文设施，人文环境较好；综合评价环境状况较好。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37"/>
      <c r="Q23" s="1808" t="str">
        <f>B23</f>
        <v>自然及人文环境</v>
      </c>
      <c r="R23" s="772" t="s">
        <v>17</v>
      </c>
      <c r="S23" s="773">
        <f>F23</f>
        <v>100</v>
      </c>
      <c r="T23" s="772" t="s">
        <v>17</v>
      </c>
      <c r="U23" s="773">
        <f>H23</f>
        <v>100</v>
      </c>
      <c r="V23" s="772" t="s">
        <v>17</v>
      </c>
      <c r="W23" s="773">
        <f>J23</f>
        <v>100</v>
      </c>
      <c r="X23" s="1811"/>
      <c r="Y23" s="3207"/>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37"/>
      <c r="Q24" s="1808"/>
      <c r="R24" s="772"/>
      <c r="S24" s="773"/>
      <c r="T24" s="772"/>
      <c r="U24" s="773"/>
      <c r="V24" s="772"/>
      <c r="W24" s="773"/>
      <c r="X24" s="1811"/>
      <c r="Y24" s="3207"/>
      <c r="Z24" s="1812"/>
      <c r="AA24" s="1809">
        <v>1</v>
      </c>
      <c r="AB24" s="1809">
        <v>1</v>
      </c>
      <c r="AC24" s="1809">
        <v>1</v>
      </c>
    </row>
    <row r="25" spans="1:29" ht="15">
      <c r="A25" s="426"/>
      <c r="B25" s="420" t="s">
        <v>2657</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37"/>
      <c r="Q25" s="1808" t="str">
        <f t="shared" ref="Q25:Q46" si="11">B25</f>
        <v>临街状况</v>
      </c>
      <c r="R25" s="772" t="s">
        <v>17</v>
      </c>
      <c r="S25" s="773">
        <f>F25</f>
        <v>100</v>
      </c>
      <c r="T25" s="772" t="s">
        <v>17</v>
      </c>
      <c r="U25" s="773">
        <f>H25</f>
        <v>100</v>
      </c>
      <c r="V25" s="772" t="s">
        <v>17</v>
      </c>
      <c r="W25" s="773">
        <f>J25</f>
        <v>100</v>
      </c>
      <c r="X25" s="1811"/>
      <c r="Y25" s="3207"/>
      <c r="Z25" s="1812" t="str">
        <f>Q25</f>
        <v>临街状况</v>
      </c>
      <c r="AA25" s="1809">
        <f t="shared" si="3"/>
        <v>1</v>
      </c>
      <c r="AB25" s="1809">
        <f t="shared" si="4"/>
        <v>1</v>
      </c>
      <c r="AC25" s="1809">
        <f t="shared" si="5"/>
        <v>1</v>
      </c>
    </row>
    <row r="26" spans="1:29" ht="15">
      <c r="A26" s="426"/>
      <c r="B26" s="1385" t="s">
        <v>2658</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37"/>
      <c r="Q26" s="1808" t="str">
        <f t="shared" si="11"/>
        <v>平面位置/可视性</v>
      </c>
      <c r="R26" s="772" t="s">
        <v>17</v>
      </c>
      <c r="S26" s="773">
        <f>F26</f>
        <v>100</v>
      </c>
      <c r="T26" s="772" t="s">
        <v>17</v>
      </c>
      <c r="U26" s="773">
        <f>H26</f>
        <v>100</v>
      </c>
      <c r="V26" s="772" t="s">
        <v>17</v>
      </c>
      <c r="W26" s="773">
        <f>J26</f>
        <v>100</v>
      </c>
      <c r="X26" s="1811"/>
      <c r="Y26" s="3207"/>
      <c r="Z26" s="1812" t="str">
        <f>Q26</f>
        <v>平面位置/可视性</v>
      </c>
      <c r="AA26" s="1809">
        <f t="shared" si="3"/>
        <v>1</v>
      </c>
      <c r="AB26" s="1809">
        <f t="shared" si="4"/>
        <v>1</v>
      </c>
      <c r="AC26" s="1809">
        <f t="shared" si="5"/>
        <v>1</v>
      </c>
    </row>
    <row r="27" spans="1:29" s="115" customFormat="1" ht="15">
      <c r="A27" s="429"/>
      <c r="B27" s="449" t="s">
        <v>2659</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37"/>
      <c r="Q27" s="1793" t="str">
        <f t="shared" si="11"/>
        <v>人流量</v>
      </c>
      <c r="R27" s="768" t="s">
        <v>17</v>
      </c>
      <c r="S27" s="769">
        <f>F27</f>
        <v>100</v>
      </c>
      <c r="T27" s="768" t="s">
        <v>17</v>
      </c>
      <c r="U27" s="769">
        <f>H27</f>
        <v>100</v>
      </c>
      <c r="V27" s="768" t="s">
        <v>17</v>
      </c>
      <c r="W27" s="769">
        <f>J27</f>
        <v>100</v>
      </c>
      <c r="X27" s="770"/>
      <c r="Y27" s="3207"/>
      <c r="Z27" s="54" t="str">
        <f>Q27</f>
        <v>人流量</v>
      </c>
      <c r="AA27" s="1809">
        <f>D27/F27</f>
        <v>1</v>
      </c>
      <c r="AB27" s="1809">
        <f>D27/H27</f>
        <v>1</v>
      </c>
      <c r="AC27" s="1809">
        <f>D27/J27</f>
        <v>1</v>
      </c>
    </row>
    <row r="28" spans="1:29" ht="15">
      <c r="A28" s="426"/>
      <c r="B28" s="420" t="s">
        <v>2660</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3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7"/>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37"/>
      <c r="Q29" s="1808">
        <f t="shared" si="11"/>
        <v>111</v>
      </c>
      <c r="R29" s="772" t="s">
        <v>17</v>
      </c>
      <c r="S29" s="773">
        <f t="shared" si="12"/>
        <v>100</v>
      </c>
      <c r="T29" s="772" t="s">
        <v>17</v>
      </c>
      <c r="U29" s="773">
        <f t="shared" si="13"/>
        <v>100</v>
      </c>
      <c r="V29" s="772" t="s">
        <v>17</v>
      </c>
      <c r="W29" s="773">
        <f t="shared" si="14"/>
        <v>100</v>
      </c>
      <c r="X29" s="1811"/>
      <c r="Y29" s="3207"/>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37"/>
      <c r="Q30" s="1808">
        <f t="shared" si="11"/>
        <v>111</v>
      </c>
      <c r="R30" s="772" t="s">
        <v>17</v>
      </c>
      <c r="S30" s="773">
        <f t="shared" si="12"/>
        <v>100</v>
      </c>
      <c r="T30" s="772" t="s">
        <v>17</v>
      </c>
      <c r="U30" s="773">
        <f t="shared" si="13"/>
        <v>100</v>
      </c>
      <c r="V30" s="772" t="s">
        <v>17</v>
      </c>
      <c r="W30" s="773">
        <f t="shared" si="14"/>
        <v>100</v>
      </c>
      <c r="X30" s="1811"/>
      <c r="Y30" s="3207"/>
      <c r="Z30" s="1812">
        <f t="shared" si="15"/>
        <v>111</v>
      </c>
      <c r="AA30" s="1809">
        <f t="shared" si="3"/>
        <v>1</v>
      </c>
      <c r="AB30" s="1809">
        <f t="shared" si="4"/>
        <v>1</v>
      </c>
      <c r="AC30" s="1809">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37"/>
      <c r="Q31" s="1808">
        <f t="shared" si="11"/>
        <v>111</v>
      </c>
      <c r="R31" s="772" t="s">
        <v>17</v>
      </c>
      <c r="S31" s="773">
        <f t="shared" si="12"/>
        <v>100</v>
      </c>
      <c r="T31" s="772" t="s">
        <v>17</v>
      </c>
      <c r="U31" s="773">
        <f t="shared" si="13"/>
        <v>100</v>
      </c>
      <c r="V31" s="772" t="s">
        <v>17</v>
      </c>
      <c r="W31" s="773">
        <f t="shared" si="14"/>
        <v>100</v>
      </c>
      <c r="X31" s="1811"/>
      <c r="Y31" s="3207"/>
      <c r="Z31" s="1812">
        <f t="shared" si="15"/>
        <v>111</v>
      </c>
      <c r="AA31" s="1809">
        <f t="shared" si="3"/>
        <v>1</v>
      </c>
      <c r="AB31" s="1809">
        <f t="shared" si="4"/>
        <v>1</v>
      </c>
      <c r="AC31" s="1809">
        <f t="shared" si="5"/>
        <v>1</v>
      </c>
    </row>
    <row r="32" spans="1:29" ht="15">
      <c r="A32" s="438" t="s">
        <v>2564</v>
      </c>
      <c r="B32" s="70" t="s">
        <v>2661</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8" t="s">
        <v>2566</v>
      </c>
      <c r="Q32" s="1808" t="str">
        <f t="shared" si="11"/>
        <v>商业类型</v>
      </c>
      <c r="R32" s="772" t="s">
        <v>17</v>
      </c>
      <c r="S32" s="773">
        <f t="shared" si="12"/>
        <v>100</v>
      </c>
      <c r="T32" s="772" t="s">
        <v>17</v>
      </c>
      <c r="U32" s="773">
        <f t="shared" si="13"/>
        <v>100</v>
      </c>
      <c r="V32" s="772" t="s">
        <v>17</v>
      </c>
      <c r="W32" s="773">
        <f t="shared" si="14"/>
        <v>100</v>
      </c>
      <c r="X32" s="1811"/>
      <c r="Y32" s="3209" t="s">
        <v>2566</v>
      </c>
      <c r="Z32" s="1812" t="str">
        <f t="shared" si="15"/>
        <v>商业类型</v>
      </c>
      <c r="AA32" s="1809">
        <f t="shared" si="3"/>
        <v>1</v>
      </c>
      <c r="AB32" s="1809">
        <f t="shared" si="4"/>
        <v>1</v>
      </c>
      <c r="AC32" s="1809">
        <f t="shared" si="5"/>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9"/>
      <c r="Q33" s="774" t="str">
        <f t="shared" si="11"/>
        <v>项目建筑规模</v>
      </c>
      <c r="R33" s="775" t="s">
        <v>17</v>
      </c>
      <c r="S33" s="776" t="e">
        <f t="shared" si="12"/>
        <v>#N/A</v>
      </c>
      <c r="T33" s="775" t="s">
        <v>17</v>
      </c>
      <c r="U33" s="776" t="e">
        <f t="shared" si="13"/>
        <v>#N/A</v>
      </c>
      <c r="V33" s="775" t="s">
        <v>17</v>
      </c>
      <c r="W33" s="776" t="e">
        <f t="shared" si="14"/>
        <v>#N/A</v>
      </c>
      <c r="X33" s="777"/>
      <c r="Y33" s="3209"/>
      <c r="Z33" s="778" t="str">
        <f t="shared" si="15"/>
        <v>项目建筑规模</v>
      </c>
      <c r="AA33" s="1809" t="e">
        <f t="shared" si="3"/>
        <v>#N/A</v>
      </c>
      <c r="AB33" s="1809" t="e">
        <f t="shared" si="4"/>
        <v>#N/A</v>
      </c>
      <c r="AC33" s="1809" t="e">
        <f t="shared" si="5"/>
        <v>#N/A</v>
      </c>
    </row>
    <row r="34" spans="1:29" ht="15">
      <c r="A34" s="470"/>
      <c r="B34" s="420" t="s">
        <v>2568</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9"/>
      <c r="Q34" s="1808" t="str">
        <f t="shared" si="11"/>
        <v>建筑结构</v>
      </c>
      <c r="R34" s="772" t="s">
        <v>17</v>
      </c>
      <c r="S34" s="773">
        <f t="shared" si="12"/>
        <v>100</v>
      </c>
      <c r="T34" s="772" t="s">
        <v>17</v>
      </c>
      <c r="U34" s="773">
        <f t="shared" si="13"/>
        <v>100</v>
      </c>
      <c r="V34" s="772" t="s">
        <v>17</v>
      </c>
      <c r="W34" s="773">
        <f t="shared" si="14"/>
        <v>100</v>
      </c>
      <c r="X34" s="1811"/>
      <c r="Y34" s="3209"/>
      <c r="Z34" s="1812" t="str">
        <f t="shared" si="15"/>
        <v>建筑结构</v>
      </c>
      <c r="AA34" s="1809">
        <f t="shared" si="3"/>
        <v>1</v>
      </c>
      <c r="AB34" s="1809">
        <f t="shared" si="4"/>
        <v>1</v>
      </c>
      <c r="AC34" s="1809">
        <f t="shared" si="5"/>
        <v>1</v>
      </c>
    </row>
    <row r="35" spans="1:29" ht="15">
      <c r="A35" s="470"/>
      <c r="B35" s="420" t="s">
        <v>2662</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9"/>
      <c r="Q35" s="1808" t="str">
        <f t="shared" si="11"/>
        <v>公共部分装修</v>
      </c>
      <c r="R35" s="772" t="s">
        <v>17</v>
      </c>
      <c r="S35" s="773">
        <f t="shared" si="12"/>
        <v>100</v>
      </c>
      <c r="T35" s="772" t="s">
        <v>17</v>
      </c>
      <c r="U35" s="773">
        <f t="shared" si="13"/>
        <v>100</v>
      </c>
      <c r="V35" s="772" t="s">
        <v>17</v>
      </c>
      <c r="W35" s="773">
        <f t="shared" si="14"/>
        <v>100</v>
      </c>
      <c r="X35" s="1811"/>
      <c r="Y35" s="3209"/>
      <c r="Z35" s="1812" t="str">
        <f t="shared" si="15"/>
        <v>公共部分装修</v>
      </c>
      <c r="AA35" s="1809">
        <f t="shared" si="3"/>
        <v>1</v>
      </c>
      <c r="AB35" s="1809">
        <f t="shared" si="4"/>
        <v>1</v>
      </c>
      <c r="AC35" s="1809">
        <f t="shared" si="5"/>
        <v>1</v>
      </c>
    </row>
    <row r="36" spans="1:29" ht="15">
      <c r="A36" s="470"/>
      <c r="B36" s="420" t="s">
        <v>2663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9"/>
      <c r="Q36" s="1808" t="str">
        <f t="shared" si="11"/>
        <v>成新度</v>
      </c>
      <c r="R36" s="772" t="s">
        <v>17</v>
      </c>
      <c r="S36" s="773" t="e">
        <f t="shared" si="12"/>
        <v>#N/A</v>
      </c>
      <c r="T36" s="772" t="s">
        <v>17</v>
      </c>
      <c r="U36" s="773" t="e">
        <f t="shared" si="13"/>
        <v>#N/A</v>
      </c>
      <c r="V36" s="772" t="s">
        <v>17</v>
      </c>
      <c r="W36" s="773" t="e">
        <f t="shared" si="14"/>
        <v>#N/A</v>
      </c>
      <c r="X36" s="1811"/>
      <c r="Y36" s="3209"/>
      <c r="Z36" s="1812" t="str">
        <f t="shared" si="15"/>
        <v>成新度</v>
      </c>
      <c r="AA36" s="1809" t="e">
        <f t="shared" si="3"/>
        <v>#N/A</v>
      </c>
      <c r="AB36" s="1809" t="e">
        <f t="shared" si="4"/>
        <v>#N/A</v>
      </c>
      <c r="AC36" s="1809" t="e">
        <f t="shared" si="5"/>
        <v>#N/A</v>
      </c>
    </row>
    <row r="37" spans="1:29" s="115" customFormat="1" ht="15">
      <c r="A37" s="471"/>
      <c r="B37" s="420" t="s">
        <v>2664</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9"/>
      <c r="Q37" s="1793" t="str">
        <f t="shared" si="11"/>
        <v>市政基础设施</v>
      </c>
      <c r="R37" s="768" t="s">
        <v>17</v>
      </c>
      <c r="S37" s="769">
        <f t="shared" si="12"/>
        <v>100</v>
      </c>
      <c r="T37" s="768" t="s">
        <v>17</v>
      </c>
      <c r="U37" s="769">
        <f t="shared" si="13"/>
        <v>100</v>
      </c>
      <c r="V37" s="768" t="s">
        <v>17</v>
      </c>
      <c r="W37" s="769">
        <f t="shared" si="14"/>
        <v>100</v>
      </c>
      <c r="X37" s="770"/>
      <c r="Y37" s="3209"/>
      <c r="Z37" s="54" t="str">
        <f t="shared" si="15"/>
        <v>市政基础设施</v>
      </c>
      <c r="AA37" s="771">
        <f t="shared" si="3"/>
        <v>1</v>
      </c>
      <c r="AB37" s="771">
        <f t="shared" si="4"/>
        <v>1</v>
      </c>
      <c r="AC37" s="771">
        <f t="shared" si="5"/>
        <v>1</v>
      </c>
    </row>
    <row r="38" spans="1:29" ht="15">
      <c r="A38" s="470"/>
      <c r="B38" s="420" t="s">
        <v>2665</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9" t="s">
        <v>2566</v>
      </c>
      <c r="Q38" s="1808" t="str">
        <f t="shared" si="11"/>
        <v>业态</v>
      </c>
      <c r="R38" s="772" t="s">
        <v>17</v>
      </c>
      <c r="S38" s="773">
        <f t="shared" si="12"/>
        <v>100</v>
      </c>
      <c r="T38" s="772" t="s">
        <v>17</v>
      </c>
      <c r="U38" s="773">
        <f t="shared" si="13"/>
        <v>100</v>
      </c>
      <c r="V38" s="772" t="s">
        <v>17</v>
      </c>
      <c r="W38" s="773">
        <f t="shared" si="14"/>
        <v>100</v>
      </c>
      <c r="X38" s="1811"/>
      <c r="Y38" s="3209" t="s">
        <v>2566</v>
      </c>
      <c r="Z38" s="1812" t="str">
        <f t="shared" si="15"/>
        <v>业态</v>
      </c>
      <c r="AA38" s="1809">
        <f t="shared" si="3"/>
        <v>1</v>
      </c>
      <c r="AB38" s="1809">
        <f t="shared" si="4"/>
        <v>1</v>
      </c>
      <c r="AC38" s="1809">
        <f t="shared" si="5"/>
        <v>1</v>
      </c>
    </row>
    <row r="39" spans="1:29" ht="15">
      <c r="A39" s="470"/>
      <c r="B39" s="420" t="s">
        <v>2666</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9"/>
      <c r="Q39" s="1808" t="str">
        <f t="shared" si="11"/>
        <v>层高</v>
      </c>
      <c r="R39" s="772" t="s">
        <v>17</v>
      </c>
      <c r="S39" s="773">
        <f t="shared" si="12"/>
        <v>100</v>
      </c>
      <c r="T39" s="772" t="s">
        <v>17</v>
      </c>
      <c r="U39" s="773">
        <f t="shared" si="13"/>
        <v>100</v>
      </c>
      <c r="V39" s="772" t="s">
        <v>17</v>
      </c>
      <c r="W39" s="773">
        <f t="shared" si="14"/>
        <v>100</v>
      </c>
      <c r="X39" s="1811"/>
      <c r="Y39" s="3209"/>
      <c r="Z39" s="1812" t="str">
        <f t="shared" si="15"/>
        <v>层高</v>
      </c>
      <c r="AA39" s="1809">
        <f t="shared" si="3"/>
        <v>1</v>
      </c>
      <c r="AB39" s="1809">
        <f t="shared" si="4"/>
        <v>1</v>
      </c>
      <c r="AC39" s="1809">
        <f t="shared" si="5"/>
        <v>1</v>
      </c>
    </row>
    <row r="40" spans="1:29" ht="15">
      <c r="A40" s="470"/>
      <c r="B40" s="420" t="s">
        <v>2667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9"/>
      <c r="Q40" s="1808" t="str">
        <f t="shared" si="11"/>
        <v>单套建筑面积</v>
      </c>
      <c r="R40" s="772" t="s">
        <v>17</v>
      </c>
      <c r="S40" s="773">
        <f t="shared" si="12"/>
        <v>100</v>
      </c>
      <c r="T40" s="772" t="s">
        <v>17</v>
      </c>
      <c r="U40" s="773">
        <f t="shared" si="13"/>
        <v>100</v>
      </c>
      <c r="V40" s="772" t="s">
        <v>17</v>
      </c>
      <c r="W40" s="773">
        <f t="shared" si="14"/>
        <v>100</v>
      </c>
      <c r="X40" s="1811"/>
      <c r="Y40" s="3209"/>
      <c r="Z40" s="1812" t="str">
        <f t="shared" si="15"/>
        <v>单套建筑面积</v>
      </c>
      <c r="AA40" s="1809">
        <f t="shared" si="3"/>
        <v>1</v>
      </c>
      <c r="AB40" s="1809">
        <f t="shared" si="4"/>
        <v>1</v>
      </c>
      <c r="AC40" s="1809">
        <f t="shared" si="5"/>
        <v>1</v>
      </c>
    </row>
    <row r="41" spans="1:29" s="469" customFormat="1" ht="15">
      <c r="A41" s="466"/>
      <c r="B41" s="1810" t="s">
        <v>2668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9"/>
      <c r="Q41" s="774" t="str">
        <f t="shared" si="11"/>
        <v>进深比</v>
      </c>
      <c r="R41" s="775" t="s">
        <v>17</v>
      </c>
      <c r="S41" s="776">
        <f t="shared" si="12"/>
        <v>100</v>
      </c>
      <c r="T41" s="775" t="s">
        <v>17</v>
      </c>
      <c r="U41" s="776">
        <f t="shared" si="13"/>
        <v>100</v>
      </c>
      <c r="V41" s="775" t="s">
        <v>17</v>
      </c>
      <c r="W41" s="776">
        <f t="shared" si="14"/>
        <v>100</v>
      </c>
      <c r="X41" s="777"/>
      <c r="Y41" s="3209"/>
      <c r="Z41" s="778" t="str">
        <f t="shared" si="15"/>
        <v>进深比</v>
      </c>
      <c r="AA41" s="1809">
        <f t="shared" si="3"/>
        <v>1</v>
      </c>
      <c r="AB41" s="1809">
        <f t="shared" si="4"/>
        <v>1</v>
      </c>
      <c r="AC41" s="1809">
        <f t="shared" si="5"/>
        <v>1</v>
      </c>
    </row>
    <row r="42" spans="1:29" ht="15">
      <c r="A42" s="470"/>
      <c r="B42" s="420" t="s">
        <v>2669</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9"/>
      <c r="Q42" s="1808" t="str">
        <f t="shared" si="11"/>
        <v>内部装修</v>
      </c>
      <c r="R42" s="772" t="s">
        <v>17</v>
      </c>
      <c r="S42" s="773">
        <f t="shared" si="12"/>
        <v>100</v>
      </c>
      <c r="T42" s="772" t="s">
        <v>17</v>
      </c>
      <c r="U42" s="773">
        <f t="shared" si="13"/>
        <v>100</v>
      </c>
      <c r="V42" s="772" t="s">
        <v>17</v>
      </c>
      <c r="W42" s="773">
        <f t="shared" si="14"/>
        <v>100</v>
      </c>
      <c r="X42" s="1811"/>
      <c r="Y42" s="3209"/>
      <c r="Z42" s="1812" t="str">
        <f t="shared" si="15"/>
        <v>内部装修</v>
      </c>
      <c r="AA42" s="1809">
        <f t="shared" si="3"/>
        <v>1</v>
      </c>
      <c r="AB42" s="1809">
        <f t="shared" si="4"/>
        <v>1</v>
      </c>
      <c r="AC42" s="1809">
        <f t="shared" si="5"/>
        <v>1</v>
      </c>
    </row>
    <row r="43" spans="1:29" ht="28.8">
      <c r="A43" s="470"/>
      <c r="B43" s="420" t="s">
        <v>2577</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9"/>
      <c r="Q43" s="1808" t="str">
        <f t="shared" si="11"/>
        <v>内部装修维护情况</v>
      </c>
      <c r="R43" s="772" t="s">
        <v>17</v>
      </c>
      <c r="S43" s="773">
        <f t="shared" si="12"/>
        <v>100</v>
      </c>
      <c r="T43" s="772" t="s">
        <v>17</v>
      </c>
      <c r="U43" s="773">
        <f t="shared" si="13"/>
        <v>100</v>
      </c>
      <c r="V43" s="772" t="s">
        <v>17</v>
      </c>
      <c r="W43" s="773">
        <f t="shared" si="14"/>
        <v>100</v>
      </c>
      <c r="X43" s="1811"/>
      <c r="Y43" s="3209"/>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9"/>
      <c r="Q44" s="1793">
        <f t="shared" si="11"/>
        <v>111</v>
      </c>
      <c r="R44" s="768" t="s">
        <v>17</v>
      </c>
      <c r="S44" s="769">
        <f t="shared" si="12"/>
        <v>100</v>
      </c>
      <c r="T44" s="768" t="s">
        <v>17</v>
      </c>
      <c r="U44" s="769">
        <f t="shared" si="13"/>
        <v>100</v>
      </c>
      <c r="V44" s="768" t="s">
        <v>17</v>
      </c>
      <c r="W44" s="769">
        <f t="shared" si="14"/>
        <v>100</v>
      </c>
      <c r="X44" s="770"/>
      <c r="Y44" s="3209"/>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9"/>
      <c r="Q45" s="1808">
        <f t="shared" si="11"/>
        <v>111</v>
      </c>
      <c r="R45" s="772" t="s">
        <v>17</v>
      </c>
      <c r="S45" s="773">
        <f t="shared" si="12"/>
        <v>100</v>
      </c>
      <c r="T45" s="772" t="s">
        <v>17</v>
      </c>
      <c r="U45" s="773">
        <f t="shared" si="13"/>
        <v>100</v>
      </c>
      <c r="V45" s="772" t="s">
        <v>17</v>
      </c>
      <c r="W45" s="773">
        <f t="shared" si="14"/>
        <v>100</v>
      </c>
      <c r="X45" s="1811"/>
      <c r="Y45" s="3209"/>
      <c r="Z45" s="1812">
        <f t="shared" si="15"/>
        <v>111</v>
      </c>
      <c r="AA45" s="1809">
        <f t="shared" si="3"/>
        <v>1</v>
      </c>
      <c r="AB45" s="1809">
        <f t="shared" si="4"/>
        <v>1</v>
      </c>
      <c r="AC45" s="1809">
        <f t="shared" si="5"/>
        <v>1</v>
      </c>
    </row>
    <row r="46" spans="1:29" ht="15.6"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40"/>
      <c r="Q46" s="1808">
        <f t="shared" si="11"/>
        <v>111</v>
      </c>
      <c r="R46" s="772" t="s">
        <v>17</v>
      </c>
      <c r="S46" s="773">
        <f t="shared" si="12"/>
        <v>100</v>
      </c>
      <c r="T46" s="772" t="s">
        <v>17</v>
      </c>
      <c r="U46" s="773">
        <f t="shared" si="13"/>
        <v>100</v>
      </c>
      <c r="V46" s="772" t="s">
        <v>17</v>
      </c>
      <c r="W46" s="773">
        <f t="shared" si="14"/>
        <v>100</v>
      </c>
      <c r="X46" s="1811"/>
      <c r="Y46" s="3241"/>
      <c r="Z46" s="1812">
        <f t="shared" si="15"/>
        <v>111</v>
      </c>
      <c r="AA46" s="1809">
        <f t="shared" si="3"/>
        <v>1</v>
      </c>
      <c r="AB46" s="1809">
        <f t="shared" si="4"/>
        <v>1</v>
      </c>
      <c r="AC46" s="1809">
        <f t="shared" si="5"/>
        <v>1</v>
      </c>
    </row>
    <row r="47" spans="1:29" ht="14.4">
      <c r="A47" s="477" t="s">
        <v>2578</v>
      </c>
      <c r="B47" s="478"/>
      <c r="C47" s="1406" t="s">
        <v>1</v>
      </c>
      <c r="D47" s="1407"/>
      <c r="E47" s="1408"/>
      <c r="F47" s="1409"/>
      <c r="G47" s="1410"/>
      <c r="H47" s="1411"/>
      <c r="I47" s="1408"/>
      <c r="J47" s="1411"/>
      <c r="K47" s="781"/>
      <c r="L47" s="1143"/>
      <c r="M47" s="1144"/>
      <c r="N47" s="1131"/>
      <c r="O47" s="1144"/>
      <c r="P47" s="3191" t="str">
        <f>A47</f>
        <v>成交单价（元/平方米）</v>
      </c>
      <c r="Q47" s="3191"/>
      <c r="R47" s="3204">
        <f>E47</f>
        <v>0</v>
      </c>
      <c r="S47" s="3204"/>
      <c r="T47" s="3204">
        <f>G47</f>
        <v>0</v>
      </c>
      <c r="U47" s="3204"/>
      <c r="V47" s="3204">
        <f>I47</f>
        <v>0</v>
      </c>
      <c r="W47" s="3204"/>
      <c r="X47" s="757"/>
      <c r="Y47" s="779"/>
      <c r="Z47" s="757"/>
      <c r="AA47" s="757"/>
      <c r="AB47" s="757"/>
      <c r="AC47" s="757"/>
    </row>
    <row r="48" spans="1:29" ht="15" thickBot="1">
      <c r="A48" s="484" t="s">
        <v>2670</v>
      </c>
      <c r="B48" s="485"/>
      <c r="C48" s="1412" t="e">
        <f>R49</f>
        <v>#DIV/0!</v>
      </c>
      <c r="D48" s="1413"/>
      <c r="E48" s="1414" t="e">
        <f>R48</f>
        <v>#DIV/0!</v>
      </c>
      <c r="F48" s="1414"/>
      <c r="G48" s="1412" t="e">
        <f>T48</f>
        <v>#DIV/0!</v>
      </c>
      <c r="H48" s="1413"/>
      <c r="I48" s="1414" t="e">
        <f>V48</f>
        <v>#DIV/0!</v>
      </c>
      <c r="J48" s="1413"/>
      <c r="K48" s="782"/>
      <c r="L48" s="1143"/>
      <c r="M48" s="1144"/>
      <c r="N48" s="1131"/>
      <c r="O48" s="1144"/>
      <c r="P48" s="3191" t="str">
        <f>A48</f>
        <v>比较价值（元/平方米）</v>
      </c>
      <c r="Q48" s="319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 thickBot="1">
      <c r="A49" s="490" t="s">
        <v>2671</v>
      </c>
      <c r="B49" s="491"/>
      <c r="C49" s="1416" t="e">
        <f>R49</f>
        <v>#DIV/0!</v>
      </c>
      <c r="D49" s="1416"/>
      <c r="E49" s="1416"/>
      <c r="F49" s="1416"/>
      <c r="G49" s="1416"/>
      <c r="H49" s="1416"/>
      <c r="I49" s="1416"/>
      <c r="J49" s="1416"/>
      <c r="K49" s="783"/>
      <c r="L49" s="1143"/>
      <c r="M49" s="1144"/>
      <c r="N49" s="1131"/>
      <c r="O49" s="1144"/>
      <c r="P49" s="3212" t="str">
        <f>A49</f>
        <v>估价对象XX用房的比较价值（楼面单价，元/平方米）</v>
      </c>
      <c r="Q49" s="3213"/>
      <c r="R49" s="3277" t="e">
        <f>IF(F1="售价",ROUND(AVERAGE(R48:V48),0),ROUND(AVERAGE(R48:V48),1))</f>
        <v>#DIV/0!</v>
      </c>
      <c r="S49" s="3277"/>
      <c r="T49" s="3277"/>
      <c r="U49" s="3277"/>
      <c r="V49" s="3277"/>
      <c r="W49" s="327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2.2" thickBot="1">
      <c r="A57" s="761" t="s">
        <v>2675</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4.4">
      <c r="A58" s="503" t="s">
        <v>2549</v>
      </c>
      <c r="B58" s="504"/>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5" customFormat="1">
      <c r="A59" s="507"/>
      <c r="B59" s="508"/>
      <c r="C59" s="1571">
        <v>100</v>
      </c>
      <c r="D59" s="510"/>
      <c r="E59" s="510"/>
      <c r="F59" s="510"/>
      <c r="G59" s="510"/>
      <c r="H59" s="510"/>
      <c r="I59" s="510"/>
      <c r="J59" s="510"/>
      <c r="K59" s="510"/>
      <c r="L59" s="510"/>
      <c r="M59" s="511"/>
      <c r="N59" s="510"/>
      <c r="O59" s="511"/>
      <c r="P59" s="2626"/>
    </row>
    <row r="60" spans="1:29" s="115" customFormat="1" ht="15" thickBot="1">
      <c r="A60" s="513" t="s">
        <v>2586</v>
      </c>
      <c r="B60" s="514"/>
      <c r="C60" s="515"/>
      <c r="D60" s="516"/>
      <c r="E60" s="516"/>
      <c r="F60" s="516"/>
      <c r="G60" s="516"/>
      <c r="H60" s="516"/>
      <c r="I60" s="516"/>
      <c r="J60" s="516"/>
      <c r="K60" s="516"/>
      <c r="L60" s="516"/>
      <c r="M60" s="517"/>
      <c r="N60" s="516"/>
      <c r="O60" s="517"/>
      <c r="P60" s="2626"/>
      <c r="Q60" s="502"/>
    </row>
    <row r="61" spans="1:29" s="115" customFormat="1" ht="14.4">
      <c r="A61" s="519" t="s">
        <v>2551</v>
      </c>
      <c r="B61" s="508"/>
      <c r="C61" s="520" t="s">
        <v>2653</v>
      </c>
      <c r="D61" s="521"/>
      <c r="E61" s="521"/>
      <c r="F61" s="521"/>
      <c r="G61" s="521"/>
      <c r="H61" s="521"/>
      <c r="I61" s="521"/>
      <c r="J61" s="521"/>
      <c r="K61" s="521"/>
      <c r="L61" s="522"/>
      <c r="M61" s="523"/>
      <c r="N61" s="1151"/>
      <c r="O61" s="1151"/>
      <c r="P61" s="2627"/>
      <c r="Q61" s="502"/>
    </row>
    <row r="62" spans="1:29" s="115" customFormat="1" ht="14.4" thickBot="1">
      <c r="A62" s="519"/>
      <c r="B62" s="508"/>
      <c r="C62" s="509">
        <v>100</v>
      </c>
      <c r="D62" s="510"/>
      <c r="E62" s="510"/>
      <c r="F62" s="510"/>
      <c r="G62" s="510"/>
      <c r="H62" s="510"/>
      <c r="I62" s="510"/>
      <c r="J62" s="510"/>
      <c r="K62" s="510"/>
      <c r="L62" s="510"/>
      <c r="M62" s="512"/>
      <c r="N62" s="1151"/>
      <c r="O62" s="1151"/>
      <c r="P62" s="2626"/>
      <c r="Q62" s="502"/>
    </row>
    <row r="63" spans="1:29" ht="14.4">
      <c r="A63" s="525" t="s">
        <v>2589</v>
      </c>
      <c r="B63" s="526" t="s">
        <v>2555</v>
      </c>
      <c r="C63" s="527">
        <f>C9</f>
        <v>0</v>
      </c>
      <c r="D63" s="528"/>
      <c r="E63" s="528"/>
      <c r="F63" s="528"/>
      <c r="G63" s="528"/>
      <c r="H63" s="528"/>
      <c r="I63" s="528"/>
      <c r="J63" s="528"/>
      <c r="K63" s="529"/>
      <c r="L63" s="530"/>
      <c r="M63" s="531"/>
      <c r="N63" s="1152"/>
      <c r="O63" s="1152"/>
      <c r="P63" s="2628"/>
      <c r="Q63" s="502"/>
    </row>
    <row r="64" spans="1:29" ht="14.4" thickBot="1">
      <c r="A64" s="532"/>
      <c r="B64" s="533"/>
      <c r="C64" s="534">
        <v>100</v>
      </c>
      <c r="D64" s="534"/>
      <c r="E64" s="534"/>
      <c r="F64" s="534"/>
      <c r="G64" s="534"/>
      <c r="H64" s="534"/>
      <c r="I64" s="534"/>
      <c r="J64" s="534"/>
      <c r="K64" s="534"/>
      <c r="L64" s="534"/>
      <c r="M64" s="535"/>
      <c r="N64" s="1153"/>
      <c r="O64" s="1153"/>
      <c r="P64" s="2628"/>
      <c r="Q64" s="502"/>
    </row>
    <row r="65" spans="1:17" ht="29.4" thickTop="1">
      <c r="A65" s="532"/>
      <c r="B65" s="536" t="s">
        <v>2558</v>
      </c>
      <c r="C65" s="537" t="s">
        <v>2590</v>
      </c>
      <c r="D65" s="537" t="s">
        <v>2591</v>
      </c>
      <c r="E65" s="537" t="s">
        <v>2592</v>
      </c>
      <c r="F65" s="537" t="s">
        <v>2593</v>
      </c>
      <c r="G65" s="537" t="s">
        <v>2594</v>
      </c>
      <c r="H65" s="537" t="s">
        <v>2595</v>
      </c>
      <c r="I65" s="537" t="s">
        <v>2596</v>
      </c>
      <c r="J65" s="537"/>
      <c r="K65" s="538"/>
      <c r="L65" s="539"/>
      <c r="M65" s="540"/>
      <c r="N65" s="1152"/>
      <c r="O65" s="1152"/>
      <c r="P65" s="2628"/>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c r="A68" s="532"/>
      <c r="B68" s="546"/>
      <c r="C68" s="547"/>
      <c r="D68" s="547"/>
      <c r="E68" s="547"/>
      <c r="F68" s="547"/>
      <c r="G68" s="547"/>
      <c r="H68" s="547"/>
      <c r="I68" s="547"/>
      <c r="J68" s="547"/>
      <c r="K68" s="548"/>
      <c r="L68" s="549"/>
      <c r="M68" s="550"/>
      <c r="N68" s="1152"/>
      <c r="O68" s="1152"/>
      <c r="P68" s="2628"/>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4.4" thickTop="1">
      <c r="A70" s="551"/>
      <c r="B70" s="536">
        <f>B12</f>
        <v>111</v>
      </c>
      <c r="C70" s="552"/>
      <c r="D70" s="552"/>
      <c r="E70" s="552"/>
      <c r="F70" s="552"/>
      <c r="G70" s="552"/>
      <c r="H70" s="553"/>
      <c r="I70" s="553"/>
      <c r="J70" s="553"/>
      <c r="K70" s="553"/>
      <c r="L70" s="554"/>
      <c r="M70" s="555"/>
      <c r="N70" s="1154"/>
      <c r="O70" s="1154"/>
      <c r="P70" s="2629"/>
      <c r="Q70" s="557"/>
    </row>
    <row r="71" spans="1:17" s="469" customFormat="1" ht="14.4" thickBot="1">
      <c r="A71" s="551"/>
      <c r="B71" s="541"/>
      <c r="C71" s="558"/>
      <c r="D71" s="534"/>
      <c r="E71" s="534"/>
      <c r="F71" s="534"/>
      <c r="G71" s="534"/>
      <c r="H71" s="534"/>
      <c r="I71" s="534"/>
      <c r="J71" s="534"/>
      <c r="K71" s="534"/>
      <c r="L71" s="534"/>
      <c r="M71" s="535"/>
      <c r="N71" s="1153"/>
      <c r="O71" s="1153"/>
      <c r="P71" s="2629"/>
      <c r="Q71" s="557"/>
    </row>
    <row r="72" spans="1:17" s="469" customFormat="1" ht="14.4" thickTop="1">
      <c r="A72" s="551"/>
      <c r="B72" s="536">
        <f>B13</f>
        <v>111</v>
      </c>
      <c r="C72" s="552"/>
      <c r="D72" s="552"/>
      <c r="E72" s="552"/>
      <c r="F72" s="552"/>
      <c r="G72" s="552"/>
      <c r="H72" s="553"/>
      <c r="I72" s="553"/>
      <c r="J72" s="553"/>
      <c r="K72" s="553"/>
      <c r="L72" s="554"/>
      <c r="M72" s="555"/>
      <c r="N72" s="1154"/>
      <c r="O72" s="1154"/>
      <c r="P72" s="2630"/>
      <c r="Q72" s="559"/>
    </row>
    <row r="73" spans="1:17" s="469" customFormat="1" ht="14.4" thickBot="1">
      <c r="A73" s="551"/>
      <c r="B73" s="541"/>
      <c r="C73" s="558"/>
      <c r="D73" s="534"/>
      <c r="E73" s="534"/>
      <c r="F73" s="534"/>
      <c r="G73" s="558"/>
      <c r="H73" s="560"/>
      <c r="I73" s="560"/>
      <c r="J73" s="560"/>
      <c r="K73" s="560"/>
      <c r="L73" s="560"/>
      <c r="M73" s="561"/>
      <c r="N73" s="1154"/>
      <c r="O73" s="1154"/>
      <c r="P73" s="2629"/>
      <c r="Q73" s="557"/>
    </row>
    <row r="74" spans="1:17" s="469" customFormat="1" ht="14.4" thickTop="1">
      <c r="A74" s="551"/>
      <c r="B74" s="544">
        <f>B14</f>
        <v>111</v>
      </c>
      <c r="C74" s="552"/>
      <c r="D74" s="552"/>
      <c r="E74" s="552"/>
      <c r="F74" s="552"/>
      <c r="G74" s="521"/>
      <c r="H74" s="562"/>
      <c r="I74" s="562"/>
      <c r="J74" s="562"/>
      <c r="K74" s="562"/>
      <c r="L74" s="563"/>
      <c r="M74" s="564"/>
      <c r="N74" s="1154"/>
      <c r="O74" s="1154"/>
      <c r="P74" s="2631"/>
      <c r="Q74" s="557"/>
    </row>
    <row r="75" spans="1:17" s="469" customFormat="1" ht="14.4" thickBot="1">
      <c r="A75" s="566"/>
      <c r="B75" s="567"/>
      <c r="C75" s="568"/>
      <c r="D75" s="568"/>
      <c r="E75" s="568"/>
      <c r="F75" s="568"/>
      <c r="G75" s="568"/>
      <c r="H75" s="569"/>
      <c r="I75" s="569"/>
      <c r="J75" s="569"/>
      <c r="K75" s="569"/>
      <c r="L75" s="569"/>
      <c r="M75" s="570"/>
      <c r="N75" s="1154"/>
      <c r="O75" s="1154"/>
      <c r="P75" s="2629"/>
      <c r="Q75" s="557"/>
    </row>
    <row r="76" spans="1:17" ht="14.4">
      <c r="A76" s="525" t="s">
        <v>2560</v>
      </c>
      <c r="B76" s="526" t="s">
        <v>2597</v>
      </c>
      <c r="C76" s="571" t="s">
        <v>2598</v>
      </c>
      <c r="D76" s="571" t="s">
        <v>2599</v>
      </c>
      <c r="E76" s="571" t="s">
        <v>2600</v>
      </c>
      <c r="F76" s="571" t="s">
        <v>2601</v>
      </c>
      <c r="G76" s="571" t="s">
        <v>2602</v>
      </c>
      <c r="H76" s="527"/>
      <c r="I76" s="527"/>
      <c r="J76" s="527"/>
      <c r="K76" s="572"/>
      <c r="L76" s="573"/>
      <c r="M76" s="574"/>
      <c r="N76" s="1152"/>
      <c r="O76" s="1152"/>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 thickTop="1">
      <c r="A78" s="532"/>
      <c r="B78" s="536" t="s">
        <v>2603</v>
      </c>
      <c r="C78" s="576" t="s">
        <v>2598</v>
      </c>
      <c r="D78" s="576" t="s">
        <v>2599</v>
      </c>
      <c r="E78" s="576" t="s">
        <v>2600</v>
      </c>
      <c r="F78" s="576" t="s">
        <v>2601</v>
      </c>
      <c r="G78" s="576" t="s">
        <v>2602</v>
      </c>
      <c r="H78" s="537"/>
      <c r="I78" s="537"/>
      <c r="J78" s="537"/>
      <c r="K78" s="538"/>
      <c r="L78" s="539"/>
      <c r="M78" s="540"/>
      <c r="N78" s="1152"/>
      <c r="O78" s="1152"/>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 thickTop="1">
      <c r="A80" s="532"/>
      <c r="B80" s="536" t="s">
        <v>2604</v>
      </c>
      <c r="C80" s="576" t="s">
        <v>2598</v>
      </c>
      <c r="D80" s="576" t="s">
        <v>2599</v>
      </c>
      <c r="E80" s="576" t="s">
        <v>2600</v>
      </c>
      <c r="F80" s="576" t="s">
        <v>2601</v>
      </c>
      <c r="G80" s="576" t="s">
        <v>2602</v>
      </c>
      <c r="H80" s="537"/>
      <c r="I80" s="537"/>
      <c r="J80" s="537"/>
      <c r="K80" s="538"/>
      <c r="L80" s="539"/>
      <c r="M80" s="540"/>
      <c r="N80" s="1152"/>
      <c r="O80" s="1152"/>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 thickTop="1">
      <c r="A82" s="532"/>
      <c r="B82" s="544" t="s">
        <v>2656</v>
      </c>
      <c r="C82" s="658" t="s">
        <v>2676</v>
      </c>
      <c r="D82" s="658" t="s">
        <v>2677</v>
      </c>
      <c r="E82" s="658" t="s">
        <v>2678</v>
      </c>
      <c r="F82" s="658" t="s">
        <v>2679</v>
      </c>
      <c r="G82" s="658" t="s">
        <v>2680</v>
      </c>
      <c r="H82" s="537"/>
      <c r="I82" s="537"/>
      <c r="J82" s="537"/>
      <c r="K82" s="537"/>
      <c r="L82" s="537"/>
      <c r="M82" s="1381"/>
      <c r="N82" s="1153"/>
      <c r="O82" s="1153"/>
      <c r="P82" s="2628"/>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 thickTop="1">
      <c r="A84" s="532"/>
      <c r="B84" s="536" t="s">
        <v>2610</v>
      </c>
      <c r="C84" s="576" t="s">
        <v>2598</v>
      </c>
      <c r="D84" s="576" t="s">
        <v>2599</v>
      </c>
      <c r="E84" s="576" t="s">
        <v>2600</v>
      </c>
      <c r="F84" s="576" t="s">
        <v>2601</v>
      </c>
      <c r="G84" s="576" t="s">
        <v>2602</v>
      </c>
      <c r="H84" s="537"/>
      <c r="I84" s="537"/>
      <c r="J84" s="537"/>
      <c r="K84" s="538"/>
      <c r="L84" s="539"/>
      <c r="M84" s="540"/>
      <c r="N84" s="1152"/>
      <c r="O84" s="1152"/>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 thickTop="1">
      <c r="A86" s="577"/>
      <c r="B86" s="536" t="s">
        <v>2681</v>
      </c>
      <c r="C86" s="552"/>
      <c r="D86" s="552"/>
      <c r="E86" s="552"/>
      <c r="F86" s="552"/>
      <c r="G86" s="552"/>
      <c r="H86" s="552"/>
      <c r="I86" s="552"/>
      <c r="J86" s="552"/>
      <c r="K86" s="552"/>
      <c r="L86" s="578"/>
      <c r="M86" s="579"/>
      <c r="N86" s="1151"/>
      <c r="O86" s="1151"/>
      <c r="P86" s="2628"/>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4.4"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4.4" thickBot="1">
      <c r="A89" s="577"/>
      <c r="B89" s="541"/>
      <c r="C89" s="558"/>
      <c r="D89" s="534"/>
      <c r="E89" s="534"/>
      <c r="F89" s="534"/>
      <c r="G89" s="534"/>
      <c r="H89" s="534"/>
      <c r="I89" s="534"/>
      <c r="J89" s="534"/>
      <c r="K89" s="534"/>
      <c r="L89" s="534"/>
      <c r="M89" s="534"/>
      <c r="N89" s="1153"/>
      <c r="O89" s="1153"/>
      <c r="P89" s="2628"/>
      <c r="Q89" s="502"/>
    </row>
    <row r="90" spans="1:17" s="469" customFormat="1" ht="14.4"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4.4" thickTop="1">
      <c r="A92" s="532"/>
      <c r="B92" s="536" t="str">
        <f>B28</f>
        <v>楼层</v>
      </c>
      <c r="C92" s="552"/>
      <c r="D92" s="552"/>
      <c r="E92" s="552"/>
      <c r="F92" s="552"/>
      <c r="G92" s="552"/>
      <c r="H92" s="552"/>
      <c r="I92" s="552"/>
      <c r="J92" s="552"/>
      <c r="K92" s="552"/>
      <c r="L92" s="578"/>
      <c r="M92" s="579"/>
      <c r="N92" s="1152"/>
      <c r="O92" s="1152"/>
      <c r="P92" s="2628"/>
      <c r="Q92" s="502"/>
    </row>
    <row r="93" spans="1:17" ht="14.4" thickBot="1">
      <c r="A93" s="532"/>
      <c r="B93" s="541"/>
      <c r="C93" s="534"/>
      <c r="D93" s="534"/>
      <c r="E93" s="534"/>
      <c r="F93" s="534"/>
      <c r="G93" s="534"/>
      <c r="H93" s="534"/>
      <c r="I93" s="534"/>
      <c r="J93" s="534"/>
      <c r="K93" s="534"/>
      <c r="L93" s="534"/>
      <c r="M93" s="535"/>
      <c r="N93" s="1153"/>
      <c r="O93" s="1153"/>
      <c r="P93" s="2628"/>
      <c r="Q93" s="502"/>
    </row>
    <row r="94" spans="1:17" ht="14.4" thickTop="1">
      <c r="A94" s="532"/>
      <c r="B94" s="536">
        <f>B29</f>
        <v>111</v>
      </c>
      <c r="C94" s="552"/>
      <c r="D94" s="552"/>
      <c r="E94" s="552"/>
      <c r="F94" s="552"/>
      <c r="G94" s="581"/>
      <c r="H94" s="581"/>
      <c r="I94" s="581"/>
      <c r="J94" s="581"/>
      <c r="K94" s="582"/>
      <c r="L94" s="583"/>
      <c r="M94" s="584"/>
      <c r="N94" s="1152"/>
      <c r="O94" s="1152"/>
      <c r="P94" s="2628"/>
      <c r="Q94" s="502"/>
    </row>
    <row r="95" spans="1:17" ht="14.4" thickBot="1">
      <c r="A95" s="532"/>
      <c r="B95" s="541"/>
      <c r="C95" s="558"/>
      <c r="D95" s="534"/>
      <c r="E95" s="534"/>
      <c r="F95" s="534"/>
      <c r="G95" s="534"/>
      <c r="H95" s="534"/>
      <c r="I95" s="534"/>
      <c r="J95" s="534"/>
      <c r="K95" s="534"/>
      <c r="L95" s="534"/>
      <c r="M95" s="535"/>
      <c r="N95" s="1153"/>
      <c r="O95" s="1153"/>
      <c r="P95" s="2628"/>
      <c r="Q95" s="502"/>
    </row>
    <row r="96" spans="1:17" ht="14.4" thickTop="1">
      <c r="A96" s="532"/>
      <c r="B96" s="536">
        <f>B30</f>
        <v>111</v>
      </c>
      <c r="C96" s="552"/>
      <c r="D96" s="552"/>
      <c r="E96" s="552"/>
      <c r="F96" s="552"/>
      <c r="G96" s="581"/>
      <c r="H96" s="581"/>
      <c r="I96" s="581"/>
      <c r="J96" s="581"/>
      <c r="K96" s="582"/>
      <c r="L96" s="583"/>
      <c r="M96" s="584"/>
      <c r="N96" s="1152"/>
      <c r="O96" s="1152"/>
      <c r="P96" s="2628"/>
      <c r="Q96" s="502"/>
    </row>
    <row r="97" spans="1:17" ht="14.4" thickBot="1">
      <c r="A97" s="532"/>
      <c r="B97" s="541"/>
      <c r="C97" s="558"/>
      <c r="D97" s="534"/>
      <c r="E97" s="534"/>
      <c r="F97" s="534"/>
      <c r="G97" s="534"/>
      <c r="H97" s="534"/>
      <c r="I97" s="534"/>
      <c r="J97" s="534"/>
      <c r="K97" s="534"/>
      <c r="L97" s="534"/>
      <c r="M97" s="535"/>
      <c r="N97" s="1153"/>
      <c r="O97" s="1153"/>
      <c r="P97" s="2628"/>
      <c r="Q97" s="502"/>
    </row>
    <row r="98" spans="1:17" ht="14.4" thickTop="1">
      <c r="A98" s="532"/>
      <c r="B98" s="544">
        <f>B31</f>
        <v>111</v>
      </c>
      <c r="C98" s="552"/>
      <c r="D98" s="552"/>
      <c r="E98" s="552"/>
      <c r="F98" s="552"/>
      <c r="G98" s="585"/>
      <c r="H98" s="585"/>
      <c r="I98" s="585"/>
      <c r="J98" s="585"/>
      <c r="K98" s="586"/>
      <c r="L98" s="587"/>
      <c r="M98" s="588"/>
      <c r="N98" s="1152"/>
      <c r="O98" s="1152"/>
      <c r="P98" s="2628"/>
      <c r="Q98" s="502"/>
    </row>
    <row r="99" spans="1:17" ht="14.4" thickBot="1">
      <c r="A99" s="2634"/>
      <c r="B99" s="567"/>
      <c r="C99" s="568"/>
      <c r="D99" s="568"/>
      <c r="E99" s="568"/>
      <c r="F99" s="568"/>
      <c r="G99" s="589"/>
      <c r="H99" s="589"/>
      <c r="I99" s="589"/>
      <c r="J99" s="589"/>
      <c r="K99" s="589"/>
      <c r="L99" s="589"/>
      <c r="M99" s="590"/>
      <c r="N99" s="1153"/>
      <c r="O99" s="1153"/>
      <c r="P99" s="2628"/>
      <c r="Q99" s="502"/>
    </row>
    <row r="100" spans="1:17" ht="14.4">
      <c r="A100" s="525" t="s">
        <v>2564</v>
      </c>
      <c r="B100" s="526" t="s">
        <v>2682</v>
      </c>
      <c r="C100" s="528"/>
      <c r="D100" s="528"/>
      <c r="E100" s="528"/>
      <c r="F100" s="528"/>
      <c r="G100" s="528"/>
      <c r="H100" s="528"/>
      <c r="I100" s="528"/>
      <c r="J100" s="528"/>
      <c r="K100" s="529"/>
      <c r="L100" s="530"/>
      <c r="M100" s="531"/>
      <c r="N100" s="1152"/>
      <c r="O100" s="1152"/>
      <c r="P100" s="2628"/>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4.4"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2615</v>
      </c>
      <c r="C105" s="552"/>
      <c r="D105" s="552"/>
      <c r="E105" s="581"/>
      <c r="F105" s="581"/>
      <c r="G105" s="581"/>
      <c r="H105" s="581"/>
      <c r="I105" s="581"/>
      <c r="J105" s="581"/>
      <c r="K105" s="582"/>
      <c r="L105" s="583"/>
      <c r="M105" s="584"/>
      <c r="N105" s="1152"/>
      <c r="O105" s="1152"/>
      <c r="P105" s="2628"/>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2617</v>
      </c>
      <c r="C107" s="552"/>
      <c r="D107" s="552"/>
      <c r="E107" s="552"/>
      <c r="F107" s="581"/>
      <c r="G107" s="581"/>
      <c r="H107" s="581"/>
      <c r="I107" s="581"/>
      <c r="J107" s="581"/>
      <c r="K107" s="582"/>
      <c r="L107" s="583"/>
      <c r="M107" s="584"/>
      <c r="N107" s="1152"/>
      <c r="O107" s="1152"/>
      <c r="P107" s="2628"/>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2001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2619</v>
      </c>
      <c r="C112" s="552"/>
      <c r="D112" s="552"/>
      <c r="E112" s="552"/>
      <c r="F112" s="552"/>
      <c r="G112" s="552"/>
      <c r="H112" s="581"/>
      <c r="I112" s="581"/>
      <c r="J112" s="581"/>
      <c r="K112" s="582"/>
      <c r="L112" s="583"/>
      <c r="M112" s="584"/>
      <c r="N112" s="1154"/>
      <c r="O112" s="1154"/>
      <c r="P112" s="2629"/>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2683</v>
      </c>
      <c r="C114" s="552"/>
      <c r="D114" s="552"/>
      <c r="E114" s="581"/>
      <c r="F114" s="581"/>
      <c r="G114" s="581"/>
      <c r="H114" s="581"/>
      <c r="I114" s="581"/>
      <c r="J114" s="581"/>
      <c r="K114" s="582"/>
      <c r="L114" s="583"/>
      <c r="M114" s="584"/>
      <c r="N114" s="1152"/>
      <c r="O114" s="1152"/>
      <c r="P114" s="2628"/>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2684</v>
      </c>
      <c r="C116" s="552"/>
      <c r="D116" s="552"/>
      <c r="E116" s="552"/>
      <c r="F116" s="552"/>
      <c r="G116" s="552"/>
      <c r="H116" s="581"/>
      <c r="I116" s="581"/>
      <c r="J116" s="581"/>
      <c r="K116" s="582"/>
      <c r="L116" s="583"/>
      <c r="M116" s="584"/>
      <c r="N116" s="1152"/>
      <c r="O116" s="1152"/>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2685</v>
      </c>
      <c r="C118" s="625"/>
      <c r="D118" s="625"/>
      <c r="E118" s="625"/>
      <c r="F118" s="625"/>
      <c r="G118" s="625"/>
      <c r="H118" s="553"/>
      <c r="I118" s="553"/>
      <c r="J118" s="553"/>
      <c r="K118" s="553"/>
      <c r="L118" s="554"/>
      <c r="M118" s="555"/>
      <c r="N118" s="1152"/>
      <c r="O118" s="1152"/>
      <c r="P118" s="2628"/>
      <c r="Q118" s="502"/>
    </row>
    <row r="119" spans="1:17" ht="14.4"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2686</v>
      </c>
      <c r="C120" s="581"/>
      <c r="D120" s="581"/>
      <c r="E120" s="581"/>
      <c r="F120" s="581"/>
      <c r="G120" s="553"/>
      <c r="H120" s="553"/>
      <c r="I120" s="553"/>
      <c r="J120" s="553"/>
      <c r="K120" s="553"/>
      <c r="L120" s="554"/>
      <c r="M120" s="555"/>
      <c r="N120" s="1154"/>
      <c r="O120" s="1154"/>
      <c r="P120" s="2629"/>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2621</v>
      </c>
      <c r="C122" s="552"/>
      <c r="D122" s="552"/>
      <c r="E122" s="552"/>
      <c r="F122" s="581"/>
      <c r="G122" s="581"/>
      <c r="H122" s="581"/>
      <c r="I122" s="581"/>
      <c r="J122" s="581"/>
      <c r="K122" s="582"/>
      <c r="L122" s="583"/>
      <c r="M122" s="584"/>
      <c r="N122" s="1152"/>
      <c r="O122" s="1152"/>
      <c r="P122" s="2628"/>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29.4" thickTop="1">
      <c r="A124" s="597"/>
      <c r="B124" s="536" t="s">
        <v>2622</v>
      </c>
      <c r="C124" s="576" t="s">
        <v>2598</v>
      </c>
      <c r="D124" s="576" t="s">
        <v>2599</v>
      </c>
      <c r="E124" s="576" t="s">
        <v>2600</v>
      </c>
      <c r="F124" s="576" t="s">
        <v>2601</v>
      </c>
      <c r="G124" s="576" t="s">
        <v>2602</v>
      </c>
      <c r="H124" s="537"/>
      <c r="I124" s="537"/>
      <c r="J124" s="537"/>
      <c r="K124" s="538"/>
      <c r="L124" s="539"/>
      <c r="M124" s="540"/>
      <c r="N124" s="1152"/>
      <c r="O124" s="1152"/>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9"/>
      <c r="Q127" s="557"/>
    </row>
    <row r="128" spans="1:17" ht="14.4" thickTop="1">
      <c r="A128" s="597"/>
      <c r="B128" s="536">
        <f>B45</f>
        <v>111</v>
      </c>
      <c r="C128" s="552"/>
      <c r="D128" s="552"/>
      <c r="E128" s="552"/>
      <c r="F128" s="552"/>
      <c r="G128" s="581"/>
      <c r="H128" s="581"/>
      <c r="I128" s="581"/>
      <c r="J128" s="581"/>
      <c r="K128" s="582"/>
      <c r="L128" s="583"/>
      <c r="M128" s="584"/>
      <c r="N128" s="1152"/>
      <c r="O128" s="1152"/>
      <c r="P128" s="2628"/>
      <c r="Q128" s="502"/>
    </row>
    <row r="129" spans="1:17" ht="14.4" thickBot="1">
      <c r="A129" s="532"/>
      <c r="B129" s="541"/>
      <c r="C129" s="558"/>
      <c r="D129" s="534"/>
      <c r="E129" s="534"/>
      <c r="F129" s="534"/>
      <c r="G129" s="534"/>
      <c r="H129" s="534"/>
      <c r="I129" s="534"/>
      <c r="J129" s="534"/>
      <c r="K129" s="534"/>
      <c r="L129" s="534"/>
      <c r="M129" s="535"/>
      <c r="N129" s="1153"/>
      <c r="O129" s="1153"/>
      <c r="P129" s="2628"/>
      <c r="Q129" s="502"/>
    </row>
    <row r="130" spans="1:17" ht="14.4" thickTop="1">
      <c r="A130" s="597"/>
      <c r="B130" s="544">
        <f>B46</f>
        <v>111</v>
      </c>
      <c r="C130" s="552"/>
      <c r="D130" s="552"/>
      <c r="E130" s="552"/>
      <c r="F130" s="552"/>
      <c r="G130" s="585"/>
      <c r="H130" s="585"/>
      <c r="I130" s="585"/>
      <c r="J130" s="585"/>
      <c r="K130" s="521"/>
      <c r="L130" s="522"/>
      <c r="M130" s="588"/>
      <c r="N130" s="1152"/>
      <c r="O130" s="1152"/>
      <c r="P130" s="2628"/>
      <c r="Q130" s="502"/>
    </row>
    <row r="131" spans="1:17" ht="14.4"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IF(C2="——",ROUND(C43*D3/10000,0),ROUND(C43*D3/10000,0)-D2)</f>
        <v>#DIV/0!</v>
      </c>
      <c r="C2" s="2584"/>
      <c r="D2" s="1124" t="e">
        <f ca="1">SUMIF(INDIRECT("'"&amp;F2&amp;"'"&amp;"!A:A"),"承租人权益价值",INDIRECT("'"&amp;F2&amp;"'"&amp;"!c:c"))</f>
        <v>#REF!</v>
      </c>
      <c r="E2" s="2585" t="s">
        <v>2332</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2333</v>
      </c>
      <c r="B3" s="607" t="e">
        <f ca="1">IF(C2="——",C43,ROUND(B2*10000/D3,0))</f>
        <v>#DIV/0!</v>
      </c>
      <c r="C3" s="398" t="s">
        <v>2645</v>
      </c>
      <c r="D3" s="397">
        <f>IF(D1="",'数据-汇总表'!E3,SUMIF('数据-汇总表'!$C19:$C33,D1,'数据-汇总表'!$E19:$E33))</f>
        <v>126370.20000000001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 thickBot="1">
      <c r="A7" s="406" t="s">
        <v>2549</v>
      </c>
      <c r="B7" s="407"/>
      <c r="C7" s="408">
        <f>'数据-取费表'!B2</f>
        <v>43332</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 thickBot="1">
      <c r="A8" s="406" t="s">
        <v>2551</v>
      </c>
      <c r="B8" s="407"/>
      <c r="C8" s="412" t="s">
        <v>2552</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0" si="3">D8/F8</f>
        <v>#DIV/0!</v>
      </c>
      <c r="AB8" s="771" t="e">
        <f t="shared" ref="AB8:AB40" si="4">D8/H8</f>
        <v>#DIV/0!</v>
      </c>
      <c r="AC8" s="771" t="e">
        <f t="shared" ref="AC8:AC40" si="5">D8/J8</f>
        <v>#DIV/0!</v>
      </c>
    </row>
    <row r="9" spans="1:29" s="115" customFormat="1" ht="14.4">
      <c r="A9" s="413" t="s">
        <v>2554</v>
      </c>
      <c r="B9" s="70" t="s">
        <v>2555</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8.8">
      <c r="A10" s="419"/>
      <c r="B10" s="420" t="s">
        <v>2558</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420" t="s">
        <v>2559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91"/>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6"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69">
      <c r="A15" s="438" t="s">
        <v>2560</v>
      </c>
      <c r="B15" s="68" t="s">
        <v>2704</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06" t="s">
        <v>2561</v>
      </c>
      <c r="Q15" s="1808" t="str">
        <f t="shared" si="6"/>
        <v>产业集聚程度</v>
      </c>
      <c r="R15" s="772" t="s">
        <v>17</v>
      </c>
      <c r="S15" s="773">
        <f t="shared" si="0"/>
        <v>100</v>
      </c>
      <c r="T15" s="772" t="s">
        <v>17</v>
      </c>
      <c r="U15" s="773">
        <f t="shared" si="1"/>
        <v>100</v>
      </c>
      <c r="V15" s="772" t="s">
        <v>17</v>
      </c>
      <c r="W15" s="773">
        <f t="shared" si="2"/>
        <v>100</v>
      </c>
      <c r="X15" s="1811"/>
      <c r="Y15" s="3206" t="s">
        <v>2561</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207"/>
      <c r="Q16" s="1808"/>
      <c r="R16" s="772"/>
      <c r="S16" s="773"/>
      <c r="T16" s="772"/>
      <c r="U16" s="773"/>
      <c r="V16" s="772"/>
      <c r="W16" s="773"/>
      <c r="X16" s="1811"/>
      <c r="Y16" s="3207"/>
      <c r="Z16" s="1812"/>
      <c r="AA16" s="1809">
        <v>1</v>
      </c>
      <c r="AB16" s="1809">
        <v>1</v>
      </c>
      <c r="AC16" s="1809">
        <v>1</v>
      </c>
    </row>
    <row r="17" spans="1:29" ht="96.6">
      <c r="A17" s="426"/>
      <c r="B17" s="449" t="s">
        <v>2100</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0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207"/>
      <c r="Q18" s="1808"/>
      <c r="R18" s="772"/>
      <c r="S18" s="773"/>
      <c r="T18" s="772"/>
      <c r="U18" s="773"/>
      <c r="V18" s="772"/>
      <c r="W18" s="773"/>
      <c r="X18" s="1811"/>
      <c r="Y18" s="3207"/>
      <c r="Z18" s="1812"/>
      <c r="AA18" s="1809">
        <v>1</v>
      </c>
      <c r="AB18" s="1809">
        <v>1</v>
      </c>
      <c r="AC18" s="1809">
        <v>1</v>
      </c>
    </row>
    <row r="19" spans="1:29" ht="41.4">
      <c r="A19" s="426"/>
      <c r="B19" s="449" t="s">
        <v>2689</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07"/>
      <c r="Q19" s="1808" t="str">
        <f>B19</f>
        <v>公共配套设施</v>
      </c>
      <c r="R19" s="772" t="s">
        <v>17</v>
      </c>
      <c r="S19" s="773">
        <f>F19</f>
        <v>100</v>
      </c>
      <c r="T19" s="772" t="s">
        <v>17</v>
      </c>
      <c r="U19" s="773">
        <f>H19</f>
        <v>100</v>
      </c>
      <c r="V19" s="772" t="s">
        <v>17</v>
      </c>
      <c r="W19" s="773">
        <f>J19</f>
        <v>100</v>
      </c>
      <c r="X19" s="1811"/>
      <c r="Y19" s="3207"/>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207"/>
      <c r="Q20" s="1808"/>
      <c r="R20" s="772"/>
      <c r="S20" s="773"/>
      <c r="T20" s="772"/>
      <c r="U20" s="773"/>
      <c r="V20" s="772"/>
      <c r="W20" s="773"/>
      <c r="X20" s="1811"/>
      <c r="Y20" s="3207"/>
      <c r="Z20" s="1812"/>
      <c r="AA20" s="1809">
        <v>1</v>
      </c>
      <c r="AB20" s="1809">
        <v>1</v>
      </c>
      <c r="AC20" s="1809">
        <v>1</v>
      </c>
    </row>
    <row r="21" spans="1:29" ht="41.4">
      <c r="A21" s="426"/>
      <c r="B21" s="1383" t="s">
        <v>2690</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07"/>
      <c r="Q21" s="1808" t="str">
        <f>B21</f>
        <v>基础设施水平</v>
      </c>
      <c r="R21" s="772" t="s">
        <v>17</v>
      </c>
      <c r="S21" s="773">
        <f>F21</f>
        <v>100</v>
      </c>
      <c r="T21" s="772" t="s">
        <v>17</v>
      </c>
      <c r="U21" s="773">
        <f>H21</f>
        <v>100</v>
      </c>
      <c r="V21" s="772" t="s">
        <v>17</v>
      </c>
      <c r="W21" s="773">
        <f>J21</f>
        <v>100</v>
      </c>
      <c r="X21" s="1811"/>
      <c r="Y21" s="3207"/>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207"/>
      <c r="Q22" s="1808"/>
      <c r="R22" s="772"/>
      <c r="S22" s="773"/>
      <c r="T22" s="772"/>
      <c r="U22" s="773"/>
      <c r="V22" s="772"/>
      <c r="W22" s="773"/>
      <c r="X22" s="1811"/>
      <c r="Y22" s="3207"/>
      <c r="Z22" s="1812"/>
      <c r="AA22" s="1809">
        <v>1</v>
      </c>
      <c r="AB22" s="1809">
        <v>1</v>
      </c>
      <c r="AC22" s="1809">
        <v>1</v>
      </c>
    </row>
    <row r="23" spans="1:29" ht="82.8">
      <c r="A23" s="426"/>
      <c r="B23" s="449" t="s">
        <v>2691</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07"/>
      <c r="Q23" s="1808" t="str">
        <f>B23</f>
        <v>环境质量</v>
      </c>
      <c r="R23" s="772" t="s">
        <v>17</v>
      </c>
      <c r="S23" s="773">
        <f>F23</f>
        <v>100</v>
      </c>
      <c r="T23" s="772" t="s">
        <v>17</v>
      </c>
      <c r="U23" s="773">
        <f>H23</f>
        <v>100</v>
      </c>
      <c r="V23" s="772" t="s">
        <v>17</v>
      </c>
      <c r="W23" s="773">
        <f>J23</f>
        <v>100</v>
      </c>
      <c r="X23" s="1811"/>
      <c r="Y23" s="3207"/>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207"/>
      <c r="Q24" s="1808"/>
      <c r="R24" s="772"/>
      <c r="S24" s="773"/>
      <c r="T24" s="772"/>
      <c r="U24" s="773"/>
      <c r="V24" s="772"/>
      <c r="W24" s="773"/>
      <c r="X24" s="1811"/>
      <c r="Y24" s="3207"/>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07"/>
      <c r="Q25" s="1808">
        <f>B25</f>
        <v>111</v>
      </c>
      <c r="R25" s="772" t="s">
        <v>17</v>
      </c>
      <c r="S25" s="773">
        <f>F25</f>
        <v>100</v>
      </c>
      <c r="T25" s="772" t="s">
        <v>17</v>
      </c>
      <c r="U25" s="773">
        <f>H25</f>
        <v>100</v>
      </c>
      <c r="V25" s="772" t="s">
        <v>17</v>
      </c>
      <c r="W25" s="773">
        <f>J25</f>
        <v>100</v>
      </c>
      <c r="X25" s="1811"/>
      <c r="Y25" s="3207"/>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07"/>
      <c r="Q26" s="1808">
        <f t="shared" ref="Q26:Q40" si="11">B26</f>
        <v>111</v>
      </c>
      <c r="R26" s="772" t="s">
        <v>17</v>
      </c>
      <c r="S26" s="773">
        <f>F26</f>
        <v>100</v>
      </c>
      <c r="T26" s="772" t="s">
        <v>17</v>
      </c>
      <c r="U26" s="773">
        <f>H26</f>
        <v>100</v>
      </c>
      <c r="V26" s="772" t="s">
        <v>17</v>
      </c>
      <c r="W26" s="773">
        <f>J26</f>
        <v>100</v>
      </c>
      <c r="X26" s="1811"/>
      <c r="Y26" s="3207"/>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07"/>
      <c r="Q27" s="1793">
        <f t="shared" si="11"/>
        <v>111</v>
      </c>
      <c r="R27" s="768" t="s">
        <v>17</v>
      </c>
      <c r="S27" s="769">
        <f>F27</f>
        <v>100</v>
      </c>
      <c r="T27" s="768" t="s">
        <v>17</v>
      </c>
      <c r="U27" s="769">
        <f>H27</f>
        <v>100</v>
      </c>
      <c r="V27" s="768" t="s">
        <v>17</v>
      </c>
      <c r="W27" s="769">
        <f>J27</f>
        <v>100</v>
      </c>
      <c r="X27" s="770"/>
      <c r="Y27" s="3207"/>
      <c r="Z27" s="54">
        <f>Q27</f>
        <v>111</v>
      </c>
      <c r="AA27" s="1809">
        <f>D27/F27</f>
        <v>1</v>
      </c>
      <c r="AB27" s="1809">
        <f>D27/H27</f>
        <v>1</v>
      </c>
      <c r="AC27" s="1809">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07"/>
      <c r="Q28" s="1808">
        <f t="shared" si="11"/>
        <v>111</v>
      </c>
      <c r="R28" s="772" t="s">
        <v>17</v>
      </c>
      <c r="S28" s="773">
        <f t="shared" ref="S28:S40" si="12">F28</f>
        <v>100</v>
      </c>
      <c r="T28" s="772" t="s">
        <v>17</v>
      </c>
      <c r="U28" s="773">
        <f t="shared" ref="U28:U40" si="13">H28</f>
        <v>100</v>
      </c>
      <c r="V28" s="772" t="s">
        <v>17</v>
      </c>
      <c r="W28" s="773">
        <f t="shared" ref="W28:W40" si="14">J28</f>
        <v>100</v>
      </c>
      <c r="X28" s="1811"/>
      <c r="Y28" s="3207"/>
      <c r="Z28" s="1812">
        <f t="shared" ref="Z28:Z40" si="15">Q28</f>
        <v>111</v>
      </c>
      <c r="AA28" s="1809">
        <f t="shared" si="3"/>
        <v>1</v>
      </c>
      <c r="AB28" s="1809">
        <f t="shared" si="4"/>
        <v>1</v>
      </c>
      <c r="AC28" s="1809">
        <f t="shared" si="5"/>
        <v>1</v>
      </c>
    </row>
    <row r="29" spans="1:29" ht="30">
      <c r="A29" s="464" t="s">
        <v>2564</v>
      </c>
      <c r="B29" s="70" t="s">
        <v>2694</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208" t="s">
        <v>2566</v>
      </c>
      <c r="Q29" s="1808" t="str">
        <f t="shared" si="11"/>
        <v>建筑类型</v>
      </c>
      <c r="R29" s="772" t="s">
        <v>17</v>
      </c>
      <c r="S29" s="773">
        <f t="shared" si="12"/>
        <v>100</v>
      </c>
      <c r="T29" s="772" t="s">
        <v>17</v>
      </c>
      <c r="U29" s="773">
        <f t="shared" si="13"/>
        <v>100</v>
      </c>
      <c r="V29" s="772" t="s">
        <v>17</v>
      </c>
      <c r="W29" s="773">
        <f t="shared" si="14"/>
        <v>100</v>
      </c>
      <c r="X29" s="1811"/>
      <c r="Y29" s="3209" t="s">
        <v>2566</v>
      </c>
      <c r="Z29" s="1812" t="str">
        <f t="shared" si="15"/>
        <v>建筑类型</v>
      </c>
      <c r="AA29" s="1809">
        <f t="shared" si="3"/>
        <v>1</v>
      </c>
      <c r="AB29" s="1809">
        <f t="shared" si="4"/>
        <v>1</v>
      </c>
      <c r="AC29" s="1809">
        <f t="shared" si="5"/>
        <v>1</v>
      </c>
    </row>
    <row r="30" spans="1:29" s="469" customFormat="1" ht="15">
      <c r="A30" s="466"/>
      <c r="B30" s="420" t="s">
        <v>2567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9"/>
      <c r="Q30" s="774" t="str">
        <f t="shared" si="11"/>
        <v>项目建筑规模</v>
      </c>
      <c r="R30" s="775" t="s">
        <v>17</v>
      </c>
      <c r="S30" s="776" t="e">
        <f t="shared" si="12"/>
        <v>#N/A</v>
      </c>
      <c r="T30" s="775" t="s">
        <v>17</v>
      </c>
      <c r="U30" s="776" t="e">
        <f t="shared" si="13"/>
        <v>#N/A</v>
      </c>
      <c r="V30" s="775" t="s">
        <v>17</v>
      </c>
      <c r="W30" s="776" t="e">
        <f t="shared" si="14"/>
        <v>#N/A</v>
      </c>
      <c r="X30" s="777"/>
      <c r="Y30" s="3209"/>
      <c r="Z30" s="778" t="str">
        <f t="shared" si="15"/>
        <v>项目建筑规模</v>
      </c>
      <c r="AA30" s="1809" t="e">
        <f t="shared" si="3"/>
        <v>#N/A</v>
      </c>
      <c r="AB30" s="1809" t="e">
        <f t="shared" si="4"/>
        <v>#N/A</v>
      </c>
      <c r="AC30" s="1809" t="e">
        <f t="shared" si="5"/>
        <v>#N/A</v>
      </c>
    </row>
    <row r="31" spans="1:29" ht="15">
      <c r="A31" s="470"/>
      <c r="B31" s="420" t="s">
        <v>2568</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9"/>
      <c r="Q31" s="1808" t="str">
        <f t="shared" si="11"/>
        <v>建筑结构</v>
      </c>
      <c r="R31" s="772" t="s">
        <v>17</v>
      </c>
      <c r="S31" s="773">
        <f t="shared" si="12"/>
        <v>100</v>
      </c>
      <c r="T31" s="772" t="s">
        <v>17</v>
      </c>
      <c r="U31" s="773">
        <f t="shared" si="13"/>
        <v>100</v>
      </c>
      <c r="V31" s="772" t="s">
        <v>17</v>
      </c>
      <c r="W31" s="773">
        <f t="shared" si="14"/>
        <v>100</v>
      </c>
      <c r="X31" s="1811"/>
      <c r="Y31" s="3209"/>
      <c r="Z31" s="1812" t="str">
        <f t="shared" si="15"/>
        <v>建筑结构</v>
      </c>
      <c r="AA31" s="1809">
        <f t="shared" si="3"/>
        <v>1</v>
      </c>
      <c r="AB31" s="1809">
        <f t="shared" si="4"/>
        <v>1</v>
      </c>
      <c r="AC31" s="1809">
        <f t="shared" si="5"/>
        <v>1</v>
      </c>
    </row>
    <row r="32" spans="1:29" ht="15">
      <c r="A32" s="470"/>
      <c r="B32" s="420" t="s">
        <v>2662</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9"/>
      <c r="Q32" s="1808" t="str">
        <f t="shared" si="11"/>
        <v>公共部分装修</v>
      </c>
      <c r="R32" s="772" t="s">
        <v>17</v>
      </c>
      <c r="S32" s="773">
        <f t="shared" si="12"/>
        <v>100</v>
      </c>
      <c r="T32" s="772" t="s">
        <v>17</v>
      </c>
      <c r="U32" s="773">
        <f t="shared" si="13"/>
        <v>100</v>
      </c>
      <c r="V32" s="772" t="s">
        <v>17</v>
      </c>
      <c r="W32" s="773">
        <f t="shared" si="14"/>
        <v>100</v>
      </c>
      <c r="X32" s="1811"/>
      <c r="Y32" s="3209"/>
      <c r="Z32" s="1812" t="str">
        <f t="shared" si="15"/>
        <v>公共部分装修</v>
      </c>
      <c r="AA32" s="1809">
        <f t="shared" si="3"/>
        <v>1</v>
      </c>
      <c r="AB32" s="1809">
        <f t="shared" si="4"/>
        <v>1</v>
      </c>
      <c r="AC32" s="1809">
        <f t="shared" si="5"/>
        <v>1</v>
      </c>
    </row>
    <row r="33" spans="1:29" ht="15">
      <c r="A33" s="470"/>
      <c r="B33" s="420" t="s">
        <v>2663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9"/>
      <c r="Q33" s="1808" t="str">
        <f t="shared" si="11"/>
        <v>成新度</v>
      </c>
      <c r="R33" s="772" t="s">
        <v>17</v>
      </c>
      <c r="S33" s="773" t="e">
        <f t="shared" si="12"/>
        <v>#N/A</v>
      </c>
      <c r="T33" s="772" t="s">
        <v>17</v>
      </c>
      <c r="U33" s="773" t="e">
        <f t="shared" si="13"/>
        <v>#N/A</v>
      </c>
      <c r="V33" s="772" t="s">
        <v>17</v>
      </c>
      <c r="W33" s="773" t="e">
        <f t="shared" si="14"/>
        <v>#N/A</v>
      </c>
      <c r="X33" s="1811"/>
      <c r="Y33" s="3209"/>
      <c r="Z33" s="1812" t="str">
        <f t="shared" si="15"/>
        <v>成新度</v>
      </c>
      <c r="AA33" s="1809" t="e">
        <f t="shared" si="3"/>
        <v>#N/A</v>
      </c>
      <c r="AB33" s="1809" t="e">
        <f t="shared" si="4"/>
        <v>#N/A</v>
      </c>
      <c r="AC33" s="1809" t="e">
        <f t="shared" si="5"/>
        <v>#N/A</v>
      </c>
    </row>
    <row r="34" spans="1:29" s="115" customFormat="1" ht="15">
      <c r="A34" s="471"/>
      <c r="B34" s="420" t="s">
        <v>2696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9"/>
      <c r="Q34" s="1793" t="str">
        <f t="shared" si="11"/>
        <v>物业管理</v>
      </c>
      <c r="R34" s="768" t="s">
        <v>17</v>
      </c>
      <c r="S34" s="769">
        <f t="shared" si="12"/>
        <v>100</v>
      </c>
      <c r="T34" s="768" t="s">
        <v>17</v>
      </c>
      <c r="U34" s="769">
        <f t="shared" si="13"/>
        <v>100</v>
      </c>
      <c r="V34" s="768" t="s">
        <v>17</v>
      </c>
      <c r="W34" s="769">
        <f t="shared" si="14"/>
        <v>100</v>
      </c>
      <c r="X34" s="770"/>
      <c r="Y34" s="3209"/>
      <c r="Z34" s="54" t="str">
        <f t="shared" si="15"/>
        <v>物业管理</v>
      </c>
      <c r="AA34" s="771">
        <f t="shared" si="3"/>
        <v>1</v>
      </c>
      <c r="AB34" s="771">
        <f t="shared" si="4"/>
        <v>1</v>
      </c>
      <c r="AC34" s="771">
        <f t="shared" si="5"/>
        <v>1</v>
      </c>
    </row>
    <row r="35" spans="1:29" ht="15">
      <c r="A35" s="470"/>
      <c r="B35" s="420" t="s">
        <v>2664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9" t="s">
        <v>2566</v>
      </c>
      <c r="Q35" s="1808" t="str">
        <f t="shared" si="11"/>
        <v>市政基础设施</v>
      </c>
      <c r="R35" s="772" t="s">
        <v>17</v>
      </c>
      <c r="S35" s="773">
        <f t="shared" si="12"/>
        <v>100</v>
      </c>
      <c r="T35" s="772" t="s">
        <v>17</v>
      </c>
      <c r="U35" s="773">
        <f t="shared" si="13"/>
        <v>100</v>
      </c>
      <c r="V35" s="772" t="s">
        <v>17</v>
      </c>
      <c r="W35" s="773">
        <f t="shared" si="14"/>
        <v>100</v>
      </c>
      <c r="X35" s="1811"/>
      <c r="Y35" s="3209" t="s">
        <v>2566</v>
      </c>
      <c r="Z35" s="1812" t="str">
        <f t="shared" si="15"/>
        <v>市政基础设施</v>
      </c>
      <c r="AA35" s="1809">
        <f t="shared" si="3"/>
        <v>1</v>
      </c>
      <c r="AB35" s="1809">
        <f t="shared" si="4"/>
        <v>1</v>
      </c>
      <c r="AC35" s="1809">
        <f t="shared" si="5"/>
        <v>1</v>
      </c>
    </row>
    <row r="36" spans="1:29" ht="15">
      <c r="A36" s="470"/>
      <c r="B36" s="420" t="s">
        <v>2669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9"/>
      <c r="Q36" s="1808" t="str">
        <f t="shared" si="11"/>
        <v>内部装修</v>
      </c>
      <c r="R36" s="772" t="s">
        <v>17</v>
      </c>
      <c r="S36" s="773">
        <f t="shared" si="12"/>
        <v>100</v>
      </c>
      <c r="T36" s="772" t="s">
        <v>17</v>
      </c>
      <c r="U36" s="773">
        <f t="shared" si="13"/>
        <v>100</v>
      </c>
      <c r="V36" s="772" t="s">
        <v>17</v>
      </c>
      <c r="W36" s="773">
        <f t="shared" si="14"/>
        <v>100</v>
      </c>
      <c r="X36" s="1811"/>
      <c r="Y36" s="3209"/>
      <c r="Z36" s="1812" t="str">
        <f t="shared" si="15"/>
        <v>内部装修</v>
      </c>
      <c r="AA36" s="1809">
        <f t="shared" si="3"/>
        <v>1</v>
      </c>
      <c r="AB36" s="1809">
        <f t="shared" si="4"/>
        <v>1</v>
      </c>
      <c r="AC36" s="1809">
        <f t="shared" si="5"/>
        <v>1</v>
      </c>
    </row>
    <row r="37" spans="1:29" ht="15">
      <c r="A37" s="470"/>
      <c r="B37" s="420" t="s">
        <v>2705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9"/>
      <c r="Q37" s="1808" t="str">
        <f t="shared" si="11"/>
        <v>内部装修状况</v>
      </c>
      <c r="R37" s="772" t="s">
        <v>17</v>
      </c>
      <c r="S37" s="773">
        <f t="shared" si="12"/>
        <v>100</v>
      </c>
      <c r="T37" s="772" t="s">
        <v>17</v>
      </c>
      <c r="U37" s="773">
        <f t="shared" si="13"/>
        <v>100</v>
      </c>
      <c r="V37" s="772" t="s">
        <v>17</v>
      </c>
      <c r="W37" s="773">
        <f t="shared" si="14"/>
        <v>100</v>
      </c>
      <c r="X37" s="1811"/>
      <c r="Y37" s="3209"/>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9"/>
      <c r="Q38" s="774">
        <f t="shared" si="11"/>
        <v>111</v>
      </c>
      <c r="R38" s="775" t="s">
        <v>17</v>
      </c>
      <c r="S38" s="776">
        <f t="shared" si="12"/>
        <v>100</v>
      </c>
      <c r="T38" s="775" t="s">
        <v>17</v>
      </c>
      <c r="U38" s="776">
        <f t="shared" si="13"/>
        <v>100</v>
      </c>
      <c r="V38" s="775" t="s">
        <v>17</v>
      </c>
      <c r="W38" s="776">
        <f t="shared" si="14"/>
        <v>100</v>
      </c>
      <c r="X38" s="777"/>
      <c r="Y38" s="3209"/>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9"/>
      <c r="Q39" s="1808">
        <f t="shared" si="11"/>
        <v>111</v>
      </c>
      <c r="R39" s="772" t="s">
        <v>17</v>
      </c>
      <c r="S39" s="773">
        <f t="shared" si="12"/>
        <v>100</v>
      </c>
      <c r="T39" s="772" t="s">
        <v>17</v>
      </c>
      <c r="U39" s="773">
        <f t="shared" si="13"/>
        <v>100</v>
      </c>
      <c r="V39" s="772" t="s">
        <v>17</v>
      </c>
      <c r="W39" s="773">
        <f t="shared" si="14"/>
        <v>100</v>
      </c>
      <c r="X39" s="1811"/>
      <c r="Y39" s="3209"/>
      <c r="Z39" s="1812">
        <f t="shared" si="15"/>
        <v>111</v>
      </c>
      <c r="AA39" s="1809">
        <f t="shared" si="3"/>
        <v>1</v>
      </c>
      <c r="AB39" s="1809">
        <f t="shared" si="4"/>
        <v>1</v>
      </c>
      <c r="AC39" s="1809">
        <f t="shared" si="5"/>
        <v>1</v>
      </c>
    </row>
    <row r="40" spans="1:29" ht="15.6"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1"/>
      <c r="Q40" s="1808">
        <f t="shared" si="11"/>
        <v>111</v>
      </c>
      <c r="R40" s="772" t="s">
        <v>17</v>
      </c>
      <c r="S40" s="773">
        <f t="shared" si="12"/>
        <v>100</v>
      </c>
      <c r="T40" s="772" t="s">
        <v>17</v>
      </c>
      <c r="U40" s="773">
        <f t="shared" si="13"/>
        <v>100</v>
      </c>
      <c r="V40" s="772" t="s">
        <v>17</v>
      </c>
      <c r="W40" s="773">
        <f t="shared" si="14"/>
        <v>100</v>
      </c>
      <c r="X40" s="1811"/>
      <c r="Y40" s="3241"/>
      <c r="Z40" s="1812">
        <f t="shared" si="15"/>
        <v>111</v>
      </c>
      <c r="AA40" s="1809">
        <f t="shared" si="3"/>
        <v>1</v>
      </c>
      <c r="AB40" s="1809">
        <f t="shared" si="4"/>
        <v>1</v>
      </c>
      <c r="AC40" s="1809">
        <f t="shared" si="5"/>
        <v>1</v>
      </c>
    </row>
    <row r="41" spans="1:29" ht="14.4">
      <c r="A41" s="477" t="s">
        <v>2578</v>
      </c>
      <c r="B41" s="478"/>
      <c r="C41" s="1406" t="s">
        <v>1</v>
      </c>
      <c r="D41" s="1407"/>
      <c r="E41" s="1408"/>
      <c r="F41" s="1409"/>
      <c r="G41" s="1410"/>
      <c r="H41" s="1411"/>
      <c r="I41" s="1408"/>
      <c r="J41" s="1411"/>
      <c r="K41" s="781"/>
      <c r="L41" s="1143"/>
      <c r="M41" s="1144"/>
      <c r="N41" s="1131"/>
      <c r="O41" s="1144"/>
      <c r="P41" s="3191" t="str">
        <f>A41</f>
        <v>成交单价（元/平方米）</v>
      </c>
      <c r="Q41" s="3191"/>
      <c r="R41" s="3242">
        <f>E41</f>
        <v>0</v>
      </c>
      <c r="S41" s="3242"/>
      <c r="T41" s="3242">
        <f>G41</f>
        <v>0</v>
      </c>
      <c r="U41" s="3242"/>
      <c r="V41" s="3242">
        <f>I41</f>
        <v>0</v>
      </c>
      <c r="W41" s="3242"/>
      <c r="X41" s="757"/>
      <c r="Y41" s="779"/>
      <c r="Z41" s="757"/>
      <c r="AA41" s="757"/>
      <c r="AB41" s="757"/>
      <c r="AC41" s="757"/>
    </row>
    <row r="42" spans="1:29" ht="15" thickBot="1">
      <c r="A42" s="484" t="s">
        <v>2670</v>
      </c>
      <c r="B42" s="485"/>
      <c r="C42" s="1412" t="e">
        <f>R43</f>
        <v>#DIV/0!</v>
      </c>
      <c r="D42" s="1413"/>
      <c r="E42" s="1414" t="e">
        <f>R42</f>
        <v>#DIV/0!</v>
      </c>
      <c r="F42" s="1414"/>
      <c r="G42" s="1412" t="e">
        <f>T42</f>
        <v>#DIV/0!</v>
      </c>
      <c r="H42" s="1413"/>
      <c r="I42" s="1414" t="e">
        <f>V42</f>
        <v>#DIV/0!</v>
      </c>
      <c r="J42" s="1413"/>
      <c r="K42" s="782"/>
      <c r="L42" s="1143"/>
      <c r="M42" s="1144"/>
      <c r="N42" s="1131"/>
      <c r="O42" s="1144"/>
      <c r="P42" s="3191" t="str">
        <f>A42</f>
        <v>比较价值（元/平方米）</v>
      </c>
      <c r="Q42" s="319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7"/>
      <c r="Y42" s="757"/>
      <c r="Z42" s="757"/>
      <c r="AA42" s="757"/>
      <c r="AB42" s="757"/>
      <c r="AC42" s="757"/>
    </row>
    <row r="43" spans="1:29" ht="15" thickBot="1">
      <c r="A43" s="490" t="s">
        <v>2671</v>
      </c>
      <c r="B43" s="491"/>
      <c r="C43" s="1416" t="e">
        <f>R43</f>
        <v>#DIV/0!</v>
      </c>
      <c r="D43" s="1416"/>
      <c r="E43" s="1416"/>
      <c r="F43" s="1416"/>
      <c r="G43" s="1416"/>
      <c r="H43" s="1416"/>
      <c r="I43" s="1416"/>
      <c r="J43" s="1416"/>
      <c r="K43" s="783"/>
      <c r="L43" s="1143"/>
      <c r="M43" s="1144"/>
      <c r="N43" s="1144"/>
      <c r="O43" s="1144"/>
      <c r="P43" s="3212" t="str">
        <f>A43</f>
        <v>估价对象XX用房的比较价值（楼面单价，元/平方米）</v>
      </c>
      <c r="Q43" s="3213"/>
      <c r="R43" s="3277" t="e">
        <f>IF(F1="售价",ROUND(AVERAGE(R42:V42),0),ROUND(AVERAGE(R42:V42),1))</f>
        <v>#DIV/0!</v>
      </c>
      <c r="S43" s="3277"/>
      <c r="T43" s="3277"/>
      <c r="U43" s="3277"/>
      <c r="V43" s="3277"/>
      <c r="W43" s="327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1" t="s">
        <v>2675</v>
      </c>
      <c r="B51" s="757"/>
      <c r="C51" s="762"/>
      <c r="D51" s="762"/>
      <c r="E51" s="762"/>
      <c r="F51" s="763"/>
      <c r="G51" s="763"/>
      <c r="H51" s="762"/>
      <c r="I51" s="762"/>
      <c r="J51" s="762"/>
      <c r="K51" s="1160"/>
      <c r="L51" s="1161"/>
      <c r="M51" s="1159"/>
      <c r="N51" s="1159"/>
      <c r="O51" s="1159"/>
      <c r="P51" s="501"/>
      <c r="Q51" s="502"/>
    </row>
    <row r="52" spans="1:17" s="506" customFormat="1" ht="14.4">
      <c r="A52" s="503" t="s">
        <v>2549</v>
      </c>
      <c r="B52" s="504"/>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5"/>
    </row>
    <row r="53" spans="1:17" s="115" customFormat="1">
      <c r="A53" s="507"/>
      <c r="B53" s="508"/>
      <c r="C53" s="1571">
        <v>100</v>
      </c>
      <c r="D53" s="510"/>
      <c r="E53" s="510"/>
      <c r="F53" s="510"/>
      <c r="G53" s="510"/>
      <c r="H53" s="510"/>
      <c r="I53" s="510"/>
      <c r="J53" s="510"/>
      <c r="K53" s="510"/>
      <c r="L53" s="510"/>
      <c r="M53" s="511"/>
      <c r="N53" s="510"/>
      <c r="O53" s="512"/>
      <c r="P53" s="502"/>
    </row>
    <row r="54" spans="1:17" s="115" customFormat="1" ht="15" thickBot="1">
      <c r="A54" s="513" t="s">
        <v>2586</v>
      </c>
      <c r="B54" s="514"/>
      <c r="C54" s="515"/>
      <c r="D54" s="516"/>
      <c r="E54" s="516"/>
      <c r="F54" s="516"/>
      <c r="G54" s="516"/>
      <c r="H54" s="516"/>
      <c r="I54" s="516"/>
      <c r="J54" s="516"/>
      <c r="K54" s="516"/>
      <c r="L54" s="516"/>
      <c r="M54" s="517"/>
      <c r="N54" s="516"/>
      <c r="O54" s="518"/>
      <c r="P54" s="502"/>
      <c r="Q54" s="502"/>
    </row>
    <row r="55" spans="1:17" s="115" customFormat="1" ht="14.4">
      <c r="A55" s="519" t="s">
        <v>2551</v>
      </c>
      <c r="B55" s="508"/>
      <c r="C55" s="520" t="s">
        <v>2653</v>
      </c>
      <c r="D55" s="521"/>
      <c r="E55" s="521"/>
      <c r="F55" s="521"/>
      <c r="G55" s="521"/>
      <c r="H55" s="521"/>
      <c r="I55" s="521"/>
      <c r="J55" s="521"/>
      <c r="K55" s="521"/>
      <c r="L55" s="522"/>
      <c r="M55" s="523"/>
      <c r="N55" s="1151"/>
      <c r="O55" s="1151"/>
      <c r="P55" s="524"/>
      <c r="Q55" s="502"/>
    </row>
    <row r="56" spans="1:17" s="115" customFormat="1" ht="14.4" thickBot="1">
      <c r="A56" s="519"/>
      <c r="B56" s="508"/>
      <c r="C56" s="637">
        <v>100</v>
      </c>
      <c r="D56" s="510"/>
      <c r="E56" s="510"/>
      <c r="F56" s="510"/>
      <c r="G56" s="510"/>
      <c r="H56" s="510"/>
      <c r="I56" s="510"/>
      <c r="J56" s="510"/>
      <c r="K56" s="510"/>
      <c r="L56" s="510"/>
      <c r="M56" s="512"/>
      <c r="N56" s="1151"/>
      <c r="O56" s="1151"/>
      <c r="P56" s="502"/>
      <c r="Q56" s="502"/>
    </row>
    <row r="57" spans="1:17" ht="14.4">
      <c r="A57" s="525" t="s">
        <v>2589</v>
      </c>
      <c r="B57" s="526" t="s">
        <v>2555</v>
      </c>
      <c r="C57" s="527">
        <f>C9</f>
        <v>0</v>
      </c>
      <c r="D57" s="528"/>
      <c r="E57" s="528"/>
      <c r="F57" s="528"/>
      <c r="G57" s="528"/>
      <c r="H57" s="528"/>
      <c r="I57" s="528"/>
      <c r="J57" s="528"/>
      <c r="K57" s="529"/>
      <c r="L57" s="530"/>
      <c r="M57" s="531"/>
      <c r="N57" s="1152"/>
      <c r="O57" s="1152"/>
      <c r="P57" s="44"/>
      <c r="Q57" s="502"/>
    </row>
    <row r="58" spans="1:17" ht="14.4" thickBot="1">
      <c r="A58" s="532"/>
      <c r="B58" s="533"/>
      <c r="C58" s="534">
        <v>100</v>
      </c>
      <c r="D58" s="534"/>
      <c r="E58" s="534"/>
      <c r="F58" s="534"/>
      <c r="G58" s="534"/>
      <c r="H58" s="534"/>
      <c r="I58" s="534"/>
      <c r="J58" s="534"/>
      <c r="K58" s="534"/>
      <c r="L58" s="534"/>
      <c r="M58" s="535"/>
      <c r="N58" s="1153"/>
      <c r="O58" s="1153"/>
      <c r="P58" s="44"/>
      <c r="Q58" s="502"/>
    </row>
    <row r="59" spans="1:17" ht="29.4" thickTop="1">
      <c r="A59" s="532"/>
      <c r="B59" s="536" t="s">
        <v>2558</v>
      </c>
      <c r="C59" s="537" t="s">
        <v>2590</v>
      </c>
      <c r="D59" s="537" t="s">
        <v>2591</v>
      </c>
      <c r="E59" s="537" t="s">
        <v>2592</v>
      </c>
      <c r="F59" s="537" t="s">
        <v>2593</v>
      </c>
      <c r="G59" s="537" t="s">
        <v>2594</v>
      </c>
      <c r="H59" s="537" t="s">
        <v>2595</v>
      </c>
      <c r="I59" s="537" t="s">
        <v>2596</v>
      </c>
      <c r="J59" s="537"/>
      <c r="K59" s="538"/>
      <c r="L59" s="539"/>
      <c r="M59" s="540"/>
      <c r="N59" s="1152"/>
      <c r="O59" s="1152"/>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c r="A62" s="532"/>
      <c r="B62" s="546"/>
      <c r="C62" s="547"/>
      <c r="D62" s="547"/>
      <c r="E62" s="547"/>
      <c r="F62" s="547"/>
      <c r="G62" s="547"/>
      <c r="H62" s="547"/>
      <c r="I62" s="547"/>
      <c r="J62" s="547"/>
      <c r="K62" s="548"/>
      <c r="L62" s="549"/>
      <c r="M62" s="550"/>
      <c r="N62" s="1152"/>
      <c r="O62" s="1152"/>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4.4" thickTop="1">
      <c r="A64" s="551"/>
      <c r="B64" s="536">
        <f>B12</f>
        <v>111</v>
      </c>
      <c r="C64" s="552"/>
      <c r="D64" s="552"/>
      <c r="E64" s="552"/>
      <c r="F64" s="552"/>
      <c r="G64" s="552"/>
      <c r="H64" s="553"/>
      <c r="I64" s="553"/>
      <c r="J64" s="553"/>
      <c r="K64" s="553"/>
      <c r="L64" s="554"/>
      <c r="M64" s="555"/>
      <c r="N64" s="1154"/>
      <c r="O64" s="1154"/>
      <c r="P64" s="556"/>
      <c r="Q64" s="557"/>
    </row>
    <row r="65" spans="1:17" s="469" customFormat="1" ht="14.4" thickBot="1">
      <c r="A65" s="551"/>
      <c r="B65" s="541"/>
      <c r="C65" s="558"/>
      <c r="D65" s="534"/>
      <c r="E65" s="534"/>
      <c r="F65" s="534"/>
      <c r="G65" s="534"/>
      <c r="H65" s="534"/>
      <c r="I65" s="534"/>
      <c r="J65" s="534"/>
      <c r="K65" s="534"/>
      <c r="L65" s="534"/>
      <c r="M65" s="535"/>
      <c r="N65" s="1153"/>
      <c r="O65" s="1153"/>
      <c r="P65" s="556"/>
      <c r="Q65" s="557"/>
    </row>
    <row r="66" spans="1:17" s="469" customFormat="1" ht="14.4" thickTop="1">
      <c r="A66" s="551"/>
      <c r="B66" s="536">
        <f>B13</f>
        <v>111</v>
      </c>
      <c r="C66" s="552"/>
      <c r="D66" s="552"/>
      <c r="E66" s="552"/>
      <c r="F66" s="552"/>
      <c r="G66" s="552"/>
      <c r="H66" s="553"/>
      <c r="I66" s="553"/>
      <c r="J66" s="553"/>
      <c r="K66" s="553"/>
      <c r="L66" s="554"/>
      <c r="M66" s="555"/>
      <c r="N66" s="1154"/>
      <c r="O66" s="1154"/>
      <c r="P66" s="468"/>
      <c r="Q66" s="559"/>
    </row>
    <row r="67" spans="1:17" s="469" customFormat="1" ht="14.4" thickBot="1">
      <c r="A67" s="551"/>
      <c r="B67" s="541"/>
      <c r="C67" s="558"/>
      <c r="D67" s="534"/>
      <c r="E67" s="534"/>
      <c r="F67" s="534"/>
      <c r="G67" s="558"/>
      <c r="H67" s="560"/>
      <c r="I67" s="560"/>
      <c r="J67" s="560"/>
      <c r="K67" s="560"/>
      <c r="L67" s="560"/>
      <c r="M67" s="561"/>
      <c r="N67" s="1154"/>
      <c r="O67" s="1154"/>
      <c r="P67" s="556"/>
      <c r="Q67" s="557"/>
    </row>
    <row r="68" spans="1:17" s="469" customFormat="1" ht="14.4" thickTop="1">
      <c r="A68" s="551"/>
      <c r="B68" s="544">
        <f>B14</f>
        <v>111</v>
      </c>
      <c r="C68" s="521"/>
      <c r="D68" s="521"/>
      <c r="E68" s="521"/>
      <c r="F68" s="521"/>
      <c r="G68" s="521"/>
      <c r="H68" s="562"/>
      <c r="I68" s="562"/>
      <c r="J68" s="562"/>
      <c r="K68" s="562"/>
      <c r="L68" s="563"/>
      <c r="M68" s="564"/>
      <c r="N68" s="1154"/>
      <c r="O68" s="1154"/>
      <c r="P68" s="565"/>
      <c r="Q68" s="557"/>
    </row>
    <row r="69" spans="1:17" s="469" customFormat="1" ht="14.4" thickBot="1">
      <c r="A69" s="566"/>
      <c r="B69" s="567"/>
      <c r="C69" s="568"/>
      <c r="D69" s="568"/>
      <c r="E69" s="568"/>
      <c r="F69" s="568"/>
      <c r="G69" s="568"/>
      <c r="H69" s="569"/>
      <c r="I69" s="569"/>
      <c r="J69" s="569"/>
      <c r="K69" s="569"/>
      <c r="L69" s="569"/>
      <c r="M69" s="570"/>
      <c r="N69" s="1154"/>
      <c r="O69" s="1154"/>
      <c r="P69" s="556"/>
      <c r="Q69" s="557"/>
    </row>
    <row r="70" spans="1:17" ht="14.4">
      <c r="A70" s="525" t="s">
        <v>2560</v>
      </c>
      <c r="B70" s="526" t="s">
        <v>2706</v>
      </c>
      <c r="C70" s="571" t="s">
        <v>2598</v>
      </c>
      <c r="D70" s="571" t="s">
        <v>2599</v>
      </c>
      <c r="E70" s="571" t="s">
        <v>2600</v>
      </c>
      <c r="F70" s="571" t="s">
        <v>2601</v>
      </c>
      <c r="G70" s="571" t="s">
        <v>2602</v>
      </c>
      <c r="H70" s="527"/>
      <c r="I70" s="527"/>
      <c r="J70" s="527"/>
      <c r="K70" s="572"/>
      <c r="L70" s="573"/>
      <c r="M70" s="574"/>
      <c r="N70" s="1152"/>
      <c r="O70" s="1152"/>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 thickTop="1">
      <c r="A72" s="532"/>
      <c r="B72" s="536" t="s">
        <v>2603</v>
      </c>
      <c r="C72" s="576" t="s">
        <v>2598</v>
      </c>
      <c r="D72" s="576" t="s">
        <v>2599</v>
      </c>
      <c r="E72" s="576" t="s">
        <v>2600</v>
      </c>
      <c r="F72" s="576" t="s">
        <v>2601</v>
      </c>
      <c r="G72" s="576" t="s">
        <v>2602</v>
      </c>
      <c r="H72" s="537"/>
      <c r="I72" s="537"/>
      <c r="J72" s="537"/>
      <c r="K72" s="538"/>
      <c r="L72" s="539"/>
      <c r="M72" s="540"/>
      <c r="N72" s="1152"/>
      <c r="O72" s="1152"/>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 thickTop="1">
      <c r="A74" s="532"/>
      <c r="B74" s="536" t="s">
        <v>2604</v>
      </c>
      <c r="C74" s="576" t="s">
        <v>2598</v>
      </c>
      <c r="D74" s="576" t="s">
        <v>2599</v>
      </c>
      <c r="E74" s="576" t="s">
        <v>2600</v>
      </c>
      <c r="F74" s="576" t="s">
        <v>2601</v>
      </c>
      <c r="G74" s="576" t="s">
        <v>2602</v>
      </c>
      <c r="H74" s="537"/>
      <c r="I74" s="537"/>
      <c r="J74" s="537"/>
      <c r="K74" s="538"/>
      <c r="L74" s="539"/>
      <c r="M74" s="540"/>
      <c r="N74" s="1152"/>
      <c r="O74" s="1152"/>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 thickTop="1">
      <c r="A76" s="532"/>
      <c r="B76" s="544" t="s">
        <v>2690</v>
      </c>
      <c r="C76" s="658" t="s">
        <v>2676</v>
      </c>
      <c r="D76" s="658" t="s">
        <v>2677</v>
      </c>
      <c r="E76" s="658" t="s">
        <v>2678</v>
      </c>
      <c r="F76" s="658" t="s">
        <v>2679</v>
      </c>
      <c r="G76" s="658" t="s">
        <v>2680</v>
      </c>
      <c r="H76" s="537"/>
      <c r="I76" s="537"/>
      <c r="J76" s="537"/>
      <c r="K76" s="537"/>
      <c r="L76" s="537"/>
      <c r="M76" s="1381"/>
      <c r="N76" s="1153"/>
      <c r="O76" s="1153"/>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 thickTop="1">
      <c r="A78" s="532"/>
      <c r="B78" s="536" t="s">
        <v>2699</v>
      </c>
      <c r="C78" s="576" t="s">
        <v>2598</v>
      </c>
      <c r="D78" s="576" t="s">
        <v>2599</v>
      </c>
      <c r="E78" s="576" t="s">
        <v>2600</v>
      </c>
      <c r="F78" s="576" t="s">
        <v>2601</v>
      </c>
      <c r="G78" s="576" t="s">
        <v>2602</v>
      </c>
      <c r="H78" s="537"/>
      <c r="I78" s="537"/>
      <c r="J78" s="537"/>
      <c r="K78" s="538"/>
      <c r="L78" s="539"/>
      <c r="M78" s="540"/>
      <c r="N78" s="1152"/>
      <c r="O78" s="1152"/>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4.4" thickTop="1">
      <c r="A80" s="577"/>
      <c r="B80" s="536">
        <f>B25</f>
        <v>111</v>
      </c>
      <c r="C80" s="552"/>
      <c r="D80" s="552"/>
      <c r="E80" s="552"/>
      <c r="F80" s="552"/>
      <c r="G80" s="552"/>
      <c r="H80" s="552"/>
      <c r="I80" s="552"/>
      <c r="J80" s="552"/>
      <c r="K80" s="552"/>
      <c r="L80" s="578"/>
      <c r="M80" s="579"/>
      <c r="N80" s="1151"/>
      <c r="O80" s="1151"/>
      <c r="P80" s="44"/>
      <c r="Q80" s="502"/>
    </row>
    <row r="81" spans="1:17" s="115" customFormat="1" ht="14.4" thickBot="1">
      <c r="A81" s="577"/>
      <c r="B81" s="541"/>
      <c r="C81" s="558"/>
      <c r="D81" s="534"/>
      <c r="E81" s="534"/>
      <c r="F81" s="534"/>
      <c r="G81" s="534"/>
      <c r="H81" s="534"/>
      <c r="I81" s="534"/>
      <c r="J81" s="534"/>
      <c r="K81" s="534"/>
      <c r="L81" s="534"/>
      <c r="M81" s="535"/>
      <c r="N81" s="1153"/>
      <c r="O81" s="1153"/>
      <c r="P81" s="44"/>
      <c r="Q81" s="502"/>
    </row>
    <row r="82" spans="1:17" s="115" customFormat="1" ht="14.4" thickTop="1">
      <c r="A82" s="577"/>
      <c r="B82" s="536">
        <f>B26</f>
        <v>111</v>
      </c>
      <c r="C82" s="552"/>
      <c r="D82" s="552"/>
      <c r="E82" s="552"/>
      <c r="F82" s="552"/>
      <c r="G82" s="552"/>
      <c r="H82" s="552"/>
      <c r="I82" s="552"/>
      <c r="J82" s="552"/>
      <c r="K82" s="552"/>
      <c r="L82" s="578"/>
      <c r="M82" s="579"/>
      <c r="N82" s="1151"/>
      <c r="O82" s="1151"/>
      <c r="P82" s="44"/>
      <c r="Q82" s="502"/>
    </row>
    <row r="83" spans="1:17" s="115" customFormat="1" ht="14.4" thickBot="1">
      <c r="A83" s="577"/>
      <c r="B83" s="541"/>
      <c r="C83" s="558"/>
      <c r="D83" s="534"/>
      <c r="E83" s="534"/>
      <c r="F83" s="534"/>
      <c r="G83" s="534"/>
      <c r="H83" s="534"/>
      <c r="I83" s="534"/>
      <c r="J83" s="534"/>
      <c r="K83" s="534"/>
      <c r="L83" s="534"/>
      <c r="M83" s="535"/>
      <c r="N83" s="1153"/>
      <c r="O83" s="1153"/>
      <c r="P83" s="44"/>
      <c r="Q83" s="502"/>
    </row>
    <row r="84" spans="1:17" s="469" customFormat="1" ht="14.4" thickTop="1">
      <c r="A84" s="551"/>
      <c r="B84" s="536">
        <f>B27</f>
        <v>111</v>
      </c>
      <c r="C84" s="552"/>
      <c r="D84" s="552"/>
      <c r="E84" s="552"/>
      <c r="F84" s="552"/>
      <c r="G84" s="552"/>
      <c r="H84" s="552"/>
      <c r="I84" s="552"/>
      <c r="J84" s="552"/>
      <c r="K84" s="552"/>
      <c r="L84" s="578"/>
      <c r="M84" s="579"/>
      <c r="N84" s="1154"/>
      <c r="O84" s="1154"/>
      <c r="P84" s="556"/>
      <c r="Q84" s="557"/>
    </row>
    <row r="85" spans="1:17" s="469" customFormat="1" ht="14.4" thickBot="1">
      <c r="A85" s="551"/>
      <c r="B85" s="541"/>
      <c r="C85" s="558"/>
      <c r="D85" s="534"/>
      <c r="E85" s="534"/>
      <c r="F85" s="534"/>
      <c r="G85" s="534"/>
      <c r="H85" s="534"/>
      <c r="I85" s="534"/>
      <c r="J85" s="534"/>
      <c r="K85" s="534"/>
      <c r="L85" s="534"/>
      <c r="M85" s="535"/>
      <c r="N85" s="1154"/>
      <c r="O85" s="1154"/>
      <c r="P85" s="556"/>
      <c r="Q85" s="557"/>
    </row>
    <row r="86" spans="1:17" ht="14.4" thickTop="1">
      <c r="A86" s="532"/>
      <c r="B86" s="544">
        <f>B28</f>
        <v>111</v>
      </c>
      <c r="C86" s="521"/>
      <c r="D86" s="521"/>
      <c r="E86" s="521"/>
      <c r="F86" s="521"/>
      <c r="G86" s="585"/>
      <c r="H86" s="585"/>
      <c r="I86" s="585"/>
      <c r="J86" s="585"/>
      <c r="K86" s="586"/>
      <c r="L86" s="587"/>
      <c r="M86" s="588"/>
      <c r="N86" s="1152"/>
      <c r="O86" s="1152"/>
      <c r="P86" s="44"/>
      <c r="Q86" s="502"/>
    </row>
    <row r="87" spans="1:17" ht="14.4" thickBot="1">
      <c r="A87" s="2634"/>
      <c r="B87" s="567"/>
      <c r="C87" s="568"/>
      <c r="D87" s="568"/>
      <c r="E87" s="568"/>
      <c r="F87" s="568"/>
      <c r="G87" s="589"/>
      <c r="H87" s="589"/>
      <c r="I87" s="589"/>
      <c r="J87" s="589"/>
      <c r="K87" s="589"/>
      <c r="L87" s="589"/>
      <c r="M87" s="590"/>
      <c r="N87" s="1153"/>
      <c r="O87" s="1153"/>
      <c r="P87" s="44"/>
      <c r="Q87" s="502"/>
    </row>
    <row r="88" spans="1:17" ht="14.4">
      <c r="A88" s="525" t="s">
        <v>2564</v>
      </c>
      <c r="B88" s="526" t="s">
        <v>2613</v>
      </c>
      <c r="C88" s="528"/>
      <c r="D88" s="528"/>
      <c r="E88" s="528"/>
      <c r="F88" s="528"/>
      <c r="G88" s="528"/>
      <c r="H88" s="528"/>
      <c r="I88" s="528"/>
      <c r="J88" s="528"/>
      <c r="K88" s="529"/>
      <c r="L88" s="530"/>
      <c r="M88" s="531"/>
      <c r="N88" s="1152"/>
      <c r="O88" s="1152"/>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4.4"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2615</v>
      </c>
      <c r="C93" s="552"/>
      <c r="D93" s="552"/>
      <c r="E93" s="581"/>
      <c r="F93" s="581"/>
      <c r="G93" s="581"/>
      <c r="H93" s="581"/>
      <c r="I93" s="581"/>
      <c r="J93" s="581"/>
      <c r="K93" s="582"/>
      <c r="L93" s="583"/>
      <c r="M93" s="584"/>
      <c r="N93" s="1152"/>
      <c r="O93" s="1152"/>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2617</v>
      </c>
      <c r="C95" s="552"/>
      <c r="D95" s="552"/>
      <c r="E95" s="552"/>
      <c r="F95" s="581"/>
      <c r="G95" s="581"/>
      <c r="H95" s="581"/>
      <c r="I95" s="581"/>
      <c r="J95" s="581"/>
      <c r="K95" s="582"/>
      <c r="L95" s="583"/>
      <c r="M95" s="584"/>
      <c r="N95" s="1152"/>
      <c r="O95" s="1152"/>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2001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2618</v>
      </c>
      <c r="C100" s="552"/>
      <c r="D100" s="552"/>
      <c r="E100" s="552"/>
      <c r="F100" s="552"/>
      <c r="G100" s="552"/>
      <c r="H100" s="581"/>
      <c r="I100" s="581"/>
      <c r="J100" s="581"/>
      <c r="K100" s="582"/>
      <c r="L100" s="583"/>
      <c r="M100" s="584"/>
      <c r="N100" s="1154"/>
      <c r="O100" s="1154"/>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2619</v>
      </c>
      <c r="C102" s="552"/>
      <c r="D102" s="552"/>
      <c r="E102" s="552"/>
      <c r="F102" s="552"/>
      <c r="G102" s="552"/>
      <c r="H102" s="581"/>
      <c r="I102" s="581"/>
      <c r="J102" s="581"/>
      <c r="K102" s="582"/>
      <c r="L102" s="583"/>
      <c r="M102" s="584"/>
      <c r="N102" s="1152"/>
      <c r="O102" s="1152"/>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2621</v>
      </c>
      <c r="C104" s="552"/>
      <c r="D104" s="552"/>
      <c r="E104" s="552"/>
      <c r="F104" s="552"/>
      <c r="G104" s="552"/>
      <c r="H104" s="581"/>
      <c r="I104" s="581"/>
      <c r="J104" s="581"/>
      <c r="K104" s="582"/>
      <c r="L104" s="583"/>
      <c r="M104" s="584"/>
      <c r="N104" s="1152"/>
      <c r="O104" s="1152"/>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29.4" thickTop="1">
      <c r="A106" s="597"/>
      <c r="B106" s="634" t="s">
        <v>2707</v>
      </c>
      <c r="C106" s="576" t="s">
        <v>2598</v>
      </c>
      <c r="D106" s="576" t="s">
        <v>2599</v>
      </c>
      <c r="E106" s="576" t="s">
        <v>2600</v>
      </c>
      <c r="F106" s="576" t="s">
        <v>2601</v>
      </c>
      <c r="G106" s="576" t="s">
        <v>2602</v>
      </c>
      <c r="H106" s="537"/>
      <c r="I106" s="537"/>
      <c r="J106" s="537"/>
      <c r="K106" s="538"/>
      <c r="L106" s="539"/>
      <c r="M106" s="540"/>
      <c r="N106" s="1153"/>
      <c r="O106" s="1153"/>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4.4"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4.4" thickBot="1">
      <c r="A109" s="551"/>
      <c r="B109" s="533"/>
      <c r="C109" s="558"/>
      <c r="D109" s="534"/>
      <c r="E109" s="534"/>
      <c r="F109" s="534"/>
      <c r="G109" s="558"/>
      <c r="H109" s="560"/>
      <c r="I109" s="560"/>
      <c r="J109" s="560"/>
      <c r="K109" s="560"/>
      <c r="L109" s="560"/>
      <c r="M109" s="561"/>
      <c r="N109" s="1154"/>
      <c r="O109" s="1154"/>
      <c r="P109" s="556"/>
      <c r="Q109" s="557"/>
    </row>
    <row r="110" spans="1:17" ht="14.4" thickTop="1">
      <c r="A110" s="597"/>
      <c r="B110" s="536">
        <f>B39</f>
        <v>111</v>
      </c>
      <c r="C110" s="552"/>
      <c r="D110" s="552"/>
      <c r="E110" s="552"/>
      <c r="F110" s="552"/>
      <c r="G110" s="552"/>
      <c r="H110" s="553"/>
      <c r="I110" s="553"/>
      <c r="J110" s="553"/>
      <c r="K110" s="553"/>
      <c r="L110" s="554"/>
      <c r="M110" s="555"/>
      <c r="N110" s="1152"/>
      <c r="O110" s="1152"/>
      <c r="P110" s="44"/>
      <c r="Q110" s="502"/>
    </row>
    <row r="111" spans="1:17" ht="14.4" thickBot="1">
      <c r="A111" s="532"/>
      <c r="B111" s="541"/>
      <c r="C111" s="558"/>
      <c r="D111" s="534"/>
      <c r="E111" s="534"/>
      <c r="F111" s="534"/>
      <c r="G111" s="558"/>
      <c r="H111" s="560"/>
      <c r="I111" s="560"/>
      <c r="J111" s="560"/>
      <c r="K111" s="560"/>
      <c r="L111" s="560"/>
      <c r="M111" s="561"/>
      <c r="N111" s="1153"/>
      <c r="O111" s="1153"/>
      <c r="P111" s="44"/>
      <c r="Q111" s="502"/>
    </row>
    <row r="112" spans="1:17" ht="14.4" thickTop="1">
      <c r="A112" s="597"/>
      <c r="B112" s="544">
        <f>B40</f>
        <v>111</v>
      </c>
      <c r="C112" s="521"/>
      <c r="D112" s="521"/>
      <c r="E112" s="521"/>
      <c r="F112" s="521"/>
      <c r="G112" s="585"/>
      <c r="H112" s="585"/>
      <c r="I112" s="585"/>
      <c r="J112" s="585"/>
      <c r="K112" s="521"/>
      <c r="L112" s="522"/>
      <c r="M112" s="588"/>
      <c r="N112" s="1152"/>
      <c r="O112" s="1152"/>
      <c r="P112" s="44"/>
      <c r="Q112" s="502"/>
    </row>
    <row r="113" spans="1:17" ht="14.4" thickBot="1">
      <c r="A113" s="2634"/>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7" t="e">
        <f ca="1">IF(C2="——",IF(B37="元/平方米",ROUND(C39*D3/10000,0),ROUND(F3*C39/10000,0)),IF(B37="元/平方米",ROUND(C39*D3/10000,0),ROUND(F3*C39/10000,0))-D2)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2333</v>
      </c>
      <c r="B3" s="607" t="e">
        <f ca="1">IF(AND(C2="——",B37="元/平方米"),C39,ROUND(B2*10000/D3,0))</f>
        <v>#DIV/0!</v>
      </c>
      <c r="C3" s="398" t="s">
        <v>2645</v>
      </c>
      <c r="D3" s="397">
        <f>SUMIF('数据-汇总表'!$C19:$C33,D1,'数据-汇总表'!$E19:$E33)</f>
        <v>0</v>
      </c>
      <c r="E3" s="398" t="s">
        <v>2709</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 thickBot="1">
      <c r="A7" s="406" t="s">
        <v>2549</v>
      </c>
      <c r="B7" s="407"/>
      <c r="C7" s="408">
        <f>'数据-取费表'!B2</f>
        <v>43332</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77" t="s">
        <v>2550</v>
      </c>
      <c r="Q7" s="3205"/>
      <c r="R7" s="768" t="s">
        <v>17</v>
      </c>
      <c r="S7" s="769">
        <f t="shared" ref="S7:S14" si="0">F7</f>
        <v>0</v>
      </c>
      <c r="T7" s="768" t="s">
        <v>17</v>
      </c>
      <c r="U7" s="769">
        <f t="shared" ref="U7:U14" si="1">H7</f>
        <v>0</v>
      </c>
      <c r="V7" s="768" t="s">
        <v>17</v>
      </c>
      <c r="W7" s="769">
        <f t="shared" ref="W7:W14" si="2">J7</f>
        <v>0</v>
      </c>
      <c r="X7" s="770"/>
      <c r="Y7" s="3177" t="s">
        <v>2550</v>
      </c>
      <c r="Z7" s="3178"/>
      <c r="AA7" s="771" t="e">
        <f>D7/F7</f>
        <v>#DIV/0!</v>
      </c>
      <c r="AB7" s="771" t="e">
        <f>D7/H7</f>
        <v>#DIV/0!</v>
      </c>
      <c r="AC7" s="771" t="e">
        <f>D7/J7</f>
        <v>#DIV/0!</v>
      </c>
    </row>
    <row r="8" spans="1:29" s="115" customFormat="1" ht="15" thickBot="1">
      <c r="A8" s="406" t="s">
        <v>2551</v>
      </c>
      <c r="B8" s="407"/>
      <c r="C8" s="412" t="s">
        <v>2653</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36" si="3">D8/F8</f>
        <v>#DIV/0!</v>
      </c>
      <c r="AB8" s="771" t="e">
        <f t="shared" ref="AB8:AB36" si="4">D8/H8</f>
        <v>#DIV/0!</v>
      </c>
      <c r="AC8" s="771" t="e">
        <f t="shared" ref="AC8:AC36" si="5">D8/J8</f>
        <v>#DIV/0!</v>
      </c>
    </row>
    <row r="9" spans="1:29" s="115" customFormat="1" ht="14.4">
      <c r="A9" s="67" t="s">
        <v>2554</v>
      </c>
      <c r="B9" s="638" t="s">
        <v>2555</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91" t="s">
        <v>2556</v>
      </c>
      <c r="Q9" s="1793" t="str">
        <f t="shared" ref="Q9:Q14" si="6">B9</f>
        <v>用途</v>
      </c>
      <c r="R9" s="768" t="s">
        <v>17</v>
      </c>
      <c r="S9" s="769">
        <f t="shared" si="0"/>
        <v>100</v>
      </c>
      <c r="T9" s="768" t="s">
        <v>17</v>
      </c>
      <c r="U9" s="769">
        <f t="shared" si="1"/>
        <v>100</v>
      </c>
      <c r="V9" s="768" t="s">
        <v>17</v>
      </c>
      <c r="W9" s="769">
        <f t="shared" si="2"/>
        <v>100</v>
      </c>
      <c r="X9" s="770"/>
      <c r="Y9" s="3051" t="s">
        <v>2557</v>
      </c>
      <c r="Z9" s="54" t="str">
        <f t="shared" ref="Z9:Z14" si="7">Q9</f>
        <v>用途</v>
      </c>
      <c r="AA9" s="771">
        <f t="shared" si="3"/>
        <v>1</v>
      </c>
      <c r="AB9" s="771">
        <f t="shared" si="4"/>
        <v>1</v>
      </c>
      <c r="AC9" s="771">
        <f t="shared" si="5"/>
        <v>1</v>
      </c>
    </row>
    <row r="10" spans="1:29" s="425" customFormat="1" ht="28.8">
      <c r="A10" s="639"/>
      <c r="B10" s="640" t="s">
        <v>2558</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91"/>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10.4">
      <c r="A14" s="399" t="s">
        <v>2560</v>
      </c>
      <c r="B14" s="627" t="s">
        <v>2710</v>
      </c>
      <c r="C14" s="2691" t="str">
        <f>IF(B1="工业",估价对象房地状况!G4,估价对象房地状况!C6)</f>
        <v>附近主要有317路、552路、809、通49路等公交线路，紧邻地铁6号线，路网密集度较好，交通便捷度较好。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06" t="s">
        <v>2561</v>
      </c>
      <c r="Q14" s="1808" t="str">
        <f t="shared" si="6"/>
        <v>交通便捷度</v>
      </c>
      <c r="R14" s="772" t="s">
        <v>17</v>
      </c>
      <c r="S14" s="773">
        <f t="shared" si="0"/>
        <v>100</v>
      </c>
      <c r="T14" s="772" t="s">
        <v>17</v>
      </c>
      <c r="U14" s="773">
        <f t="shared" si="1"/>
        <v>100</v>
      </c>
      <c r="V14" s="772" t="s">
        <v>17</v>
      </c>
      <c r="W14" s="773">
        <f t="shared" si="2"/>
        <v>100</v>
      </c>
      <c r="X14" s="1811"/>
      <c r="Y14" s="3206" t="s">
        <v>2561</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207"/>
      <c r="Q15" s="1808"/>
      <c r="R15" s="772"/>
      <c r="S15" s="773"/>
      <c r="T15" s="772"/>
      <c r="U15" s="773"/>
      <c r="V15" s="772"/>
      <c r="W15" s="773"/>
      <c r="X15" s="1811"/>
      <c r="Y15" s="3207"/>
      <c r="Z15" s="1812"/>
      <c r="AA15" s="1809">
        <v>1</v>
      </c>
      <c r="AB15" s="1809">
        <v>1</v>
      </c>
      <c r="AC15" s="1809">
        <v>1</v>
      </c>
    </row>
    <row r="16" spans="1:29" ht="193.2">
      <c r="A16" s="402"/>
      <c r="B16" s="62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07"/>
      <c r="Q16" s="1808" t="str">
        <f>B16</f>
        <v>公共配套设施</v>
      </c>
      <c r="R16" s="772" t="s">
        <v>17</v>
      </c>
      <c r="S16" s="773">
        <f>F16</f>
        <v>100</v>
      </c>
      <c r="T16" s="772" t="s">
        <v>17</v>
      </c>
      <c r="U16" s="773">
        <f>H16</f>
        <v>100</v>
      </c>
      <c r="V16" s="772" t="s">
        <v>17</v>
      </c>
      <c r="W16" s="773">
        <f>J16</f>
        <v>100</v>
      </c>
      <c r="X16" s="1811"/>
      <c r="Y16" s="3207"/>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207"/>
      <c r="Q17" s="1808"/>
      <c r="R17" s="772"/>
      <c r="S17" s="773"/>
      <c r="T17" s="772"/>
      <c r="U17" s="773"/>
      <c r="V17" s="772"/>
      <c r="W17" s="773"/>
      <c r="X17" s="1811"/>
      <c r="Y17" s="3207"/>
      <c r="Z17" s="1812"/>
      <c r="AA17" s="1809">
        <v>1</v>
      </c>
      <c r="AB17" s="1809">
        <v>1</v>
      </c>
      <c r="AC17" s="1809">
        <v>1</v>
      </c>
    </row>
    <row r="18" spans="1:29" ht="15">
      <c r="A18" s="402"/>
      <c r="B18" s="631" t="s">
        <v>2690</v>
      </c>
      <c r="C18" s="2605"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07"/>
      <c r="Q18" s="1808" t="str">
        <f>B18</f>
        <v>基础设施水平</v>
      </c>
      <c r="R18" s="772" t="s">
        <v>17</v>
      </c>
      <c r="S18" s="773">
        <f>F18</f>
        <v>100</v>
      </c>
      <c r="T18" s="772" t="s">
        <v>17</v>
      </c>
      <c r="U18" s="773">
        <f>H18</f>
        <v>100</v>
      </c>
      <c r="V18" s="772" t="s">
        <v>17</v>
      </c>
      <c r="W18" s="773">
        <f>J18</f>
        <v>100</v>
      </c>
      <c r="X18" s="1811"/>
      <c r="Y18" s="3207"/>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207"/>
      <c r="Q19" s="1808"/>
      <c r="R19" s="772"/>
      <c r="S19" s="773"/>
      <c r="T19" s="772"/>
      <c r="U19" s="773"/>
      <c r="V19" s="772"/>
      <c r="W19" s="773"/>
      <c r="X19" s="1811"/>
      <c r="Y19" s="3207"/>
      <c r="Z19" s="1812"/>
      <c r="AA19" s="1809">
        <v>1</v>
      </c>
      <c r="AB19" s="1809">
        <v>1</v>
      </c>
      <c r="AC19" s="1809">
        <v>1</v>
      </c>
    </row>
    <row r="20" spans="1:29" ht="138">
      <c r="A20" s="402"/>
      <c r="B20" s="62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07"/>
      <c r="Q20" s="1808" t="str">
        <f>B20</f>
        <v>自然及人文环境</v>
      </c>
      <c r="R20" s="772" t="s">
        <v>17</v>
      </c>
      <c r="S20" s="773">
        <f>F20</f>
        <v>100</v>
      </c>
      <c r="T20" s="772" t="s">
        <v>17</v>
      </c>
      <c r="U20" s="773">
        <f>H20</f>
        <v>100</v>
      </c>
      <c r="V20" s="772" t="s">
        <v>17</v>
      </c>
      <c r="W20" s="773">
        <f>J20</f>
        <v>100</v>
      </c>
      <c r="X20" s="1811"/>
      <c r="Y20" s="3207"/>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207"/>
      <c r="Q21" s="1808"/>
      <c r="R21" s="772"/>
      <c r="S21" s="773"/>
      <c r="T21" s="772"/>
      <c r="U21" s="773"/>
      <c r="V21" s="772"/>
      <c r="W21" s="773"/>
      <c r="X21" s="1811"/>
      <c r="Y21" s="3207"/>
      <c r="Z21" s="1812"/>
      <c r="AA21" s="1809">
        <v>1</v>
      </c>
      <c r="AB21" s="1809">
        <v>1</v>
      </c>
      <c r="AC21" s="1809">
        <v>1</v>
      </c>
    </row>
    <row r="22" spans="1:29" ht="15">
      <c r="A22" s="402"/>
      <c r="B22" s="629" t="s">
        <v>2712</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07"/>
      <c r="Q22" s="1808" t="str">
        <f>B22</f>
        <v>楼层</v>
      </c>
      <c r="R22" s="772" t="s">
        <v>17</v>
      </c>
      <c r="S22" s="773">
        <f>F22</f>
        <v>100</v>
      </c>
      <c r="T22" s="772" t="s">
        <v>17</v>
      </c>
      <c r="U22" s="773">
        <f>H22</f>
        <v>100</v>
      </c>
      <c r="V22" s="772" t="s">
        <v>17</v>
      </c>
      <c r="W22" s="773">
        <f>J22</f>
        <v>100</v>
      </c>
      <c r="X22" s="1811"/>
      <c r="Y22" s="3207"/>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07"/>
      <c r="Q23" s="1808">
        <f>B23</f>
        <v>111</v>
      </c>
      <c r="R23" s="772" t="s">
        <v>17</v>
      </c>
      <c r="S23" s="773">
        <f>F23</f>
        <v>100</v>
      </c>
      <c r="T23" s="772" t="s">
        <v>17</v>
      </c>
      <c r="U23" s="773">
        <f>H23</f>
        <v>100</v>
      </c>
      <c r="V23" s="772" t="s">
        <v>17</v>
      </c>
      <c r="W23" s="773">
        <f>J23</f>
        <v>100</v>
      </c>
      <c r="X23" s="1811"/>
      <c r="Y23" s="3207"/>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07"/>
      <c r="Q24" s="1808">
        <f t="shared" ref="Q24:Q36" si="11">B24</f>
        <v>111</v>
      </c>
      <c r="R24" s="772" t="s">
        <v>17</v>
      </c>
      <c r="S24" s="773">
        <f>F24</f>
        <v>100</v>
      </c>
      <c r="T24" s="772" t="s">
        <v>17</v>
      </c>
      <c r="U24" s="773">
        <f>H24</f>
        <v>100</v>
      </c>
      <c r="V24" s="772" t="s">
        <v>17</v>
      </c>
      <c r="W24" s="773">
        <f>J24</f>
        <v>100</v>
      </c>
      <c r="X24" s="1811"/>
      <c r="Y24" s="3207"/>
      <c r="Z24" s="1812">
        <f>Q24</f>
        <v>111</v>
      </c>
      <c r="AA24" s="1809">
        <f t="shared" si="3"/>
        <v>1</v>
      </c>
      <c r="AB24" s="1809">
        <f t="shared" si="4"/>
        <v>1</v>
      </c>
      <c r="AC24" s="1809">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07"/>
      <c r="Q25" s="1793">
        <f t="shared" si="11"/>
        <v>111</v>
      </c>
      <c r="R25" s="768" t="s">
        <v>17</v>
      </c>
      <c r="S25" s="769">
        <f>F25</f>
        <v>100</v>
      </c>
      <c r="T25" s="768" t="s">
        <v>17</v>
      </c>
      <c r="U25" s="769">
        <f>H25</f>
        <v>100</v>
      </c>
      <c r="V25" s="768" t="s">
        <v>17</v>
      </c>
      <c r="W25" s="769">
        <f>J25</f>
        <v>100</v>
      </c>
      <c r="X25" s="770"/>
      <c r="Y25" s="3207"/>
      <c r="Z25" s="54">
        <f>Q25</f>
        <v>111</v>
      </c>
      <c r="AA25" s="1809">
        <f>D25/F25</f>
        <v>1</v>
      </c>
      <c r="AB25" s="1809">
        <f>D25/H25</f>
        <v>1</v>
      </c>
      <c r="AC25" s="1809">
        <f>D25/J25</f>
        <v>1</v>
      </c>
    </row>
    <row r="26" spans="1:29" ht="30">
      <c r="A26" s="650" t="s">
        <v>2564</v>
      </c>
      <c r="B26" s="69" t="s">
        <v>2713</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08"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9" t="s">
        <v>2566</v>
      </c>
      <c r="Z26" s="1812" t="str">
        <f t="shared" ref="Z26:Z36" si="15">Q26</f>
        <v>配套类型</v>
      </c>
      <c r="AA26" s="1809">
        <f t="shared" si="3"/>
        <v>1</v>
      </c>
      <c r="AB26" s="1809">
        <f t="shared" si="4"/>
        <v>1</v>
      </c>
      <c r="AC26" s="1809">
        <f t="shared" si="5"/>
        <v>1</v>
      </c>
    </row>
    <row r="27" spans="1:29" s="469" customFormat="1" ht="15">
      <c r="A27" s="651"/>
      <c r="B27" s="652" t="s">
        <v>2714</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9"/>
      <c r="Q27" s="774" t="str">
        <f t="shared" si="11"/>
        <v>项目停车位配比</v>
      </c>
      <c r="R27" s="775" t="s">
        <v>17</v>
      </c>
      <c r="S27" s="776">
        <f t="shared" si="12"/>
        <v>100</v>
      </c>
      <c r="T27" s="775" t="s">
        <v>17</v>
      </c>
      <c r="U27" s="776">
        <f t="shared" si="13"/>
        <v>100</v>
      </c>
      <c r="V27" s="775" t="s">
        <v>17</v>
      </c>
      <c r="W27" s="776">
        <f t="shared" si="14"/>
        <v>100</v>
      </c>
      <c r="X27" s="777"/>
      <c r="Y27" s="3209"/>
      <c r="Z27" s="778" t="str">
        <f t="shared" si="15"/>
        <v>项目停车位配比</v>
      </c>
      <c r="AA27" s="1809">
        <f t="shared" si="3"/>
        <v>1</v>
      </c>
      <c r="AB27" s="1809">
        <f t="shared" si="4"/>
        <v>1</v>
      </c>
      <c r="AC27" s="1809">
        <f t="shared" si="5"/>
        <v>1</v>
      </c>
    </row>
    <row r="28" spans="1:29" ht="15">
      <c r="A28" s="654"/>
      <c r="B28" s="652" t="s">
        <v>2715</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9"/>
      <c r="Q28" s="1808" t="str">
        <f t="shared" si="11"/>
        <v>公共部分装修</v>
      </c>
      <c r="R28" s="772" t="s">
        <v>17</v>
      </c>
      <c r="S28" s="773">
        <f t="shared" si="12"/>
        <v>100</v>
      </c>
      <c r="T28" s="772" t="s">
        <v>17</v>
      </c>
      <c r="U28" s="773">
        <f t="shared" si="13"/>
        <v>100</v>
      </c>
      <c r="V28" s="772" t="s">
        <v>17</v>
      </c>
      <c r="W28" s="773">
        <f t="shared" si="14"/>
        <v>100</v>
      </c>
      <c r="X28" s="1811"/>
      <c r="Y28" s="3209"/>
      <c r="Z28" s="1812" t="str">
        <f t="shared" si="15"/>
        <v>公共部分装修</v>
      </c>
      <c r="AA28" s="1809">
        <f t="shared" si="3"/>
        <v>1</v>
      </c>
      <c r="AB28" s="1809">
        <f t="shared" si="4"/>
        <v>1</v>
      </c>
      <c r="AC28" s="1809">
        <f t="shared" si="5"/>
        <v>1</v>
      </c>
    </row>
    <row r="29" spans="1:29" ht="15">
      <c r="A29" s="654"/>
      <c r="B29" s="652" t="s">
        <v>2716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9"/>
      <c r="Q29" s="1808" t="str">
        <f t="shared" si="11"/>
        <v>成新率</v>
      </c>
      <c r="R29" s="772" t="s">
        <v>17</v>
      </c>
      <c r="S29" s="773" t="e">
        <f t="shared" si="12"/>
        <v>#N/A</v>
      </c>
      <c r="T29" s="772" t="s">
        <v>17</v>
      </c>
      <c r="U29" s="773" t="e">
        <f t="shared" si="13"/>
        <v>#N/A</v>
      </c>
      <c r="V29" s="772" t="s">
        <v>17</v>
      </c>
      <c r="W29" s="773" t="e">
        <f t="shared" si="14"/>
        <v>#N/A</v>
      </c>
      <c r="X29" s="1811"/>
      <c r="Y29" s="3209"/>
      <c r="Z29" s="1812" t="str">
        <f t="shared" si="15"/>
        <v>成新率</v>
      </c>
      <c r="AA29" s="1809" t="e">
        <f t="shared" si="3"/>
        <v>#N/A</v>
      </c>
      <c r="AB29" s="1809" t="e">
        <f t="shared" si="4"/>
        <v>#N/A</v>
      </c>
      <c r="AC29" s="1809" t="e">
        <f t="shared" si="5"/>
        <v>#N/A</v>
      </c>
    </row>
    <row r="30" spans="1:29" ht="15">
      <c r="A30" s="654"/>
      <c r="B30" s="652" t="s">
        <v>2717</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9"/>
      <c r="Q30" s="1808" t="str">
        <f t="shared" si="11"/>
        <v>物业等级</v>
      </c>
      <c r="R30" s="772" t="s">
        <v>17</v>
      </c>
      <c r="S30" s="773">
        <f t="shared" si="12"/>
        <v>100</v>
      </c>
      <c r="T30" s="772" t="s">
        <v>17</v>
      </c>
      <c r="U30" s="773">
        <f t="shared" si="13"/>
        <v>100</v>
      </c>
      <c r="V30" s="772" t="s">
        <v>17</v>
      </c>
      <c r="W30" s="773">
        <f t="shared" si="14"/>
        <v>100</v>
      </c>
      <c r="X30" s="1811"/>
      <c r="Y30" s="3209"/>
      <c r="Z30" s="1812" t="str">
        <f t="shared" si="15"/>
        <v>物业等级</v>
      </c>
      <c r="AA30" s="1809">
        <f t="shared" si="3"/>
        <v>1</v>
      </c>
      <c r="AB30" s="1809">
        <f t="shared" si="4"/>
        <v>1</v>
      </c>
      <c r="AC30" s="1809">
        <f t="shared" si="5"/>
        <v>1</v>
      </c>
    </row>
    <row r="31" spans="1:29" s="115" customFormat="1" ht="15">
      <c r="A31" s="656"/>
      <c r="B31" s="652" t="s">
        <v>2718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9"/>
      <c r="Q31" s="1793" t="str">
        <f t="shared" si="11"/>
        <v>停车位面积</v>
      </c>
      <c r="R31" s="768" t="s">
        <v>17</v>
      </c>
      <c r="S31" s="769" t="e">
        <f t="shared" si="12"/>
        <v>#N/A</v>
      </c>
      <c r="T31" s="768" t="s">
        <v>17</v>
      </c>
      <c r="U31" s="769" t="e">
        <f t="shared" si="13"/>
        <v>#N/A</v>
      </c>
      <c r="V31" s="768" t="s">
        <v>17</v>
      </c>
      <c r="W31" s="769" t="e">
        <f t="shared" si="14"/>
        <v>#N/A</v>
      </c>
      <c r="X31" s="770"/>
      <c r="Y31" s="3209"/>
      <c r="Z31" s="54" t="str">
        <f t="shared" si="15"/>
        <v>停车位面积</v>
      </c>
      <c r="AA31" s="771" t="e">
        <f t="shared" si="3"/>
        <v>#N/A</v>
      </c>
      <c r="AB31" s="771" t="e">
        <f t="shared" si="4"/>
        <v>#N/A</v>
      </c>
      <c r="AC31" s="771" t="e">
        <f t="shared" si="5"/>
        <v>#N/A</v>
      </c>
    </row>
    <row r="32" spans="1:29" ht="15">
      <c r="A32" s="654"/>
      <c r="B32" s="652" t="s">
        <v>2719</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9" t="s">
        <v>2566</v>
      </c>
      <c r="Q32" s="1808" t="str">
        <f t="shared" si="11"/>
        <v>车位类型</v>
      </c>
      <c r="R32" s="772" t="s">
        <v>17</v>
      </c>
      <c r="S32" s="773">
        <f t="shared" si="12"/>
        <v>100</v>
      </c>
      <c r="T32" s="772" t="s">
        <v>17</v>
      </c>
      <c r="U32" s="773">
        <f t="shared" si="13"/>
        <v>100</v>
      </c>
      <c r="V32" s="772" t="s">
        <v>17</v>
      </c>
      <c r="W32" s="773">
        <f t="shared" si="14"/>
        <v>100</v>
      </c>
      <c r="X32" s="1811"/>
      <c r="Y32" s="3209" t="s">
        <v>2566</v>
      </c>
      <c r="Z32" s="1812" t="str">
        <f t="shared" si="15"/>
        <v>车位类型</v>
      </c>
      <c r="AA32" s="1809">
        <f t="shared" si="3"/>
        <v>1</v>
      </c>
      <c r="AB32" s="1809">
        <f t="shared" si="4"/>
        <v>1</v>
      </c>
      <c r="AC32" s="1809">
        <f t="shared" si="5"/>
        <v>1</v>
      </c>
    </row>
    <row r="33" spans="1:29" ht="15">
      <c r="A33" s="654"/>
      <c r="B33" s="652" t="s">
        <v>2720</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9"/>
      <c r="Q33" s="1808" t="str">
        <f t="shared" si="11"/>
        <v>是否直接入户</v>
      </c>
      <c r="R33" s="772" t="s">
        <v>17</v>
      </c>
      <c r="S33" s="773">
        <f t="shared" si="12"/>
        <v>100</v>
      </c>
      <c r="T33" s="772" t="s">
        <v>17</v>
      </c>
      <c r="U33" s="773">
        <f t="shared" si="13"/>
        <v>100</v>
      </c>
      <c r="V33" s="772" t="s">
        <v>17</v>
      </c>
      <c r="W33" s="773">
        <f t="shared" si="14"/>
        <v>100</v>
      </c>
      <c r="X33" s="1811"/>
      <c r="Y33" s="3209"/>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9"/>
      <c r="Q35" s="774">
        <f t="shared" si="11"/>
        <v>111</v>
      </c>
      <c r="R35" s="775" t="s">
        <v>17</v>
      </c>
      <c r="S35" s="776">
        <f t="shared" si="12"/>
        <v>100</v>
      </c>
      <c r="T35" s="775" t="s">
        <v>17</v>
      </c>
      <c r="U35" s="776">
        <f t="shared" si="13"/>
        <v>100</v>
      </c>
      <c r="V35" s="775" t="s">
        <v>17</v>
      </c>
      <c r="W35" s="776">
        <f t="shared" si="14"/>
        <v>100</v>
      </c>
      <c r="X35" s="777"/>
      <c r="Y35" s="3209"/>
      <c r="Z35" s="778">
        <f t="shared" si="15"/>
        <v>111</v>
      </c>
      <c r="AA35" s="1809">
        <f t="shared" si="3"/>
        <v>1</v>
      </c>
      <c r="AB35" s="1809">
        <f t="shared" si="4"/>
        <v>1</v>
      </c>
      <c r="AC35" s="1809">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9"/>
      <c r="Q36" s="1808">
        <f t="shared" si="11"/>
        <v>111</v>
      </c>
      <c r="R36" s="772" t="s">
        <v>17</v>
      </c>
      <c r="S36" s="773">
        <f t="shared" si="12"/>
        <v>100</v>
      </c>
      <c r="T36" s="772" t="s">
        <v>17</v>
      </c>
      <c r="U36" s="773">
        <f t="shared" si="13"/>
        <v>100</v>
      </c>
      <c r="V36" s="772" t="s">
        <v>17</v>
      </c>
      <c r="W36" s="773">
        <f t="shared" si="14"/>
        <v>100</v>
      </c>
      <c r="X36" s="1811"/>
      <c r="Y36" s="3209"/>
      <c r="Z36" s="1812">
        <f t="shared" si="15"/>
        <v>111</v>
      </c>
      <c r="AA36" s="1809">
        <f t="shared" si="3"/>
        <v>1</v>
      </c>
      <c r="AB36" s="1809">
        <f t="shared" si="4"/>
        <v>1</v>
      </c>
      <c r="AC36" s="1809">
        <f t="shared" si="5"/>
        <v>1</v>
      </c>
    </row>
    <row r="37" spans="1:29" ht="14.4">
      <c r="A37" s="477" t="s">
        <v>2721</v>
      </c>
      <c r="B37" s="2693" t="s">
        <v>2722</v>
      </c>
      <c r="C37" s="1406" t="s">
        <v>1</v>
      </c>
      <c r="D37" s="1407"/>
      <c r="E37" s="1408"/>
      <c r="F37" s="1409"/>
      <c r="G37" s="1410"/>
      <c r="H37" s="1411"/>
      <c r="I37" s="1408"/>
      <c r="J37" s="1411"/>
      <c r="K37" s="617"/>
      <c r="L37" s="1143"/>
      <c r="M37" s="1144"/>
      <c r="N37" s="1131"/>
      <c r="O37" s="1144"/>
      <c r="P37" s="3191" t="str">
        <f>A37</f>
        <v>成交单价</v>
      </c>
      <c r="Q37" s="3191"/>
      <c r="R37" s="3242">
        <f>E37</f>
        <v>0</v>
      </c>
      <c r="S37" s="3242"/>
      <c r="T37" s="3242">
        <f>G37</f>
        <v>0</v>
      </c>
      <c r="U37" s="3242"/>
      <c r="V37" s="3242">
        <f>I37</f>
        <v>0</v>
      </c>
      <c r="W37" s="3242"/>
      <c r="X37" s="757"/>
      <c r="Y37" s="779"/>
      <c r="Z37" s="757"/>
      <c r="AA37" s="757"/>
      <c r="AB37" s="757"/>
      <c r="AC37" s="757"/>
    </row>
    <row r="38" spans="1:29" ht="15" thickBot="1">
      <c r="A38" s="484" t="s">
        <v>2723</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91" t="str">
        <f>A38</f>
        <v>比较价值（元/平方米）</v>
      </c>
      <c r="Q38" s="319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7"/>
      <c r="Y38" s="757"/>
      <c r="Z38" s="757"/>
      <c r="AA38" s="757"/>
      <c r="AB38" s="757"/>
      <c r="AC38" s="757"/>
    </row>
    <row r="39" spans="1:29" ht="15" thickBot="1">
      <c r="A39" s="490" t="s">
        <v>2724</v>
      </c>
      <c r="B39" s="491"/>
      <c r="C39" s="1416" t="e">
        <f>R39</f>
        <v>#DIV/0!</v>
      </c>
      <c r="D39" s="1416"/>
      <c r="E39" s="1416"/>
      <c r="F39" s="1416"/>
      <c r="G39" s="1416"/>
      <c r="H39" s="1416"/>
      <c r="I39" s="1416"/>
      <c r="J39" s="1416"/>
      <c r="K39" s="619"/>
      <c r="L39" s="1143"/>
      <c r="M39" s="1144"/>
      <c r="N39" s="1144"/>
      <c r="O39" s="1144"/>
      <c r="P39" s="3212" t="str">
        <f>A39</f>
        <v>估价对象XX用房的比较价值（楼面单价，元/平方米）</v>
      </c>
      <c r="Q39" s="3213"/>
      <c r="R39" s="3277" t="e">
        <f>IF(F1="售价",ROUND(AVERAGE(R38:V38),0),ROUND(AVERAGE(R38:V38),1))</f>
        <v>#DIV/0!</v>
      </c>
      <c r="S39" s="3277"/>
      <c r="T39" s="3277"/>
      <c r="U39" s="3277"/>
      <c r="V39" s="3277"/>
      <c r="W39" s="327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4.4">
      <c r="A48" s="503" t="s">
        <v>2729</v>
      </c>
      <c r="B48" s="504"/>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2586</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2551</v>
      </c>
      <c r="B51" s="508"/>
      <c r="C51" s="520" t="s">
        <v>2653</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ht="14.4">
      <c r="A53" s="525" t="s">
        <v>2589</v>
      </c>
      <c r="B53" s="526" t="s">
        <v>2555</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4.4"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9.4" thickTop="1">
      <c r="A55" s="532"/>
      <c r="B55" s="536" t="s">
        <v>2558</v>
      </c>
      <c r="C55" s="537" t="s">
        <v>2590</v>
      </c>
      <c r="D55" s="537" t="s">
        <v>2591</v>
      </c>
      <c r="E55" s="537" t="s">
        <v>2592</v>
      </c>
      <c r="F55" s="537" t="s">
        <v>2593</v>
      </c>
      <c r="G55" s="537" t="s">
        <v>2594</v>
      </c>
      <c r="H55" s="537" t="s">
        <v>2595</v>
      </c>
      <c r="I55" s="537" t="s">
        <v>2596</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4.4"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4.4"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4.4"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 thickTop="1">
      <c r="A65" s="532"/>
      <c r="B65" s="536" t="s">
        <v>2604</v>
      </c>
      <c r="C65" s="576" t="s">
        <v>2598</v>
      </c>
      <c r="D65" s="576" t="s">
        <v>2599</v>
      </c>
      <c r="E65" s="576" t="s">
        <v>2600</v>
      </c>
      <c r="F65" s="576" t="s">
        <v>2601</v>
      </c>
      <c r="G65" s="576" t="s">
        <v>2602</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 thickTop="1">
      <c r="A67" s="532"/>
      <c r="B67" s="544" t="s">
        <v>2690</v>
      </c>
      <c r="C67" s="658" t="s">
        <v>2676</v>
      </c>
      <c r="D67" s="658" t="s">
        <v>2677</v>
      </c>
      <c r="E67" s="658" t="s">
        <v>2678</v>
      </c>
      <c r="F67" s="658" t="s">
        <v>2679</v>
      </c>
      <c r="G67" s="658" t="s">
        <v>2680</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 thickTop="1">
      <c r="A69" s="532"/>
      <c r="B69" s="536" t="s">
        <v>2610</v>
      </c>
      <c r="C69" s="576" t="s">
        <v>2598</v>
      </c>
      <c r="D69" s="576" t="s">
        <v>2599</v>
      </c>
      <c r="E69" s="576" t="s">
        <v>2600</v>
      </c>
      <c r="F69" s="576" t="s">
        <v>2601</v>
      </c>
      <c r="G69" s="576" t="s">
        <v>2602</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 thickTop="1">
      <c r="A71" s="532"/>
      <c r="B71" s="536" t="s">
        <v>2730</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4.4"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9.4" thickTop="1">
      <c r="A79" s="525" t="s">
        <v>2564</v>
      </c>
      <c r="B79" s="526" t="s">
        <v>2731</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2"/>
      <c r="B81" s="536" t="s">
        <v>2732</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4.4"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2617</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2734</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2736</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2737</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4.4"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4.4"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4.4"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4.4"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7" t="e">
        <f ca="1">IF(C2="——",ROUND(C37*D3/10000,0),ROUND(C37*D3/10000,0)-D2)</f>
        <v>#DIV/0!</v>
      </c>
      <c r="C2" s="2584"/>
      <c r="D2" s="1124" t="e">
        <f ca="1">SUMIF(INDIRECT("'"&amp;F2&amp;"'"&amp;"!A:A"),"承租人权益价值",INDIRECT("'"&amp;F2&amp;"'"&amp;"!c:c"))</f>
        <v>#REF!</v>
      </c>
      <c r="E2" s="2585" t="s">
        <v>2332</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 ca="1">IF(C2="——",C37,ROUND(B2*10000/D3,0))</f>
        <v>#DIV/0!</v>
      </c>
      <c r="C3" s="398" t="s">
        <v>2645</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 thickBot="1">
      <c r="A6" s="404"/>
      <c r="B6" s="405"/>
      <c r="C6" s="3187" t="s">
        <v>2547</v>
      </c>
      <c r="D6" s="3188"/>
      <c r="E6" s="3189" t="s">
        <v>2547</v>
      </c>
      <c r="F6" s="3190"/>
      <c r="G6" s="3187" t="s">
        <v>2547</v>
      </c>
      <c r="H6" s="3188"/>
      <c r="I6" s="3187" t="s">
        <v>2547</v>
      </c>
      <c r="J6" s="3188"/>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 thickBot="1">
      <c r="A7" s="406" t="s">
        <v>2549</v>
      </c>
      <c r="B7" s="407"/>
      <c r="C7" s="408">
        <f>'数据-取费表'!B2</f>
        <v>43332</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177" t="s">
        <v>2550</v>
      </c>
      <c r="Q7" s="3205"/>
      <c r="R7" s="768" t="s">
        <v>17</v>
      </c>
      <c r="S7" s="769">
        <f t="shared" ref="S7:S14" si="0">F7</f>
        <v>0</v>
      </c>
      <c r="T7" s="768" t="s">
        <v>17</v>
      </c>
      <c r="U7" s="769">
        <f t="shared" ref="U7:U14" si="1">H7</f>
        <v>0</v>
      </c>
      <c r="V7" s="768" t="s">
        <v>17</v>
      </c>
      <c r="W7" s="769">
        <f t="shared" ref="W7:W14" si="2">J7</f>
        <v>0</v>
      </c>
      <c r="X7" s="770"/>
      <c r="Y7" s="3177" t="s">
        <v>2550</v>
      </c>
      <c r="Z7" s="3178"/>
      <c r="AA7" s="771" t="e">
        <f>D7/F7</f>
        <v>#DIV/0!</v>
      </c>
      <c r="AB7" s="771" t="e">
        <f>D7/H7</f>
        <v>#DIV/0!</v>
      </c>
      <c r="AC7" s="771" t="e">
        <f>D7/J7</f>
        <v>#DIV/0!</v>
      </c>
    </row>
    <row r="8" spans="1:29" s="115" customFormat="1" ht="15" thickBot="1">
      <c r="A8" s="406" t="s">
        <v>2551</v>
      </c>
      <c r="B8" s="407"/>
      <c r="C8" s="412" t="s">
        <v>2653</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34" si="3">D8/F8</f>
        <v>#DIV/0!</v>
      </c>
      <c r="AB8" s="771" t="e">
        <f t="shared" ref="AB8:AB34" si="4">D8/H8</f>
        <v>#DIV/0!</v>
      </c>
      <c r="AC8" s="771" t="e">
        <f t="shared" ref="AC8:AC34" si="5">D8/J8</f>
        <v>#DIV/0!</v>
      </c>
    </row>
    <row r="9" spans="1:29" s="115" customFormat="1" ht="14.4">
      <c r="A9" s="413" t="s">
        <v>2554</v>
      </c>
      <c r="B9" s="70" t="s">
        <v>2555</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91" t="s">
        <v>2556</v>
      </c>
      <c r="Q9" s="1793" t="str">
        <f t="shared" ref="Q9:Q14" si="6">B9</f>
        <v>用途</v>
      </c>
      <c r="R9" s="768" t="s">
        <v>17</v>
      </c>
      <c r="S9" s="769">
        <f t="shared" si="0"/>
        <v>100</v>
      </c>
      <c r="T9" s="768" t="s">
        <v>17</v>
      </c>
      <c r="U9" s="769">
        <f t="shared" si="1"/>
        <v>100</v>
      </c>
      <c r="V9" s="768" t="s">
        <v>17</v>
      </c>
      <c r="W9" s="769">
        <f t="shared" si="2"/>
        <v>100</v>
      </c>
      <c r="X9" s="770"/>
      <c r="Y9" s="3051" t="s">
        <v>2557</v>
      </c>
      <c r="Z9" s="54" t="str">
        <f t="shared" ref="Z9:Z14" si="7">Q9</f>
        <v>用途</v>
      </c>
      <c r="AA9" s="771">
        <f t="shared" si="3"/>
        <v>1</v>
      </c>
      <c r="AB9" s="771">
        <f t="shared" si="4"/>
        <v>1</v>
      </c>
      <c r="AC9" s="771">
        <f t="shared" si="5"/>
        <v>1</v>
      </c>
    </row>
    <row r="10" spans="1:29" s="425" customFormat="1" ht="28.8">
      <c r="A10" s="419"/>
      <c r="B10" s="420" t="s">
        <v>2558</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91"/>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91"/>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6"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10.4">
      <c r="A14" s="438" t="s">
        <v>2560</v>
      </c>
      <c r="B14" s="68" t="s">
        <v>2710</v>
      </c>
      <c r="C14" s="2691" t="str">
        <f>IF(B1="工业",估价对象房地状况!G4,估价对象房地状况!C6)</f>
        <v>附近主要有317路、552路、809、通49路等公交线路，紧邻地铁6号线，路网密集度较好，交通便捷度较好。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06" t="s">
        <v>2561</v>
      </c>
      <c r="Q14" s="1808" t="str">
        <f t="shared" si="6"/>
        <v>交通便捷度</v>
      </c>
      <c r="R14" s="772" t="s">
        <v>17</v>
      </c>
      <c r="S14" s="773">
        <f t="shared" si="0"/>
        <v>100</v>
      </c>
      <c r="T14" s="772" t="s">
        <v>17</v>
      </c>
      <c r="U14" s="773">
        <f t="shared" si="1"/>
        <v>100</v>
      </c>
      <c r="V14" s="772" t="s">
        <v>17</v>
      </c>
      <c r="W14" s="773">
        <f t="shared" si="2"/>
        <v>100</v>
      </c>
      <c r="X14" s="1811"/>
      <c r="Y14" s="3206" t="s">
        <v>2561</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207"/>
      <c r="Q15" s="1808"/>
      <c r="R15" s="772"/>
      <c r="S15" s="773"/>
      <c r="T15" s="772"/>
      <c r="U15" s="773"/>
      <c r="V15" s="772"/>
      <c r="W15" s="773"/>
      <c r="X15" s="1811"/>
      <c r="Y15" s="3207"/>
      <c r="Z15" s="1812"/>
      <c r="AA15" s="1809">
        <v>1</v>
      </c>
      <c r="AB15" s="1809">
        <v>1</v>
      </c>
      <c r="AC15" s="1809">
        <v>1</v>
      </c>
    </row>
    <row r="16" spans="1:29" ht="193.2">
      <c r="A16" s="426"/>
      <c r="B16" s="449" t="s">
        <v>2689</v>
      </c>
      <c r="C16" s="2605" t="str">
        <f>IF(B1="工业",估价对象房地状况!G5,估价对象房地状况!C7)</f>
        <v>估价对象周边有银行（兴业银行（北京通州运河支行）等）、医院（北京京通医院等）、超市（隆品源超市等）、学校（北京通州芙蓉小学等），公共配套设施齐备情况较好。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07"/>
      <c r="Q16" s="1808" t="str">
        <f>B16</f>
        <v>公共配套设施</v>
      </c>
      <c r="R16" s="772" t="s">
        <v>17</v>
      </c>
      <c r="S16" s="773">
        <f>F16</f>
        <v>100</v>
      </c>
      <c r="T16" s="772" t="s">
        <v>17</v>
      </c>
      <c r="U16" s="773">
        <f>H16</f>
        <v>100</v>
      </c>
      <c r="V16" s="772" t="s">
        <v>17</v>
      </c>
      <c r="W16" s="773">
        <f>J16</f>
        <v>100</v>
      </c>
      <c r="X16" s="1811"/>
      <c r="Y16" s="3207"/>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207"/>
      <c r="Q17" s="1808"/>
      <c r="R17" s="772"/>
      <c r="S17" s="773"/>
      <c r="T17" s="772"/>
      <c r="U17" s="773"/>
      <c r="V17" s="772"/>
      <c r="W17" s="773"/>
      <c r="X17" s="1811"/>
      <c r="Y17" s="3207"/>
      <c r="Z17" s="1812"/>
      <c r="AA17" s="1809">
        <v>1</v>
      </c>
      <c r="AB17" s="1809">
        <v>1</v>
      </c>
      <c r="AC17" s="1809">
        <v>1</v>
      </c>
    </row>
    <row r="18" spans="1:29" ht="15">
      <c r="A18" s="426"/>
      <c r="B18" s="1383" t="s">
        <v>2690</v>
      </c>
      <c r="C18" s="260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07"/>
      <c r="Q18" s="1808" t="str">
        <f>B18</f>
        <v>基础设施水平</v>
      </c>
      <c r="R18" s="772" t="s">
        <v>17</v>
      </c>
      <c r="S18" s="773">
        <f>F18</f>
        <v>100</v>
      </c>
      <c r="T18" s="772" t="s">
        <v>17</v>
      </c>
      <c r="U18" s="773">
        <f>H18</f>
        <v>100</v>
      </c>
      <c r="V18" s="772" t="s">
        <v>17</v>
      </c>
      <c r="W18" s="773">
        <f>J18</f>
        <v>100</v>
      </c>
      <c r="X18" s="1811"/>
      <c r="Y18" s="3207"/>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207"/>
      <c r="Q19" s="1808"/>
      <c r="R19" s="772"/>
      <c r="S19" s="773"/>
      <c r="T19" s="772"/>
      <c r="U19" s="773"/>
      <c r="V19" s="772"/>
      <c r="W19" s="773"/>
      <c r="X19" s="1811"/>
      <c r="Y19" s="3207"/>
      <c r="Z19" s="1812"/>
      <c r="AA19" s="1809">
        <v>1</v>
      </c>
      <c r="AB19" s="1809">
        <v>1</v>
      </c>
      <c r="AC19" s="1809">
        <v>1</v>
      </c>
    </row>
    <row r="20" spans="1:29" ht="138">
      <c r="A20" s="426"/>
      <c r="B20" s="449" t="s">
        <v>2711</v>
      </c>
      <c r="C20" s="2605" t="str">
        <f>IF(B1="工业",估价对象房地状况!G7,估价对象房地状况!C9)</f>
        <v>估价对象周边有水系、运河奥体公园，自然环境较好；周边有大运河美术馆等人文设施，人文环境较好；综合评价环境状况较好。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07"/>
      <c r="Q20" s="1808" t="str">
        <f>B20</f>
        <v>自然及人文环境</v>
      </c>
      <c r="R20" s="772" t="s">
        <v>17</v>
      </c>
      <c r="S20" s="773">
        <f>F20</f>
        <v>100</v>
      </c>
      <c r="T20" s="772" t="s">
        <v>17</v>
      </c>
      <c r="U20" s="773">
        <f>H20</f>
        <v>100</v>
      </c>
      <c r="V20" s="772" t="s">
        <v>17</v>
      </c>
      <c r="W20" s="773">
        <f>J20</f>
        <v>100</v>
      </c>
      <c r="X20" s="1811"/>
      <c r="Y20" s="3207"/>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207"/>
      <c r="Q21" s="1808"/>
      <c r="R21" s="772"/>
      <c r="S21" s="773"/>
      <c r="T21" s="772"/>
      <c r="U21" s="773"/>
      <c r="V21" s="772"/>
      <c r="W21" s="773"/>
      <c r="X21" s="1811"/>
      <c r="Y21" s="3207"/>
      <c r="Z21" s="1812"/>
      <c r="AA21" s="1809">
        <v>1</v>
      </c>
      <c r="AB21" s="1809">
        <v>1</v>
      </c>
      <c r="AC21" s="1809">
        <v>1</v>
      </c>
    </row>
    <row r="22" spans="1:29" ht="15">
      <c r="A22" s="426"/>
      <c r="B22" s="449" t="s">
        <v>2712</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07"/>
      <c r="Q22" s="1808" t="str">
        <f>B22</f>
        <v>楼层</v>
      </c>
      <c r="R22" s="772" t="s">
        <v>17</v>
      </c>
      <c r="S22" s="773">
        <f>F22</f>
        <v>100</v>
      </c>
      <c r="T22" s="772" t="s">
        <v>17</v>
      </c>
      <c r="U22" s="773">
        <f>H22</f>
        <v>100</v>
      </c>
      <c r="V22" s="772" t="s">
        <v>17</v>
      </c>
      <c r="W22" s="773">
        <f>J22</f>
        <v>100</v>
      </c>
      <c r="X22" s="1811"/>
      <c r="Y22" s="3207"/>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07"/>
      <c r="Q23" s="1808">
        <f>B23</f>
        <v>111</v>
      </c>
      <c r="R23" s="772" t="s">
        <v>17</v>
      </c>
      <c r="S23" s="773">
        <f>F23</f>
        <v>100</v>
      </c>
      <c r="T23" s="772" t="s">
        <v>17</v>
      </c>
      <c r="U23" s="773">
        <f>H23</f>
        <v>100</v>
      </c>
      <c r="V23" s="772" t="s">
        <v>17</v>
      </c>
      <c r="W23" s="773">
        <f>J23</f>
        <v>100</v>
      </c>
      <c r="X23" s="1811"/>
      <c r="Y23" s="3207"/>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07"/>
      <c r="Q24" s="1808">
        <f t="shared" ref="Q24:Q34" si="11">B24</f>
        <v>111</v>
      </c>
      <c r="R24" s="772" t="s">
        <v>17</v>
      </c>
      <c r="S24" s="773">
        <f>F24</f>
        <v>100</v>
      </c>
      <c r="T24" s="772" t="s">
        <v>17</v>
      </c>
      <c r="U24" s="773">
        <f>H24</f>
        <v>100</v>
      </c>
      <c r="V24" s="772" t="s">
        <v>17</v>
      </c>
      <c r="W24" s="773">
        <f>J24</f>
        <v>100</v>
      </c>
      <c r="X24" s="1811"/>
      <c r="Y24" s="3207"/>
      <c r="Z24" s="1812">
        <f>Q24</f>
        <v>111</v>
      </c>
      <c r="AA24" s="1809">
        <f t="shared" si="3"/>
        <v>1</v>
      </c>
      <c r="AB24" s="1809">
        <f t="shared" si="4"/>
        <v>1</v>
      </c>
      <c r="AC24" s="1809">
        <f t="shared" si="5"/>
        <v>1</v>
      </c>
    </row>
    <row r="25" spans="1:29" s="115" customFormat="1" ht="15.6"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207"/>
      <c r="Q25" s="1793">
        <f t="shared" si="11"/>
        <v>111</v>
      </c>
      <c r="R25" s="768" t="s">
        <v>17</v>
      </c>
      <c r="S25" s="769">
        <f>F25</f>
        <v>100</v>
      </c>
      <c r="T25" s="768" t="s">
        <v>17</v>
      </c>
      <c r="U25" s="769">
        <f>H25</f>
        <v>100</v>
      </c>
      <c r="V25" s="768" t="s">
        <v>17</v>
      </c>
      <c r="W25" s="769">
        <f>J25</f>
        <v>100</v>
      </c>
      <c r="X25" s="770"/>
      <c r="Y25" s="3207"/>
      <c r="Z25" s="54">
        <f>Q25</f>
        <v>111</v>
      </c>
      <c r="AA25" s="1809">
        <f>D25/F25</f>
        <v>1</v>
      </c>
      <c r="AB25" s="1809">
        <f>D25/H25</f>
        <v>1</v>
      </c>
      <c r="AC25" s="1809">
        <f>D25/J25</f>
        <v>1</v>
      </c>
    </row>
    <row r="26" spans="1:29" ht="30">
      <c r="A26" s="464" t="s">
        <v>2564</v>
      </c>
      <c r="B26" s="70" t="s">
        <v>2715</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208"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9" t="s">
        <v>2566</v>
      </c>
      <c r="Z26" s="1812" t="str">
        <f t="shared" ref="Z26:Z34" si="15">Q26</f>
        <v>公共部分装修</v>
      </c>
      <c r="AA26" s="1809">
        <f t="shared" si="3"/>
        <v>1</v>
      </c>
      <c r="AB26" s="1809">
        <f t="shared" si="4"/>
        <v>1</v>
      </c>
      <c r="AC26" s="1809">
        <f t="shared" si="5"/>
        <v>1</v>
      </c>
    </row>
    <row r="27" spans="1:29" s="469" customFormat="1" ht="15">
      <c r="A27" s="466"/>
      <c r="B27" s="420" t="s">
        <v>2716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9"/>
      <c r="Q27" s="774" t="str">
        <f t="shared" si="11"/>
        <v>成新率</v>
      </c>
      <c r="R27" s="775" t="s">
        <v>17</v>
      </c>
      <c r="S27" s="776" t="e">
        <f t="shared" si="12"/>
        <v>#N/A</v>
      </c>
      <c r="T27" s="775" t="s">
        <v>17</v>
      </c>
      <c r="U27" s="776" t="e">
        <f t="shared" si="13"/>
        <v>#N/A</v>
      </c>
      <c r="V27" s="775" t="s">
        <v>17</v>
      </c>
      <c r="W27" s="776" t="e">
        <f t="shared" si="14"/>
        <v>#N/A</v>
      </c>
      <c r="X27" s="777"/>
      <c r="Y27" s="3209"/>
      <c r="Z27" s="778" t="str">
        <f t="shared" si="15"/>
        <v>成新率</v>
      </c>
      <c r="AA27" s="1809" t="e">
        <f t="shared" si="3"/>
        <v>#N/A</v>
      </c>
      <c r="AB27" s="1809" t="e">
        <f t="shared" si="4"/>
        <v>#N/A</v>
      </c>
      <c r="AC27" s="1809" t="e">
        <f t="shared" si="5"/>
        <v>#N/A</v>
      </c>
    </row>
    <row r="28" spans="1:29" ht="15">
      <c r="A28" s="470"/>
      <c r="B28" s="420" t="s">
        <v>2717</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9"/>
      <c r="Q28" s="1808" t="str">
        <f t="shared" si="11"/>
        <v>物业等级</v>
      </c>
      <c r="R28" s="772" t="s">
        <v>17</v>
      </c>
      <c r="S28" s="773">
        <f t="shared" si="12"/>
        <v>100</v>
      </c>
      <c r="T28" s="772" t="s">
        <v>17</v>
      </c>
      <c r="U28" s="773">
        <f t="shared" si="13"/>
        <v>100</v>
      </c>
      <c r="V28" s="772" t="s">
        <v>17</v>
      </c>
      <c r="W28" s="773">
        <f t="shared" si="14"/>
        <v>100</v>
      </c>
      <c r="X28" s="1811"/>
      <c r="Y28" s="3209"/>
      <c r="Z28" s="1812" t="str">
        <f t="shared" si="15"/>
        <v>物业等级</v>
      </c>
      <c r="AA28" s="1809">
        <f t="shared" si="3"/>
        <v>1</v>
      </c>
      <c r="AB28" s="1809">
        <f t="shared" si="4"/>
        <v>1</v>
      </c>
      <c r="AC28" s="1809">
        <f t="shared" si="5"/>
        <v>1</v>
      </c>
    </row>
    <row r="29" spans="1:29" ht="15">
      <c r="A29" s="470"/>
      <c r="B29" s="420" t="s">
        <v>2738</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9"/>
      <c r="Q29" s="1808" t="str">
        <f t="shared" si="11"/>
        <v>有无电梯</v>
      </c>
      <c r="R29" s="772" t="s">
        <v>17</v>
      </c>
      <c r="S29" s="773">
        <f t="shared" si="12"/>
        <v>100</v>
      </c>
      <c r="T29" s="772" t="s">
        <v>17</v>
      </c>
      <c r="U29" s="773">
        <f t="shared" si="13"/>
        <v>100</v>
      </c>
      <c r="V29" s="772" t="s">
        <v>17</v>
      </c>
      <c r="W29" s="773">
        <f t="shared" si="14"/>
        <v>100</v>
      </c>
      <c r="X29" s="1811"/>
      <c r="Y29" s="3209"/>
      <c r="Z29" s="1812" t="str">
        <f t="shared" si="15"/>
        <v>有无电梯</v>
      </c>
      <c r="AA29" s="1809">
        <f t="shared" si="3"/>
        <v>1</v>
      </c>
      <c r="AB29" s="1809">
        <f t="shared" si="4"/>
        <v>1</v>
      </c>
      <c r="AC29" s="1809">
        <f t="shared" si="5"/>
        <v>1</v>
      </c>
    </row>
    <row r="30" spans="1:29" ht="15">
      <c r="A30" s="470"/>
      <c r="B30" s="420" t="s">
        <v>2739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9"/>
      <c r="Q30" s="1808" t="str">
        <f t="shared" si="11"/>
        <v>建筑面积</v>
      </c>
      <c r="R30" s="772" t="s">
        <v>17</v>
      </c>
      <c r="S30" s="773" t="e">
        <f t="shared" si="12"/>
        <v>#N/A</v>
      </c>
      <c r="T30" s="772" t="s">
        <v>17</v>
      </c>
      <c r="U30" s="773" t="e">
        <f t="shared" si="13"/>
        <v>#N/A</v>
      </c>
      <c r="V30" s="772" t="s">
        <v>17</v>
      </c>
      <c r="W30" s="773" t="e">
        <f t="shared" si="14"/>
        <v>#N/A</v>
      </c>
      <c r="X30" s="1811"/>
      <c r="Y30" s="3209"/>
      <c r="Z30" s="1812" t="str">
        <f t="shared" si="15"/>
        <v>建筑面积</v>
      </c>
      <c r="AA30" s="1809" t="e">
        <f t="shared" si="3"/>
        <v>#N/A</v>
      </c>
      <c r="AB30" s="1809" t="e">
        <f t="shared" si="4"/>
        <v>#N/A</v>
      </c>
      <c r="AC30" s="1809" t="e">
        <f t="shared" si="5"/>
        <v>#N/A</v>
      </c>
    </row>
    <row r="31" spans="1:29" s="115" customFormat="1" ht="15">
      <c r="A31" s="471"/>
      <c r="B31" s="420" t="s">
        <v>2740</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9"/>
      <c r="Q31" s="1793" t="str">
        <f t="shared" si="11"/>
        <v>是否封闭</v>
      </c>
      <c r="R31" s="768" t="s">
        <v>17</v>
      </c>
      <c r="S31" s="769">
        <f t="shared" si="12"/>
        <v>100</v>
      </c>
      <c r="T31" s="768" t="s">
        <v>17</v>
      </c>
      <c r="U31" s="769">
        <f t="shared" si="13"/>
        <v>100</v>
      </c>
      <c r="V31" s="768" t="s">
        <v>17</v>
      </c>
      <c r="W31" s="769">
        <f t="shared" si="14"/>
        <v>100</v>
      </c>
      <c r="X31" s="770"/>
      <c r="Y31" s="3209"/>
      <c r="Z31" s="54"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9" t="s">
        <v>2566</v>
      </c>
      <c r="Q32" s="1808">
        <f t="shared" si="11"/>
        <v>111</v>
      </c>
      <c r="R32" s="772" t="s">
        <v>17</v>
      </c>
      <c r="S32" s="773">
        <f t="shared" si="12"/>
        <v>100</v>
      </c>
      <c r="T32" s="772" t="s">
        <v>17</v>
      </c>
      <c r="U32" s="773">
        <f t="shared" si="13"/>
        <v>100</v>
      </c>
      <c r="V32" s="772" t="s">
        <v>17</v>
      </c>
      <c r="W32" s="773">
        <f t="shared" si="14"/>
        <v>100</v>
      </c>
      <c r="X32" s="1811"/>
      <c r="Y32" s="3209" t="s">
        <v>2566</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9"/>
      <c r="Q33" s="1808">
        <f t="shared" si="11"/>
        <v>111</v>
      </c>
      <c r="R33" s="772" t="s">
        <v>17</v>
      </c>
      <c r="S33" s="773">
        <f t="shared" si="12"/>
        <v>100</v>
      </c>
      <c r="T33" s="772" t="s">
        <v>17</v>
      </c>
      <c r="U33" s="773">
        <f t="shared" si="13"/>
        <v>100</v>
      </c>
      <c r="V33" s="772" t="s">
        <v>17</v>
      </c>
      <c r="W33" s="773">
        <f t="shared" si="14"/>
        <v>100</v>
      </c>
      <c r="X33" s="1811"/>
      <c r="Y33" s="3209"/>
      <c r="Z33" s="1812">
        <f t="shared" si="15"/>
        <v>111</v>
      </c>
      <c r="AA33" s="1809">
        <f t="shared" si="3"/>
        <v>1</v>
      </c>
      <c r="AB33" s="1809">
        <f t="shared" si="4"/>
        <v>1</v>
      </c>
      <c r="AC33" s="1809">
        <f t="shared" si="5"/>
        <v>1</v>
      </c>
    </row>
    <row r="34" spans="1:29" ht="15.6"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ht="14.4">
      <c r="A35" s="477" t="s">
        <v>2578</v>
      </c>
      <c r="B35" s="478"/>
      <c r="C35" s="1406" t="s">
        <v>1</v>
      </c>
      <c r="D35" s="1407"/>
      <c r="E35" s="1408"/>
      <c r="F35" s="1409"/>
      <c r="G35" s="1410"/>
      <c r="H35" s="1411"/>
      <c r="I35" s="1408"/>
      <c r="J35" s="1411"/>
      <c r="K35" s="781"/>
      <c r="L35" s="1143"/>
      <c r="M35" s="1144"/>
      <c r="N35" s="1131"/>
      <c r="O35" s="1144"/>
      <c r="P35" s="3191" t="str">
        <f>A35</f>
        <v>成交单价（元/平方米）</v>
      </c>
      <c r="Q35" s="3191"/>
      <c r="R35" s="3242">
        <f>E35</f>
        <v>0</v>
      </c>
      <c r="S35" s="3242"/>
      <c r="T35" s="3242">
        <f>G35</f>
        <v>0</v>
      </c>
      <c r="U35" s="3242"/>
      <c r="V35" s="3242">
        <f>I35</f>
        <v>0</v>
      </c>
      <c r="W35" s="3242"/>
      <c r="X35" s="757"/>
      <c r="Y35" s="779"/>
      <c r="Z35" s="757"/>
      <c r="AA35" s="757"/>
      <c r="AB35" s="757"/>
      <c r="AC35" s="757"/>
    </row>
    <row r="36" spans="1:29" ht="15" thickBot="1">
      <c r="A36" s="484" t="s">
        <v>2670</v>
      </c>
      <c r="B36" s="485"/>
      <c r="C36" s="1412" t="e">
        <f>R37</f>
        <v>#DIV/0!</v>
      </c>
      <c r="D36" s="1413"/>
      <c r="E36" s="1414" t="e">
        <f>R36</f>
        <v>#DIV/0!</v>
      </c>
      <c r="F36" s="1414"/>
      <c r="G36" s="1412" t="e">
        <f>T36</f>
        <v>#DIV/0!</v>
      </c>
      <c r="H36" s="1413"/>
      <c r="I36" s="1414" t="e">
        <f>V36</f>
        <v>#DIV/0!</v>
      </c>
      <c r="J36" s="1413"/>
      <c r="K36" s="782"/>
      <c r="L36" s="1143"/>
      <c r="M36" s="1144"/>
      <c r="N36" s="1131"/>
      <c r="O36" s="1144"/>
      <c r="P36" s="3191" t="str">
        <f>A36</f>
        <v>比较价值（元/平方米）</v>
      </c>
      <c r="Q36" s="319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7"/>
      <c r="Y36" s="757"/>
      <c r="Z36" s="757"/>
      <c r="AA36" s="757"/>
      <c r="AB36" s="757"/>
      <c r="AC36" s="757"/>
    </row>
    <row r="37" spans="1:29" ht="15" thickBot="1">
      <c r="A37" s="490" t="s">
        <v>2671</v>
      </c>
      <c r="B37" s="491"/>
      <c r="C37" s="1416" t="e">
        <f>R37</f>
        <v>#DIV/0!</v>
      </c>
      <c r="D37" s="1416"/>
      <c r="E37" s="1416"/>
      <c r="F37" s="1416"/>
      <c r="G37" s="1416"/>
      <c r="H37" s="1416"/>
      <c r="I37" s="1416"/>
      <c r="J37" s="1416"/>
      <c r="K37" s="783"/>
      <c r="L37" s="1143"/>
      <c r="M37" s="1144"/>
      <c r="N37" s="1144"/>
      <c r="O37" s="1144"/>
      <c r="P37" s="3212" t="str">
        <f>A37</f>
        <v>估价对象XX用房的比较价值（楼面单价，元/平方米）</v>
      </c>
      <c r="Q37" s="3213"/>
      <c r="R37" s="3277" t="e">
        <f>IF(F1="售价",ROUND(AVERAGE(R36:V36),0),ROUND(AVERAGE(R36:V36),1))</f>
        <v>#DIV/0!</v>
      </c>
      <c r="S37" s="3277"/>
      <c r="T37" s="3277"/>
      <c r="U37" s="3277"/>
      <c r="V37" s="3277"/>
      <c r="W37" s="327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1" t="s">
        <v>2675</v>
      </c>
      <c r="B45" s="757"/>
      <c r="C45" s="762"/>
      <c r="D45" s="762"/>
      <c r="E45" s="762"/>
      <c r="F45" s="763"/>
      <c r="G45" s="763"/>
      <c r="H45" s="762"/>
      <c r="I45" s="762"/>
      <c r="J45" s="762"/>
      <c r="K45" s="764"/>
      <c r="L45" s="765"/>
      <c r="M45" s="762"/>
      <c r="N45" s="762"/>
      <c r="O45" s="762"/>
      <c r="P45" s="501"/>
      <c r="Q45" s="502"/>
    </row>
    <row r="46" spans="1:29" s="506" customFormat="1" ht="14.4">
      <c r="A46" s="503" t="s">
        <v>2549</v>
      </c>
      <c r="B46" s="504"/>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5"/>
    </row>
    <row r="47" spans="1:29" s="115" customFormat="1">
      <c r="A47" s="507"/>
      <c r="B47" s="508"/>
      <c r="C47" s="1571">
        <v>100</v>
      </c>
      <c r="D47" s="510"/>
      <c r="E47" s="510"/>
      <c r="F47" s="510"/>
      <c r="G47" s="510"/>
      <c r="H47" s="510"/>
      <c r="I47" s="510"/>
      <c r="J47" s="510"/>
      <c r="K47" s="510"/>
      <c r="L47" s="510"/>
      <c r="M47" s="511"/>
      <c r="N47" s="510"/>
      <c r="O47" s="512"/>
      <c r="P47" s="502"/>
    </row>
    <row r="48" spans="1:29" s="115" customFormat="1" ht="15" thickBot="1">
      <c r="A48" s="513" t="s">
        <v>2586</v>
      </c>
      <c r="B48" s="514"/>
      <c r="C48" s="515"/>
      <c r="D48" s="516"/>
      <c r="E48" s="516"/>
      <c r="F48" s="516"/>
      <c r="G48" s="516"/>
      <c r="H48" s="516"/>
      <c r="I48" s="516"/>
      <c r="J48" s="516"/>
      <c r="K48" s="516"/>
      <c r="L48" s="516"/>
      <c r="M48" s="517"/>
      <c r="N48" s="516"/>
      <c r="O48" s="518"/>
      <c r="P48" s="502"/>
      <c r="Q48" s="502"/>
    </row>
    <row r="49" spans="1:17" s="115" customFormat="1" ht="14.4">
      <c r="A49" s="519" t="s">
        <v>2551</v>
      </c>
      <c r="B49" s="508"/>
      <c r="C49" s="520" t="s">
        <v>2653</v>
      </c>
      <c r="D49" s="521"/>
      <c r="E49" s="521"/>
      <c r="F49" s="521"/>
      <c r="G49" s="521"/>
      <c r="H49" s="521"/>
      <c r="I49" s="521"/>
      <c r="J49" s="521"/>
      <c r="K49" s="521"/>
      <c r="L49" s="522"/>
      <c r="M49" s="523"/>
      <c r="N49" s="1151"/>
      <c r="O49" s="1151"/>
      <c r="P49" s="524"/>
      <c r="Q49" s="502"/>
    </row>
    <row r="50" spans="1:17" s="115" customFormat="1" ht="14.4" thickBot="1">
      <c r="A50" s="519"/>
      <c r="B50" s="508"/>
      <c r="C50" s="637">
        <v>100</v>
      </c>
      <c r="D50" s="510"/>
      <c r="E50" s="510"/>
      <c r="F50" s="510"/>
      <c r="G50" s="510"/>
      <c r="H50" s="510"/>
      <c r="I50" s="510"/>
      <c r="J50" s="510"/>
      <c r="K50" s="510"/>
      <c r="L50" s="510"/>
      <c r="M50" s="512"/>
      <c r="N50" s="1151"/>
      <c r="O50" s="1151"/>
      <c r="P50" s="502"/>
      <c r="Q50" s="502"/>
    </row>
    <row r="51" spans="1:17" ht="14.4">
      <c r="A51" s="525" t="s">
        <v>2589</v>
      </c>
      <c r="B51" s="526" t="s">
        <v>2555</v>
      </c>
      <c r="C51" s="527">
        <f>C9</f>
        <v>0</v>
      </c>
      <c r="D51" s="528"/>
      <c r="E51" s="528"/>
      <c r="F51" s="528"/>
      <c r="G51" s="528"/>
      <c r="H51" s="528"/>
      <c r="I51" s="528"/>
      <c r="J51" s="528"/>
      <c r="K51" s="529"/>
      <c r="L51" s="530"/>
      <c r="M51" s="531"/>
      <c r="N51" s="1152"/>
      <c r="O51" s="1152"/>
      <c r="P51" s="44"/>
      <c r="Q51" s="502"/>
    </row>
    <row r="52" spans="1:17" ht="14.4" thickBot="1">
      <c r="A52" s="532"/>
      <c r="B52" s="533"/>
      <c r="C52" s="534">
        <v>100</v>
      </c>
      <c r="D52" s="534"/>
      <c r="E52" s="534"/>
      <c r="F52" s="534"/>
      <c r="G52" s="534"/>
      <c r="H52" s="534"/>
      <c r="I52" s="534"/>
      <c r="J52" s="534"/>
      <c r="K52" s="534"/>
      <c r="L52" s="534"/>
      <c r="M52" s="535"/>
      <c r="N52" s="1153"/>
      <c r="O52" s="1153"/>
      <c r="P52" s="44"/>
      <c r="Q52" s="502"/>
    </row>
    <row r="53" spans="1:17" ht="29.4" thickTop="1">
      <c r="A53" s="532"/>
      <c r="B53" s="536" t="s">
        <v>2558</v>
      </c>
      <c r="C53" s="537" t="s">
        <v>2590</v>
      </c>
      <c r="D53" s="537" t="s">
        <v>2591</v>
      </c>
      <c r="E53" s="537" t="s">
        <v>2592</v>
      </c>
      <c r="F53" s="537" t="s">
        <v>2593</v>
      </c>
      <c r="G53" s="537" t="s">
        <v>2594</v>
      </c>
      <c r="H53" s="537" t="s">
        <v>2595</v>
      </c>
      <c r="I53" s="537" t="s">
        <v>2596</v>
      </c>
      <c r="J53" s="537"/>
      <c r="K53" s="538"/>
      <c r="L53" s="539"/>
      <c r="M53" s="540"/>
      <c r="N53" s="1152"/>
      <c r="O53" s="1152"/>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4.4" thickTop="1">
      <c r="A55" s="532"/>
      <c r="B55" s="658">
        <f>B11</f>
        <v>111</v>
      </c>
      <c r="C55" s="547"/>
      <c r="D55" s="547"/>
      <c r="E55" s="547"/>
      <c r="F55" s="547"/>
      <c r="G55" s="547"/>
      <c r="H55" s="547"/>
      <c r="I55" s="547"/>
      <c r="J55" s="547"/>
      <c r="K55" s="548"/>
      <c r="L55" s="549"/>
      <c r="M55" s="550"/>
      <c r="N55" s="1152"/>
      <c r="O55" s="1152"/>
      <c r="P55" s="44"/>
      <c r="Q55" s="502"/>
    </row>
    <row r="56" spans="1:17" ht="14.4" thickBot="1">
      <c r="A56" s="532"/>
      <c r="B56" s="533"/>
      <c r="C56" s="558"/>
      <c r="D56" s="534"/>
      <c r="E56" s="534"/>
      <c r="F56" s="534"/>
      <c r="G56" s="534"/>
      <c r="H56" s="534"/>
      <c r="I56" s="534"/>
      <c r="J56" s="534"/>
      <c r="K56" s="534"/>
      <c r="L56" s="534"/>
      <c r="M56" s="535"/>
      <c r="N56" s="1153"/>
      <c r="O56" s="1153"/>
      <c r="P56" s="44"/>
      <c r="Q56" s="502"/>
    </row>
    <row r="57" spans="1:17" s="469" customFormat="1" ht="14.4" thickTop="1">
      <c r="A57" s="551"/>
      <c r="B57" s="536">
        <f>B12</f>
        <v>111</v>
      </c>
      <c r="C57" s="547"/>
      <c r="D57" s="547"/>
      <c r="E57" s="547"/>
      <c r="F57" s="547"/>
      <c r="G57" s="552"/>
      <c r="H57" s="553"/>
      <c r="I57" s="553"/>
      <c r="J57" s="553"/>
      <c r="K57" s="553"/>
      <c r="L57" s="554"/>
      <c r="M57" s="555"/>
      <c r="N57" s="1154"/>
      <c r="O57" s="1154"/>
      <c r="P57" s="556"/>
      <c r="Q57" s="557"/>
    </row>
    <row r="58" spans="1:17" s="469" customFormat="1" ht="14.4" thickBot="1">
      <c r="A58" s="551"/>
      <c r="B58" s="541"/>
      <c r="C58" s="558"/>
      <c r="D58" s="534"/>
      <c r="E58" s="534"/>
      <c r="F58" s="534"/>
      <c r="G58" s="534"/>
      <c r="H58" s="534"/>
      <c r="I58" s="534"/>
      <c r="J58" s="534"/>
      <c r="K58" s="534"/>
      <c r="L58" s="534"/>
      <c r="M58" s="535"/>
      <c r="N58" s="1153"/>
      <c r="O58" s="1153"/>
      <c r="P58" s="556"/>
      <c r="Q58" s="557"/>
    </row>
    <row r="59" spans="1:17" s="469" customFormat="1" ht="14.4" thickTop="1">
      <c r="A59" s="551"/>
      <c r="B59" s="536">
        <f>B13</f>
        <v>111</v>
      </c>
      <c r="C59" s="547"/>
      <c r="D59" s="547"/>
      <c r="E59" s="547"/>
      <c r="F59" s="547"/>
      <c r="G59" s="552"/>
      <c r="H59" s="553"/>
      <c r="I59" s="553"/>
      <c r="J59" s="553"/>
      <c r="K59" s="553"/>
      <c r="L59" s="554"/>
      <c r="M59" s="555"/>
      <c r="N59" s="1154"/>
      <c r="O59" s="1154"/>
      <c r="P59" s="468"/>
      <c r="Q59" s="559"/>
    </row>
    <row r="60" spans="1:17" s="469" customFormat="1" ht="14.4" thickBot="1">
      <c r="A60" s="551"/>
      <c r="B60" s="541"/>
      <c r="C60" s="558"/>
      <c r="D60" s="558"/>
      <c r="E60" s="558"/>
      <c r="F60" s="558"/>
      <c r="G60" s="558"/>
      <c r="H60" s="560"/>
      <c r="I60" s="560"/>
      <c r="J60" s="560"/>
      <c r="K60" s="560"/>
      <c r="L60" s="560"/>
      <c r="M60" s="561"/>
      <c r="N60" s="1154"/>
      <c r="O60" s="1154"/>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2"/>
      <c r="O61" s="1152"/>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9.4" thickTop="1">
      <c r="A63" s="532"/>
      <c r="B63" s="536" t="s">
        <v>2741</v>
      </c>
      <c r="C63" s="576" t="s">
        <v>2598</v>
      </c>
      <c r="D63" s="576" t="s">
        <v>2599</v>
      </c>
      <c r="E63" s="576" t="s">
        <v>2600</v>
      </c>
      <c r="F63" s="576" t="s">
        <v>2601</v>
      </c>
      <c r="G63" s="576" t="s">
        <v>2602</v>
      </c>
      <c r="H63" s="537"/>
      <c r="I63" s="537"/>
      <c r="J63" s="537"/>
      <c r="K63" s="538"/>
      <c r="L63" s="539"/>
      <c r="M63" s="540"/>
      <c r="N63" s="1152"/>
      <c r="O63" s="1152"/>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 thickTop="1">
      <c r="A65" s="532"/>
      <c r="B65" s="544" t="s">
        <v>2690</v>
      </c>
      <c r="C65" s="658" t="s">
        <v>2676</v>
      </c>
      <c r="D65" s="658" t="s">
        <v>2677</v>
      </c>
      <c r="E65" s="658" t="s">
        <v>2678</v>
      </c>
      <c r="F65" s="658" t="s">
        <v>2679</v>
      </c>
      <c r="G65" s="658" t="s">
        <v>2680</v>
      </c>
      <c r="H65" s="537"/>
      <c r="I65" s="537"/>
      <c r="J65" s="537"/>
      <c r="K65" s="537"/>
      <c r="L65" s="537"/>
      <c r="M65" s="1381"/>
      <c r="N65" s="1153"/>
      <c r="O65" s="1153"/>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 thickTop="1">
      <c r="A67" s="532"/>
      <c r="B67" s="536" t="s">
        <v>2610</v>
      </c>
      <c r="C67" s="576" t="s">
        <v>2598</v>
      </c>
      <c r="D67" s="576" t="s">
        <v>2599</v>
      </c>
      <c r="E67" s="576" t="s">
        <v>2600</v>
      </c>
      <c r="F67" s="576" t="s">
        <v>2601</v>
      </c>
      <c r="G67" s="576" t="s">
        <v>2602</v>
      </c>
      <c r="H67" s="537"/>
      <c r="I67" s="537"/>
      <c r="J67" s="537"/>
      <c r="K67" s="538"/>
      <c r="L67" s="539"/>
      <c r="M67" s="540"/>
      <c r="N67" s="1152"/>
      <c r="O67" s="1152"/>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 thickTop="1">
      <c r="A69" s="532"/>
      <c r="B69" s="536" t="s">
        <v>2730</v>
      </c>
      <c r="C69" s="552"/>
      <c r="D69" s="552"/>
      <c r="E69" s="552"/>
      <c r="F69" s="552"/>
      <c r="G69" s="552"/>
      <c r="H69" s="581"/>
      <c r="I69" s="581"/>
      <c r="J69" s="581"/>
      <c r="K69" s="582"/>
      <c r="L69" s="583"/>
      <c r="M69" s="584"/>
      <c r="N69" s="1152"/>
      <c r="O69" s="1152"/>
      <c r="P69" s="44"/>
      <c r="Q69" s="502"/>
    </row>
    <row r="70" spans="1:17" ht="14.4"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4.4" thickTop="1">
      <c r="A71" s="577"/>
      <c r="B71" s="536">
        <f>B23</f>
        <v>111</v>
      </c>
      <c r="C71" s="547"/>
      <c r="D71" s="547"/>
      <c r="E71" s="547"/>
      <c r="F71" s="547"/>
      <c r="G71" s="552"/>
      <c r="H71" s="552"/>
      <c r="I71" s="552"/>
      <c r="J71" s="552"/>
      <c r="K71" s="552"/>
      <c r="L71" s="578"/>
      <c r="M71" s="579"/>
      <c r="N71" s="1151"/>
      <c r="O71" s="1151"/>
      <c r="P71" s="44"/>
      <c r="Q71" s="502"/>
    </row>
    <row r="72" spans="1:17" s="115" customFormat="1" ht="14.4" thickBot="1">
      <c r="A72" s="577"/>
      <c r="B72" s="541"/>
      <c r="C72" s="558"/>
      <c r="D72" s="534"/>
      <c r="E72" s="534"/>
      <c r="F72" s="534"/>
      <c r="G72" s="534"/>
      <c r="H72" s="534"/>
      <c r="I72" s="534"/>
      <c r="J72" s="534"/>
      <c r="K72" s="534"/>
      <c r="L72" s="534"/>
      <c r="M72" s="535"/>
      <c r="N72" s="1153"/>
      <c r="O72" s="1153"/>
      <c r="P72" s="44"/>
      <c r="Q72" s="502"/>
    </row>
    <row r="73" spans="1:17" s="115" customFormat="1" ht="14.4" thickTop="1">
      <c r="A73" s="577"/>
      <c r="B73" s="536">
        <f>B24</f>
        <v>111</v>
      </c>
      <c r="C73" s="547"/>
      <c r="D73" s="547"/>
      <c r="E73" s="547"/>
      <c r="F73" s="547"/>
      <c r="G73" s="552"/>
      <c r="H73" s="552"/>
      <c r="I73" s="552"/>
      <c r="J73" s="552"/>
      <c r="K73" s="552"/>
      <c r="L73" s="552"/>
      <c r="M73" s="579"/>
      <c r="N73" s="1151"/>
      <c r="O73" s="1151"/>
      <c r="P73" s="44"/>
      <c r="Q73" s="502"/>
    </row>
    <row r="74" spans="1:17" s="115" customFormat="1" ht="14.4" thickBot="1">
      <c r="A74" s="577"/>
      <c r="B74" s="541"/>
      <c r="C74" s="558"/>
      <c r="D74" s="534"/>
      <c r="E74" s="534"/>
      <c r="F74" s="534"/>
      <c r="G74" s="534"/>
      <c r="H74" s="534"/>
      <c r="I74" s="534"/>
      <c r="J74" s="534"/>
      <c r="K74" s="534"/>
      <c r="L74" s="534"/>
      <c r="M74" s="535"/>
      <c r="N74" s="1153"/>
      <c r="O74" s="1153"/>
      <c r="P74" s="44"/>
      <c r="Q74" s="502"/>
    </row>
    <row r="75" spans="1:17" s="469" customFormat="1" ht="14.4" thickTop="1">
      <c r="A75" s="551"/>
      <c r="B75" s="536">
        <f>B25</f>
        <v>111</v>
      </c>
      <c r="C75" s="547"/>
      <c r="D75" s="547"/>
      <c r="E75" s="547"/>
      <c r="F75" s="547"/>
      <c r="G75" s="552"/>
      <c r="H75" s="553"/>
      <c r="I75" s="553"/>
      <c r="J75" s="553"/>
      <c r="K75" s="553"/>
      <c r="L75" s="554"/>
      <c r="M75" s="555"/>
      <c r="N75" s="1154"/>
      <c r="O75" s="1154"/>
      <c r="P75" s="556"/>
      <c r="Q75" s="557"/>
    </row>
    <row r="76" spans="1:17" s="469" customFormat="1" ht="14.4" thickBot="1">
      <c r="A76" s="551"/>
      <c r="B76" s="541"/>
      <c r="C76" s="558"/>
      <c r="D76" s="558"/>
      <c r="E76" s="558"/>
      <c r="F76" s="558"/>
      <c r="G76" s="534"/>
      <c r="H76" s="534"/>
      <c r="I76" s="534"/>
      <c r="J76" s="534"/>
      <c r="K76" s="534"/>
      <c r="L76" s="534"/>
      <c r="M76" s="535"/>
      <c r="N76" s="1154"/>
      <c r="O76" s="1154"/>
      <c r="P76" s="556"/>
      <c r="Q76" s="557"/>
    </row>
    <row r="77" spans="1:17" ht="15" thickTop="1">
      <c r="A77" s="525" t="s">
        <v>2564</v>
      </c>
      <c r="B77" s="526" t="s">
        <v>2617</v>
      </c>
      <c r="C77" s="552"/>
      <c r="D77" s="552"/>
      <c r="E77" s="528"/>
      <c r="F77" s="528"/>
      <c r="G77" s="528"/>
      <c r="H77" s="528"/>
      <c r="I77" s="528"/>
      <c r="J77" s="528"/>
      <c r="K77" s="529"/>
      <c r="L77" s="530"/>
      <c r="M77" s="531"/>
      <c r="N77" s="1152"/>
      <c r="O77" s="1152"/>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2734</v>
      </c>
      <c r="C82" s="552"/>
      <c r="D82" s="552"/>
      <c r="E82" s="581"/>
      <c r="F82" s="581"/>
      <c r="G82" s="581"/>
      <c r="H82" s="581"/>
      <c r="I82" s="581"/>
      <c r="J82" s="581"/>
      <c r="K82" s="582"/>
      <c r="L82" s="583"/>
      <c r="M82" s="584"/>
      <c r="N82" s="1152"/>
      <c r="O82" s="1152"/>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2742</v>
      </c>
      <c r="C84" s="552"/>
      <c r="D84" s="552"/>
      <c r="E84" s="552"/>
      <c r="F84" s="552"/>
      <c r="G84" s="552"/>
      <c r="H84" s="552"/>
      <c r="I84" s="581"/>
      <c r="J84" s="581"/>
      <c r="K84" s="582"/>
      <c r="L84" s="583"/>
      <c r="M84" s="584"/>
      <c r="N84" s="1152"/>
      <c r="O84" s="1152"/>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4.4"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2744</v>
      </c>
      <c r="C89" s="552"/>
      <c r="D89" s="552"/>
      <c r="E89" s="552"/>
      <c r="F89" s="552"/>
      <c r="G89" s="552"/>
      <c r="H89" s="552"/>
      <c r="I89" s="552"/>
      <c r="J89" s="552"/>
      <c r="K89" s="552"/>
      <c r="L89" s="552"/>
      <c r="M89" s="579"/>
      <c r="N89" s="1154"/>
      <c r="O89" s="1154"/>
      <c r="P89" s="556"/>
      <c r="Q89" s="557"/>
    </row>
    <row r="90" spans="1:17" s="469" customFormat="1" ht="14.4" thickBot="1">
      <c r="A90" s="551"/>
      <c r="B90" s="541"/>
      <c r="C90" s="558"/>
      <c r="D90" s="534"/>
      <c r="E90" s="534"/>
      <c r="F90" s="534"/>
      <c r="G90" s="534"/>
      <c r="H90" s="534"/>
      <c r="I90" s="534"/>
      <c r="J90" s="534"/>
      <c r="K90" s="534"/>
      <c r="L90" s="534"/>
      <c r="M90" s="535"/>
      <c r="N90" s="1154"/>
      <c r="O90" s="1154"/>
      <c r="P90" s="556"/>
      <c r="Q90" s="557"/>
    </row>
    <row r="91" spans="1:17" ht="14.4" thickTop="1">
      <c r="A91" s="597"/>
      <c r="B91" s="536">
        <f>B32</f>
        <v>111</v>
      </c>
      <c r="C91" s="547"/>
      <c r="D91" s="547"/>
      <c r="E91" s="547"/>
      <c r="F91" s="547"/>
      <c r="G91" s="552"/>
      <c r="H91" s="553"/>
      <c r="I91" s="553"/>
      <c r="J91" s="553"/>
      <c r="K91" s="553"/>
      <c r="L91" s="554"/>
      <c r="M91" s="555"/>
      <c r="N91" s="1152"/>
      <c r="O91" s="1152"/>
      <c r="P91" s="44"/>
      <c r="Q91" s="502"/>
    </row>
    <row r="92" spans="1:17" ht="14.4" thickBot="1">
      <c r="A92" s="532"/>
      <c r="B92" s="541"/>
      <c r="C92" s="558"/>
      <c r="D92" s="534"/>
      <c r="E92" s="534"/>
      <c r="F92" s="534"/>
      <c r="G92" s="558"/>
      <c r="H92" s="560"/>
      <c r="I92" s="560"/>
      <c r="J92" s="560"/>
      <c r="K92" s="560"/>
      <c r="L92" s="560"/>
      <c r="M92" s="561"/>
      <c r="N92" s="1153"/>
      <c r="O92" s="1153"/>
      <c r="P92" s="44"/>
      <c r="Q92" s="502"/>
    </row>
    <row r="93" spans="1:17" ht="14.4" thickTop="1">
      <c r="A93" s="597"/>
      <c r="B93" s="536">
        <f>B33</f>
        <v>111</v>
      </c>
      <c r="C93" s="547"/>
      <c r="D93" s="547"/>
      <c r="E93" s="547"/>
      <c r="F93" s="547"/>
      <c r="G93" s="552"/>
      <c r="H93" s="553"/>
      <c r="I93" s="553"/>
      <c r="J93" s="553"/>
      <c r="K93" s="553"/>
      <c r="L93" s="554"/>
      <c r="M93" s="555"/>
      <c r="N93" s="1152"/>
      <c r="O93" s="1152"/>
      <c r="P93" s="44"/>
      <c r="Q93" s="502"/>
    </row>
    <row r="94" spans="1:17" ht="14.4" thickBot="1">
      <c r="A94" s="532"/>
      <c r="B94" s="541"/>
      <c r="C94" s="558"/>
      <c r="D94" s="534"/>
      <c r="E94" s="534"/>
      <c r="F94" s="534"/>
      <c r="G94" s="558"/>
      <c r="H94" s="560"/>
      <c r="I94" s="560"/>
      <c r="J94" s="560"/>
      <c r="K94" s="560"/>
      <c r="L94" s="560"/>
      <c r="M94" s="561"/>
      <c r="N94" s="1153"/>
      <c r="O94" s="1153"/>
      <c r="P94" s="44"/>
      <c r="Q94" s="502"/>
    </row>
    <row r="95" spans="1:17" ht="14.4" thickTop="1">
      <c r="A95" s="597"/>
      <c r="B95" s="634">
        <f>B34</f>
        <v>111</v>
      </c>
      <c r="C95" s="547"/>
      <c r="D95" s="547"/>
      <c r="E95" s="547"/>
      <c r="F95" s="547"/>
      <c r="G95" s="552"/>
      <c r="H95" s="553"/>
      <c r="I95" s="553"/>
      <c r="J95" s="553"/>
      <c r="K95" s="553"/>
      <c r="L95" s="554"/>
      <c r="M95" s="555"/>
      <c r="N95" s="1153"/>
      <c r="O95" s="1153"/>
      <c r="P95" s="635"/>
      <c r="Q95" s="636"/>
    </row>
    <row r="96" spans="1:17" ht="14.4" thickBot="1">
      <c r="A96" s="532"/>
      <c r="B96" s="541"/>
      <c r="C96" s="558"/>
      <c r="D96" s="558"/>
      <c r="E96" s="558"/>
      <c r="F96" s="558"/>
      <c r="G96" s="558"/>
      <c r="H96" s="560"/>
      <c r="I96" s="560"/>
      <c r="J96" s="560"/>
      <c r="K96" s="560"/>
      <c r="L96" s="560"/>
      <c r="M96" s="561"/>
      <c r="N96" s="1153"/>
      <c r="O96" s="1153"/>
      <c r="P96" s="44"/>
      <c r="Q96" s="502"/>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2745</v>
      </c>
      <c r="B1" s="393"/>
      <c r="C1" s="394"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2333</v>
      </c>
      <c r="B3" s="607" t="e">
        <f>ROUND(IF(D3="",B2*10000/'数据-汇总表'!E3,B2*10000/D3),0)</f>
        <v>#DIV/0!</v>
      </c>
      <c r="C3" s="245" t="s">
        <v>2747</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2646</v>
      </c>
      <c r="B4" s="400"/>
      <c r="C4" s="3192" t="s">
        <v>2647</v>
      </c>
      <c r="D4" s="3193"/>
      <c r="E4" s="3194" t="s">
        <v>2648</v>
      </c>
      <c r="F4" s="3195"/>
      <c r="G4" s="3192" t="s">
        <v>2649</v>
      </c>
      <c r="H4" s="3193"/>
      <c r="I4" s="3192" t="s">
        <v>2650</v>
      </c>
      <c r="J4" s="3193"/>
      <c r="K4" s="608" t="s">
        <v>2651</v>
      </c>
      <c r="L4" s="1130"/>
      <c r="M4" s="1131"/>
      <c r="N4" s="1131"/>
      <c r="O4" s="1131"/>
      <c r="P4" s="3196" t="s">
        <v>2652</v>
      </c>
      <c r="Q4" s="3197"/>
      <c r="R4" s="3179" t="s">
        <v>2648</v>
      </c>
      <c r="S4" s="3180"/>
      <c r="T4" s="3179" t="s">
        <v>2649</v>
      </c>
      <c r="U4" s="3180"/>
      <c r="V4" s="3204" t="s">
        <v>2650</v>
      </c>
      <c r="W4" s="3204"/>
      <c r="X4" s="1811"/>
      <c r="Y4" s="3179" t="s">
        <v>2652</v>
      </c>
      <c r="Z4" s="3180"/>
      <c r="AA4" s="3174" t="s">
        <v>2648</v>
      </c>
      <c r="AB4" s="3175" t="s">
        <v>2649</v>
      </c>
      <c r="AC4" s="3174" t="s">
        <v>2650</v>
      </c>
    </row>
    <row r="5" spans="1:29">
      <c r="A5" s="402"/>
      <c r="B5" s="403"/>
      <c r="C5" s="3185" t="s">
        <v>2543</v>
      </c>
      <c r="D5" s="3186"/>
      <c r="E5" s="3183" t="s">
        <v>2544</v>
      </c>
      <c r="F5" s="3184"/>
      <c r="G5" s="3185" t="s">
        <v>2545</v>
      </c>
      <c r="H5" s="3186"/>
      <c r="I5" s="3185" t="s">
        <v>2546</v>
      </c>
      <c r="J5" s="3186"/>
      <c r="K5" s="608"/>
      <c r="L5" s="1130"/>
      <c r="M5" s="1131"/>
      <c r="N5" s="1131"/>
      <c r="O5" s="1131"/>
      <c r="P5" s="3198"/>
      <c r="Q5" s="3199"/>
      <c r="R5" s="3181"/>
      <c r="S5" s="3182"/>
      <c r="T5" s="3181"/>
      <c r="U5" s="3182"/>
      <c r="V5" s="3204"/>
      <c r="W5" s="3204"/>
      <c r="X5" s="1811"/>
      <c r="Y5" s="3181"/>
      <c r="Z5" s="3182"/>
      <c r="AA5" s="3175"/>
      <c r="AB5" s="3175"/>
      <c r="AC5" s="3175"/>
    </row>
    <row r="6" spans="1:29" ht="15" thickBot="1">
      <c r="A6" s="404"/>
      <c r="B6" s="405"/>
      <c r="C6" s="3278" t="s">
        <v>2797</v>
      </c>
      <c r="D6" s="3224"/>
      <c r="E6" s="3279" t="s">
        <v>2797</v>
      </c>
      <c r="F6" s="3222"/>
      <c r="G6" s="3278" t="s">
        <v>2797</v>
      </c>
      <c r="H6" s="3224"/>
      <c r="I6" s="3278" t="s">
        <v>2797</v>
      </c>
      <c r="J6" s="3224"/>
      <c r="K6" s="608" t="s">
        <v>2548</v>
      </c>
      <c r="L6" s="1130"/>
      <c r="M6" s="1131"/>
      <c r="N6" s="1131"/>
      <c r="O6" s="1131"/>
      <c r="P6" s="3200"/>
      <c r="Q6" s="3201"/>
      <c r="R6" s="3181"/>
      <c r="S6" s="3182"/>
      <c r="T6" s="3202"/>
      <c r="U6" s="3203"/>
      <c r="V6" s="3204"/>
      <c r="W6" s="3204"/>
      <c r="X6" s="1811"/>
      <c r="Y6" s="3202"/>
      <c r="Z6" s="3203"/>
      <c r="AA6" s="3176"/>
      <c r="AB6" s="3176"/>
      <c r="AC6" s="3176"/>
    </row>
    <row r="7" spans="1:29" s="115" customFormat="1" ht="15" thickBot="1">
      <c r="A7" s="406" t="s">
        <v>2549</v>
      </c>
      <c r="B7" s="407"/>
      <c r="C7" s="408">
        <f>'数据-取费表'!B2</f>
        <v>43332</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177" t="s">
        <v>2550</v>
      </c>
      <c r="Q7" s="3205"/>
      <c r="R7" s="768" t="s">
        <v>17</v>
      </c>
      <c r="S7" s="769">
        <f t="shared" ref="S7:S15" si="0">F7</f>
        <v>0</v>
      </c>
      <c r="T7" s="768" t="s">
        <v>17</v>
      </c>
      <c r="U7" s="769">
        <f t="shared" ref="U7:U15" si="1">H7</f>
        <v>0</v>
      </c>
      <c r="V7" s="768" t="s">
        <v>17</v>
      </c>
      <c r="W7" s="769">
        <f t="shared" ref="W7:W15" si="2">J7</f>
        <v>0</v>
      </c>
      <c r="X7" s="770"/>
      <c r="Y7" s="3177" t="s">
        <v>2550</v>
      </c>
      <c r="Z7" s="3178"/>
      <c r="AA7" s="771" t="e">
        <f>D7/F7</f>
        <v>#DIV/0!</v>
      </c>
      <c r="AB7" s="771" t="e">
        <f>D7/H7</f>
        <v>#DIV/0!</v>
      </c>
      <c r="AC7" s="771" t="e">
        <f>D7/J7</f>
        <v>#DIV/0!</v>
      </c>
    </row>
    <row r="8" spans="1:29" s="115" customFormat="1" ht="15" thickBot="1">
      <c r="A8" s="406" t="s">
        <v>2551</v>
      </c>
      <c r="B8" s="407"/>
      <c r="C8" s="412" t="s">
        <v>2552</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77" t="s">
        <v>2553</v>
      </c>
      <c r="Q8" s="3178"/>
      <c r="R8" s="768" t="s">
        <v>17</v>
      </c>
      <c r="S8" s="769">
        <f t="shared" si="0"/>
        <v>0</v>
      </c>
      <c r="T8" s="768" t="s">
        <v>17</v>
      </c>
      <c r="U8" s="769">
        <f t="shared" si="1"/>
        <v>0</v>
      </c>
      <c r="V8" s="768" t="s">
        <v>17</v>
      </c>
      <c r="W8" s="769">
        <f t="shared" si="2"/>
        <v>0</v>
      </c>
      <c r="X8" s="770"/>
      <c r="Y8" s="3177" t="s">
        <v>2553</v>
      </c>
      <c r="Z8" s="3178"/>
      <c r="AA8" s="771" t="e">
        <f t="shared" ref="AA8:AA40" si="3">D8/F8</f>
        <v>#DIV/0!</v>
      </c>
      <c r="AB8" s="771" t="e">
        <f t="shared" ref="AB8:AB40" si="4">D8/H8</f>
        <v>#DIV/0!</v>
      </c>
      <c r="AC8" s="771" t="e">
        <f t="shared" ref="AC8:AC40" si="5">D8/J8</f>
        <v>#DIV/0!</v>
      </c>
    </row>
    <row r="9" spans="1:29" s="115" customFormat="1" ht="14.4">
      <c r="A9" s="413" t="s">
        <v>2554</v>
      </c>
      <c r="B9" s="70" t="s">
        <v>2555</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91" t="s">
        <v>2556</v>
      </c>
      <c r="Q9" s="1793" t="str">
        <f t="shared" ref="Q9:Q15" si="6">B9</f>
        <v>用途</v>
      </c>
      <c r="R9" s="768" t="s">
        <v>17</v>
      </c>
      <c r="S9" s="769">
        <f t="shared" si="0"/>
        <v>100</v>
      </c>
      <c r="T9" s="768" t="s">
        <v>17</v>
      </c>
      <c r="U9" s="769">
        <f t="shared" si="1"/>
        <v>100</v>
      </c>
      <c r="V9" s="768" t="s">
        <v>17</v>
      </c>
      <c r="W9" s="769">
        <f t="shared" si="2"/>
        <v>100</v>
      </c>
      <c r="X9" s="770"/>
      <c r="Y9" s="3051" t="s">
        <v>2557</v>
      </c>
      <c r="Z9" s="54" t="str">
        <f t="shared" ref="Z9:Z15" si="7">Q9</f>
        <v>用途</v>
      </c>
      <c r="AA9" s="771">
        <f t="shared" si="3"/>
        <v>1</v>
      </c>
      <c r="AB9" s="771">
        <f t="shared" si="4"/>
        <v>1</v>
      </c>
      <c r="AC9" s="771">
        <f t="shared" si="5"/>
        <v>1</v>
      </c>
    </row>
    <row r="10" spans="1:29" s="425" customFormat="1" ht="28.8">
      <c r="A10" s="419"/>
      <c r="B10" s="420" t="s">
        <v>2558</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191"/>
      <c r="Q10" s="1793" t="str">
        <f t="shared" si="6"/>
        <v>土地使用年限（年）</v>
      </c>
      <c r="R10" s="768" t="s">
        <v>17</v>
      </c>
      <c r="S10" s="769">
        <f t="shared" si="0"/>
        <v>105</v>
      </c>
      <c r="T10" s="768" t="s">
        <v>17</v>
      </c>
      <c r="U10" s="769">
        <f t="shared" si="1"/>
        <v>105</v>
      </c>
      <c r="V10" s="768" t="s">
        <v>17</v>
      </c>
      <c r="W10" s="769">
        <f t="shared" si="2"/>
        <v>105</v>
      </c>
      <c r="X10" s="770"/>
      <c r="Y10" s="3051"/>
      <c r="Z10" s="54" t="str">
        <f t="shared" si="7"/>
        <v>土地使用年限（年）</v>
      </c>
      <c r="AA10" s="771">
        <f t="shared" si="3"/>
        <v>0.95238095238095233</v>
      </c>
      <c r="AB10" s="771">
        <f t="shared" si="4"/>
        <v>0.95238095238095233</v>
      </c>
      <c r="AC10" s="771">
        <f t="shared" si="5"/>
        <v>0.95238095238095233</v>
      </c>
    </row>
    <row r="11" spans="1:29" ht="15">
      <c r="A11" s="426"/>
      <c r="B11" s="420" t="s">
        <v>2559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91"/>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91"/>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91"/>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6"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1"/>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69">
      <c r="A15" s="438" t="s">
        <v>2560</v>
      </c>
      <c r="B15" s="627" t="s">
        <v>2798</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06" t="s">
        <v>2561</v>
      </c>
      <c r="Q15" s="1808" t="str">
        <f t="shared" si="6"/>
        <v>产业集聚程度</v>
      </c>
      <c r="R15" s="772" t="s">
        <v>17</v>
      </c>
      <c r="S15" s="773">
        <f t="shared" si="0"/>
        <v>100</v>
      </c>
      <c r="T15" s="772" t="s">
        <v>17</v>
      </c>
      <c r="U15" s="773">
        <f t="shared" si="1"/>
        <v>100</v>
      </c>
      <c r="V15" s="772" t="s">
        <v>17</v>
      </c>
      <c r="W15" s="773">
        <f t="shared" si="2"/>
        <v>100</v>
      </c>
      <c r="X15" s="1811"/>
      <c r="Y15" s="3206" t="s">
        <v>2561</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207"/>
      <c r="Q16" s="1808"/>
      <c r="R16" s="772"/>
      <c r="S16" s="773"/>
      <c r="T16" s="772"/>
      <c r="U16" s="773"/>
      <c r="V16" s="772"/>
      <c r="W16" s="773"/>
      <c r="X16" s="1811"/>
      <c r="Y16" s="3207"/>
      <c r="Z16" s="1812"/>
      <c r="AA16" s="1809">
        <v>1</v>
      </c>
      <c r="AB16" s="1809">
        <v>1</v>
      </c>
      <c r="AC16" s="1809">
        <v>1</v>
      </c>
    </row>
    <row r="17" spans="1:29" ht="96.6">
      <c r="A17" s="426"/>
      <c r="B17" s="629" t="s">
        <v>2710</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07"/>
      <c r="Q17" s="1808" t="str">
        <f>B17</f>
        <v>交通便捷度</v>
      </c>
      <c r="R17" s="772" t="s">
        <v>17</v>
      </c>
      <c r="S17" s="773">
        <f>F17</f>
        <v>100</v>
      </c>
      <c r="T17" s="772" t="s">
        <v>17</v>
      </c>
      <c r="U17" s="773">
        <f>H17</f>
        <v>100</v>
      </c>
      <c r="V17" s="772" t="s">
        <v>17</v>
      </c>
      <c r="W17" s="773">
        <f>J17</f>
        <v>100</v>
      </c>
      <c r="X17" s="1811"/>
      <c r="Y17" s="3207"/>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207"/>
      <c r="Q18" s="1808"/>
      <c r="R18" s="772"/>
      <c r="S18" s="773"/>
      <c r="T18" s="772"/>
      <c r="U18" s="773"/>
      <c r="V18" s="772"/>
      <c r="W18" s="773"/>
      <c r="X18" s="1811"/>
      <c r="Y18" s="3207"/>
      <c r="Z18" s="1812"/>
      <c r="AA18" s="1809">
        <v>1</v>
      </c>
      <c r="AB18" s="1809">
        <v>1</v>
      </c>
      <c r="AC18" s="1809">
        <v>1</v>
      </c>
    </row>
    <row r="19" spans="1:29" ht="28.8">
      <c r="A19" s="426"/>
      <c r="B19" s="629" t="s">
        <v>2749</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07"/>
      <c r="Q19" s="1808" t="str">
        <f t="shared" ref="Q19:Q33" si="8">B19</f>
        <v>区域土地利用方向</v>
      </c>
      <c r="R19" s="772" t="s">
        <v>17</v>
      </c>
      <c r="S19" s="773">
        <f>F19</f>
        <v>100</v>
      </c>
      <c r="T19" s="772" t="s">
        <v>17</v>
      </c>
      <c r="U19" s="773">
        <f>H19</f>
        <v>100</v>
      </c>
      <c r="V19" s="772" t="s">
        <v>17</v>
      </c>
      <c r="W19" s="773">
        <f>J19</f>
        <v>100</v>
      </c>
      <c r="X19" s="1811"/>
      <c r="Y19" s="3207"/>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207"/>
      <c r="Q20" s="1808"/>
      <c r="R20" s="772"/>
      <c r="S20" s="773"/>
      <c r="T20" s="772"/>
      <c r="U20" s="773"/>
      <c r="V20" s="772"/>
      <c r="W20" s="773"/>
      <c r="X20" s="1811"/>
      <c r="Y20" s="3207"/>
      <c r="Z20" s="1812"/>
      <c r="AA20" s="1809"/>
      <c r="AB20" s="1809"/>
      <c r="AC20" s="1809"/>
    </row>
    <row r="21" spans="1:29" ht="82.8">
      <c r="A21" s="402"/>
      <c r="B21" s="629" t="s">
        <v>2799</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07"/>
      <c r="Q21" s="1808" t="str">
        <f t="shared" si="8"/>
        <v>环境状况</v>
      </c>
      <c r="R21" s="772" t="s">
        <v>17</v>
      </c>
      <c r="S21" s="773">
        <f>F21</f>
        <v>100</v>
      </c>
      <c r="T21" s="772" t="s">
        <v>17</v>
      </c>
      <c r="U21" s="773">
        <f>H21</f>
        <v>100</v>
      </c>
      <c r="V21" s="772" t="s">
        <v>17</v>
      </c>
      <c r="W21" s="773">
        <f>J21</f>
        <v>100</v>
      </c>
      <c r="X21" s="1811"/>
      <c r="Y21" s="3207"/>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207"/>
      <c r="Q22" s="1808"/>
      <c r="R22" s="772"/>
      <c r="S22" s="773"/>
      <c r="T22" s="772"/>
      <c r="U22" s="773"/>
      <c r="V22" s="772"/>
      <c r="W22" s="773"/>
      <c r="X22" s="1811"/>
      <c r="Y22" s="3207"/>
      <c r="Z22" s="1812"/>
      <c r="AA22" s="1809">
        <v>1</v>
      </c>
      <c r="AB22" s="1809">
        <v>1</v>
      </c>
      <c r="AC22" s="1809">
        <v>1</v>
      </c>
    </row>
    <row r="23" spans="1:29" s="115" customFormat="1" ht="41.4">
      <c r="A23" s="647"/>
      <c r="B23" s="631" t="s">
        <v>2655</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07"/>
      <c r="Q23" s="1793" t="str">
        <f t="shared" si="8"/>
        <v>公共配套设施</v>
      </c>
      <c r="R23" s="768" t="s">
        <v>17</v>
      </c>
      <c r="S23" s="769">
        <f>F23</f>
        <v>100</v>
      </c>
      <c r="T23" s="768" t="s">
        <v>17</v>
      </c>
      <c r="U23" s="769">
        <f>H23</f>
        <v>100</v>
      </c>
      <c r="V23" s="768" t="s">
        <v>17</v>
      </c>
      <c r="W23" s="769">
        <f>J23</f>
        <v>100</v>
      </c>
      <c r="X23" s="770"/>
      <c r="Y23" s="3207"/>
      <c r="Z23" s="54"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207"/>
      <c r="Q24" s="1793"/>
      <c r="R24" s="768"/>
      <c r="S24" s="769"/>
      <c r="T24" s="768"/>
      <c r="U24" s="769"/>
      <c r="V24" s="768"/>
      <c r="W24" s="769"/>
      <c r="X24" s="770"/>
      <c r="Y24" s="3207"/>
      <c r="Z24" s="54"/>
      <c r="AA24" s="771">
        <v>1</v>
      </c>
      <c r="AB24" s="771">
        <v>1</v>
      </c>
      <c r="AC24" s="771">
        <v>1</v>
      </c>
    </row>
    <row r="25" spans="1:29" s="115" customFormat="1" ht="41.4">
      <c r="A25" s="647"/>
      <c r="B25" s="631" t="s">
        <v>2656</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07"/>
      <c r="Q25" s="1793" t="str">
        <f t="shared" ref="Q25" si="9">B25</f>
        <v>基础设施水平</v>
      </c>
      <c r="R25" s="768" t="s">
        <v>17</v>
      </c>
      <c r="S25" s="769">
        <f>F25</f>
        <v>100</v>
      </c>
      <c r="T25" s="768" t="s">
        <v>17</v>
      </c>
      <c r="U25" s="769">
        <f>H25</f>
        <v>100</v>
      </c>
      <c r="V25" s="768" t="s">
        <v>17</v>
      </c>
      <c r="W25" s="769">
        <f>J25</f>
        <v>100</v>
      </c>
      <c r="X25" s="770"/>
      <c r="Y25" s="3207"/>
      <c r="Z25" s="54"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207"/>
      <c r="Q26" s="1793"/>
      <c r="R26" s="768"/>
      <c r="S26" s="769"/>
      <c r="T26" s="768"/>
      <c r="U26" s="769"/>
      <c r="V26" s="768"/>
      <c r="W26" s="769"/>
      <c r="X26" s="770"/>
      <c r="Y26" s="3207"/>
      <c r="Z26" s="54"/>
      <c r="AA26" s="771">
        <v>1</v>
      </c>
      <c r="AB26" s="771">
        <v>1</v>
      </c>
      <c r="AC26" s="771">
        <v>1</v>
      </c>
    </row>
    <row r="27" spans="1:29" ht="15">
      <c r="A27" s="426"/>
      <c r="B27" s="630" t="s">
        <v>2657</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0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7"/>
      <c r="Z27" s="1812" t="str">
        <f t="shared" ref="Z27:Z40" si="13">Q27</f>
        <v>临街状况</v>
      </c>
      <c r="AA27" s="1809">
        <f t="shared" si="3"/>
        <v>1</v>
      </c>
      <c r="AB27" s="1809">
        <f t="shared" si="4"/>
        <v>1</v>
      </c>
      <c r="AC27" s="1809">
        <f t="shared" si="5"/>
        <v>1</v>
      </c>
    </row>
    <row r="28" spans="1:29" ht="28.8">
      <c r="A28" s="426"/>
      <c r="B28" s="631" t="s">
        <v>2692</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07"/>
      <c r="Q28" s="1808" t="str">
        <f t="shared" si="8"/>
        <v>毗邻道路的类型与等级</v>
      </c>
      <c r="R28" s="772" t="s">
        <v>17</v>
      </c>
      <c r="S28" s="773">
        <f t="shared" si="10"/>
        <v>100</v>
      </c>
      <c r="T28" s="772" t="s">
        <v>17</v>
      </c>
      <c r="U28" s="773">
        <f t="shared" si="11"/>
        <v>100</v>
      </c>
      <c r="V28" s="772" t="s">
        <v>17</v>
      </c>
      <c r="W28" s="773">
        <f t="shared" si="12"/>
        <v>100</v>
      </c>
      <c r="X28" s="1811"/>
      <c r="Y28" s="3207"/>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207"/>
      <c r="Q29" s="1808"/>
      <c r="R29" s="772"/>
      <c r="S29" s="773"/>
      <c r="T29" s="772"/>
      <c r="U29" s="773"/>
      <c r="V29" s="772"/>
      <c r="W29" s="773"/>
      <c r="X29" s="1811"/>
      <c r="Y29" s="3207"/>
      <c r="Z29" s="1812"/>
      <c r="AA29" s="1809">
        <v>1</v>
      </c>
      <c r="AB29" s="1809">
        <v>1</v>
      </c>
      <c r="AC29" s="1809">
        <v>1</v>
      </c>
    </row>
    <row r="30" spans="1:29" ht="15">
      <c r="A30" s="426"/>
      <c r="B30" s="652" t="s">
        <v>2751</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07"/>
      <c r="Q30" s="1808" t="str">
        <f t="shared" si="8"/>
        <v>土地级别</v>
      </c>
      <c r="R30" s="772" t="s">
        <v>17</v>
      </c>
      <c r="S30" s="773">
        <f t="shared" si="10"/>
        <v>100</v>
      </c>
      <c r="T30" s="772" t="s">
        <v>17</v>
      </c>
      <c r="U30" s="773">
        <f t="shared" si="11"/>
        <v>100</v>
      </c>
      <c r="V30" s="772" t="s">
        <v>17</v>
      </c>
      <c r="W30" s="773">
        <f t="shared" si="12"/>
        <v>100</v>
      </c>
      <c r="X30" s="1811"/>
      <c r="Y30" s="3207"/>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07"/>
      <c r="Q31" s="1808">
        <f t="shared" si="8"/>
        <v>111</v>
      </c>
      <c r="R31" s="772" t="s">
        <v>17</v>
      </c>
      <c r="S31" s="773">
        <f t="shared" si="10"/>
        <v>100</v>
      </c>
      <c r="T31" s="772" t="s">
        <v>17</v>
      </c>
      <c r="U31" s="773">
        <f t="shared" si="11"/>
        <v>100</v>
      </c>
      <c r="V31" s="772" t="s">
        <v>17</v>
      </c>
      <c r="W31" s="773">
        <f t="shared" si="12"/>
        <v>100</v>
      </c>
      <c r="X31" s="1811"/>
      <c r="Y31" s="3207"/>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08" t="s">
        <v>2566</v>
      </c>
      <c r="Q32" s="1808">
        <f t="shared" si="8"/>
        <v>111</v>
      </c>
      <c r="R32" s="772" t="s">
        <v>17</v>
      </c>
      <c r="S32" s="773">
        <f t="shared" si="10"/>
        <v>100</v>
      </c>
      <c r="T32" s="772" t="s">
        <v>17</v>
      </c>
      <c r="U32" s="773">
        <f t="shared" si="11"/>
        <v>100</v>
      </c>
      <c r="V32" s="772" t="s">
        <v>17</v>
      </c>
      <c r="W32" s="773">
        <f t="shared" si="12"/>
        <v>100</v>
      </c>
      <c r="X32" s="1811"/>
      <c r="Y32" s="3209" t="s">
        <v>2566</v>
      </c>
      <c r="Z32" s="1812">
        <f t="shared" si="13"/>
        <v>111</v>
      </c>
      <c r="AA32" s="1809">
        <f t="shared" si="3"/>
        <v>1</v>
      </c>
      <c r="AB32" s="1809">
        <f t="shared" si="4"/>
        <v>1</v>
      </c>
      <c r="AC32" s="1809">
        <f t="shared" si="5"/>
        <v>1</v>
      </c>
    </row>
    <row r="33" spans="1:29" s="469" customFormat="1" ht="15.6"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9"/>
      <c r="Q33" s="1808">
        <f t="shared" si="8"/>
        <v>111</v>
      </c>
      <c r="R33" s="775" t="s">
        <v>17</v>
      </c>
      <c r="S33" s="776">
        <f t="shared" si="10"/>
        <v>100</v>
      </c>
      <c r="T33" s="775" t="s">
        <v>17</v>
      </c>
      <c r="U33" s="776">
        <f t="shared" si="11"/>
        <v>100</v>
      </c>
      <c r="V33" s="775" t="s">
        <v>17</v>
      </c>
      <c r="W33" s="776">
        <f t="shared" si="12"/>
        <v>100</v>
      </c>
      <c r="X33" s="777"/>
      <c r="Y33" s="3209"/>
      <c r="Z33" s="778">
        <f t="shared" si="13"/>
        <v>111</v>
      </c>
      <c r="AA33" s="1809">
        <f t="shared" si="3"/>
        <v>1</v>
      </c>
      <c r="AB33" s="1809">
        <f t="shared" si="4"/>
        <v>1</v>
      </c>
      <c r="AC33" s="1809">
        <f t="shared" si="5"/>
        <v>1</v>
      </c>
    </row>
    <row r="34" spans="1:29" ht="15">
      <c r="A34" s="438" t="s">
        <v>2564</v>
      </c>
      <c r="B34" s="454"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9"/>
      <c r="Q34" s="1808" t="str">
        <f>B34</f>
        <v>宗地面积</v>
      </c>
      <c r="R34" s="772" t="s">
        <v>17</v>
      </c>
      <c r="S34" s="773" t="e">
        <f t="shared" si="10"/>
        <v>#N/A</v>
      </c>
      <c r="T34" s="772" t="s">
        <v>17</v>
      </c>
      <c r="U34" s="773" t="e">
        <f t="shared" si="11"/>
        <v>#N/A</v>
      </c>
      <c r="V34" s="772" t="s">
        <v>17</v>
      </c>
      <c r="W34" s="773" t="e">
        <f t="shared" si="12"/>
        <v>#N/A</v>
      </c>
      <c r="X34" s="1811"/>
      <c r="Y34" s="3209"/>
      <c r="Z34" s="1812" t="str">
        <f t="shared" si="13"/>
        <v>宗地面积</v>
      </c>
      <c r="AA34" s="1809" t="e">
        <f t="shared" si="3"/>
        <v>#N/A</v>
      </c>
      <c r="AB34" s="1809" t="e">
        <f t="shared" si="4"/>
        <v>#N/A</v>
      </c>
      <c r="AC34" s="1809" t="e">
        <f t="shared" si="5"/>
        <v>#N/A</v>
      </c>
    </row>
    <row r="35" spans="1:29" ht="15">
      <c r="A35" s="470"/>
      <c r="B35" s="420" t="s">
        <v>2753</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209"/>
      <c r="Q35" s="1808" t="str">
        <f t="shared" ref="Q35:Q40" si="14">B35</f>
        <v>宗地形状</v>
      </c>
      <c r="R35" s="772" t="s">
        <v>17</v>
      </c>
      <c r="S35" s="773">
        <f t="shared" si="10"/>
        <v>100</v>
      </c>
      <c r="T35" s="772" t="s">
        <v>17</v>
      </c>
      <c r="U35" s="773">
        <f t="shared" si="11"/>
        <v>100</v>
      </c>
      <c r="V35" s="772" t="s">
        <v>17</v>
      </c>
      <c r="W35" s="773">
        <f t="shared" si="12"/>
        <v>100</v>
      </c>
      <c r="X35" s="1811"/>
      <c r="Y35" s="3209"/>
      <c r="Z35" s="1812" t="str">
        <f t="shared" si="13"/>
        <v>宗地形状</v>
      </c>
      <c r="AA35" s="1809">
        <f t="shared" si="3"/>
        <v>1</v>
      </c>
      <c r="AB35" s="1809">
        <f t="shared" si="4"/>
        <v>1</v>
      </c>
      <c r="AC35" s="1809">
        <f t="shared" si="5"/>
        <v>1</v>
      </c>
    </row>
    <row r="36" spans="1:29" s="115" customFormat="1" ht="15">
      <c r="A36" s="471"/>
      <c r="B36" s="420" t="s">
        <v>2755</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209"/>
      <c r="Q36" s="1808" t="str">
        <f t="shared" si="14"/>
        <v>宗地开发程度</v>
      </c>
      <c r="R36" s="768" t="s">
        <v>17</v>
      </c>
      <c r="S36" s="769">
        <f t="shared" si="10"/>
        <v>100</v>
      </c>
      <c r="T36" s="768" t="s">
        <v>17</v>
      </c>
      <c r="U36" s="769">
        <f t="shared" si="11"/>
        <v>100</v>
      </c>
      <c r="V36" s="768" t="s">
        <v>17</v>
      </c>
      <c r="W36" s="769">
        <f t="shared" si="12"/>
        <v>100</v>
      </c>
      <c r="X36" s="770"/>
      <c r="Y36" s="3209"/>
      <c r="Z36" s="54" t="str">
        <f t="shared" si="13"/>
        <v>宗地开发程度</v>
      </c>
      <c r="AA36" s="771">
        <f t="shared" si="3"/>
        <v>1</v>
      </c>
      <c r="AB36" s="771">
        <f t="shared" si="4"/>
        <v>1</v>
      </c>
      <c r="AC36" s="771">
        <f t="shared" si="5"/>
        <v>1</v>
      </c>
    </row>
    <row r="37" spans="1:29" ht="15">
      <c r="A37" s="470"/>
      <c r="B37" s="420" t="s">
        <v>2756</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209" t="s">
        <v>2566</v>
      </c>
      <c r="Q37" s="1808" t="str">
        <f t="shared" si="14"/>
        <v>工程地质条件</v>
      </c>
      <c r="R37" s="772" t="s">
        <v>17</v>
      </c>
      <c r="S37" s="773">
        <f t="shared" si="10"/>
        <v>100</v>
      </c>
      <c r="T37" s="772" t="s">
        <v>17</v>
      </c>
      <c r="U37" s="773">
        <f t="shared" si="11"/>
        <v>100</v>
      </c>
      <c r="V37" s="772" t="s">
        <v>17</v>
      </c>
      <c r="W37" s="773">
        <f t="shared" si="12"/>
        <v>100</v>
      </c>
      <c r="X37" s="1811"/>
      <c r="Y37" s="3209" t="s">
        <v>2566</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9"/>
      <c r="Q38" s="1808">
        <f t="shared" si="14"/>
        <v>111</v>
      </c>
      <c r="R38" s="772" t="s">
        <v>17</v>
      </c>
      <c r="S38" s="773">
        <f t="shared" si="10"/>
        <v>100</v>
      </c>
      <c r="T38" s="772" t="s">
        <v>17</v>
      </c>
      <c r="U38" s="773">
        <f t="shared" si="11"/>
        <v>100</v>
      </c>
      <c r="V38" s="772" t="s">
        <v>17</v>
      </c>
      <c r="W38" s="773">
        <f t="shared" si="12"/>
        <v>100</v>
      </c>
      <c r="X38" s="1811"/>
      <c r="Y38" s="3209"/>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9"/>
      <c r="Q39" s="1808">
        <f t="shared" si="14"/>
        <v>111</v>
      </c>
      <c r="R39" s="772" t="s">
        <v>17</v>
      </c>
      <c r="S39" s="773">
        <f t="shared" si="10"/>
        <v>100</v>
      </c>
      <c r="T39" s="772" t="s">
        <v>17</v>
      </c>
      <c r="U39" s="773">
        <f t="shared" si="11"/>
        <v>100</v>
      </c>
      <c r="V39" s="772" t="s">
        <v>17</v>
      </c>
      <c r="W39" s="773">
        <f t="shared" si="12"/>
        <v>100</v>
      </c>
      <c r="X39" s="1811"/>
      <c r="Y39" s="3209"/>
      <c r="Z39" s="1812">
        <f t="shared" si="13"/>
        <v>111</v>
      </c>
      <c r="AA39" s="1809">
        <f t="shared" si="3"/>
        <v>1</v>
      </c>
      <c r="AB39" s="1809">
        <f t="shared" si="4"/>
        <v>1</v>
      </c>
      <c r="AC39" s="1809">
        <f t="shared" si="5"/>
        <v>1</v>
      </c>
    </row>
    <row r="40" spans="1:29" s="469" customFormat="1" ht="15.6"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9"/>
      <c r="Q40" s="1808">
        <f t="shared" si="14"/>
        <v>111</v>
      </c>
      <c r="R40" s="775" t="s">
        <v>17</v>
      </c>
      <c r="S40" s="776">
        <f t="shared" si="10"/>
        <v>100</v>
      </c>
      <c r="T40" s="775" t="s">
        <v>17</v>
      </c>
      <c r="U40" s="776">
        <f t="shared" si="11"/>
        <v>100</v>
      </c>
      <c r="V40" s="775" t="s">
        <v>17</v>
      </c>
      <c r="W40" s="776">
        <f t="shared" si="12"/>
        <v>100</v>
      </c>
      <c r="X40" s="777"/>
      <c r="Y40" s="3209"/>
      <c r="Z40" s="778">
        <f t="shared" si="13"/>
        <v>111</v>
      </c>
      <c r="AA40" s="1809">
        <f t="shared" si="3"/>
        <v>1</v>
      </c>
      <c r="AB40" s="1809">
        <f t="shared" si="4"/>
        <v>1</v>
      </c>
      <c r="AC40" s="1809">
        <f t="shared" si="5"/>
        <v>1</v>
      </c>
    </row>
    <row r="41" spans="1:29" ht="14.4">
      <c r="A41" s="477" t="s">
        <v>2721</v>
      </c>
      <c r="B41" s="2702" t="s">
        <v>2800</v>
      </c>
      <c r="C41" s="680" t="s">
        <v>1</v>
      </c>
      <c r="D41" s="479"/>
      <c r="E41" s="480"/>
      <c r="F41" s="481"/>
      <c r="G41" s="482"/>
      <c r="H41" s="483"/>
      <c r="I41" s="480"/>
      <c r="J41" s="483"/>
      <c r="K41" s="781"/>
      <c r="L41" s="1143"/>
      <c r="M41" s="1131"/>
      <c r="N41" s="1131"/>
      <c r="O41" s="1144"/>
      <c r="P41" s="3191" t="str">
        <f>A41</f>
        <v>成交单价</v>
      </c>
      <c r="Q41" s="3191"/>
      <c r="R41" s="3204">
        <f>E41</f>
        <v>0</v>
      </c>
      <c r="S41" s="3204"/>
      <c r="T41" s="3204">
        <f>G41</f>
        <v>0</v>
      </c>
      <c r="U41" s="3204"/>
      <c r="V41" s="3204">
        <f>I41</f>
        <v>0</v>
      </c>
      <c r="W41" s="3204"/>
      <c r="X41" s="757"/>
      <c r="Y41" s="779"/>
      <c r="Z41" s="757"/>
      <c r="AA41" s="757"/>
      <c r="AB41" s="757"/>
      <c r="AC41" s="757"/>
    </row>
    <row r="42" spans="1:29" ht="15" thickBot="1">
      <c r="A42" s="484" t="s">
        <v>2670</v>
      </c>
      <c r="B42" s="681"/>
      <c r="C42" s="488" t="e">
        <f>R43</f>
        <v>#DIV/0!</v>
      </c>
      <c r="D42" s="487"/>
      <c r="E42" s="488" t="e">
        <f>R42</f>
        <v>#DIV/0!</v>
      </c>
      <c r="F42" s="489"/>
      <c r="G42" s="486" t="e">
        <f>T42</f>
        <v>#DIV/0!</v>
      </c>
      <c r="H42" s="487"/>
      <c r="I42" s="488" t="e">
        <f>V42</f>
        <v>#DIV/0!</v>
      </c>
      <c r="J42" s="487"/>
      <c r="K42" s="782"/>
      <c r="L42" s="1143"/>
      <c r="M42" s="1131"/>
      <c r="N42" s="1131"/>
      <c r="O42" s="1144"/>
      <c r="P42" s="3191" t="str">
        <f>A42</f>
        <v>比较价值（元/平方米）</v>
      </c>
      <c r="Q42" s="3191"/>
      <c r="R42" s="3211" t="e">
        <f>ROUND(PRODUCT(R41,AA7:AA40),0)</f>
        <v>#DIV/0!</v>
      </c>
      <c r="S42" s="3211"/>
      <c r="T42" s="3211" t="e">
        <f>ROUND(PRODUCT(T41,AB7:AB40),0)</f>
        <v>#DIV/0!</v>
      </c>
      <c r="U42" s="3211"/>
      <c r="V42" s="3211" t="e">
        <f>ROUND(PRODUCT(V41,AC7:AC40),0)</f>
        <v>#DIV/0!</v>
      </c>
      <c r="W42" s="3211"/>
      <c r="X42" s="757"/>
      <c r="Y42" s="757"/>
      <c r="Z42" s="757"/>
      <c r="AA42" s="757"/>
      <c r="AB42" s="757"/>
      <c r="AC42" s="757"/>
    </row>
    <row r="43" spans="1:29" ht="15" thickBot="1">
      <c r="A43" s="490" t="s">
        <v>2671</v>
      </c>
      <c r="B43" s="491"/>
      <c r="C43" s="492" t="e">
        <f>R43</f>
        <v>#DIV/0!</v>
      </c>
      <c r="D43" s="492"/>
      <c r="E43" s="492"/>
      <c r="F43" s="492"/>
      <c r="G43" s="492"/>
      <c r="H43" s="492"/>
      <c r="I43" s="492"/>
      <c r="J43" s="492"/>
      <c r="K43" s="783"/>
      <c r="L43" s="1143"/>
      <c r="M43" s="1131"/>
      <c r="N43" s="1131"/>
      <c r="O43" s="1144"/>
      <c r="P43" s="3212" t="str">
        <f>A43</f>
        <v>估价对象XX用房的比较价值（楼面单价，元/平方米）</v>
      </c>
      <c r="Q43" s="3213"/>
      <c r="R43" s="3214" t="e">
        <f>ROUND(AVERAGE(R42:V42),0)</f>
        <v>#DIV/0!</v>
      </c>
      <c r="S43" s="3214"/>
      <c r="T43" s="3214"/>
      <c r="U43" s="3214"/>
      <c r="V43" s="3214"/>
      <c r="W43" s="321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4.4" thickBot="1">
      <c r="A49" s="1145"/>
      <c r="B49" s="1146"/>
      <c r="C49" s="760"/>
      <c r="D49" s="758"/>
      <c r="E49" s="758"/>
      <c r="F49" s="758"/>
      <c r="G49" s="758"/>
      <c r="H49" s="758"/>
      <c r="I49" s="758"/>
      <c r="J49" s="758"/>
      <c r="K49" s="1148"/>
      <c r="L49" s="1149"/>
      <c r="M49" s="1145"/>
      <c r="N49" s="1145"/>
      <c r="O49" s="1145"/>
    </row>
    <row r="50" spans="1:17" ht="28.8">
      <c r="A50" s="682" t="s">
        <v>2759</v>
      </c>
      <c r="B50" s="683" t="s">
        <v>2760</v>
      </c>
      <c r="C50" s="2703" t="s">
        <v>2761</v>
      </c>
      <c r="D50" s="2704" t="s">
        <v>2762</v>
      </c>
      <c r="E50" s="684" t="s">
        <v>2763</v>
      </c>
      <c r="F50" s="685" t="s">
        <v>2764</v>
      </c>
      <c r="G50" s="3192" t="s">
        <v>2765</v>
      </c>
      <c r="H50" s="3215"/>
      <c r="I50" s="1812" t="s">
        <v>2801</v>
      </c>
      <c r="J50" s="1812">
        <f>项目基本情况!F35</f>
        <v>0</v>
      </c>
      <c r="K50" s="2706" t="s">
        <v>2767</v>
      </c>
      <c r="L50" s="1106"/>
      <c r="M50" s="1144"/>
      <c r="N50" s="1144"/>
      <c r="O50" s="1144"/>
    </row>
    <row r="51" spans="1:17" s="690" customFormat="1">
      <c r="A51" s="686" t="s">
        <v>2768</v>
      </c>
      <c r="B51" s="687" t="e">
        <f>C43</f>
        <v>#DIV/0!</v>
      </c>
      <c r="C51" s="688">
        <v>1</v>
      </c>
      <c r="D51" s="1163">
        <v>1</v>
      </c>
      <c r="E51" s="688">
        <f>'数据-汇总表'!E8+'数据-汇总表'!E9</f>
        <v>88426</v>
      </c>
      <c r="F51" s="689" t="e">
        <f t="shared" ref="F51:F60" si="15">ROUND(B51*E51/10000,0)</f>
        <v>#DIV/0!</v>
      </c>
      <c r="G51" s="3216"/>
      <c r="H51" s="3191"/>
      <c r="I51" s="942">
        <v>1</v>
      </c>
      <c r="J51" s="942">
        <v>1</v>
      </c>
      <c r="K51" s="1145"/>
      <c r="L51" s="941"/>
      <c r="M51" s="941"/>
      <c r="N51" s="941"/>
      <c r="O51" s="941"/>
    </row>
    <row r="52" spans="1:17" s="690" customFormat="1">
      <c r="A52" s="691" t="s">
        <v>2769</v>
      </c>
      <c r="B52" s="260" t="e">
        <f>ROUND($C$43*C52*D52,0)</f>
        <v>#DIV/0!</v>
      </c>
      <c r="C52" s="198">
        <f t="shared" ref="C52:C60" si="16">IF($C$50="北京市系数",I52,J52)</f>
        <v>0.7</v>
      </c>
      <c r="D52" s="1164">
        <v>0.25</v>
      </c>
      <c r="E52" s="692"/>
      <c r="F52" s="689" t="e">
        <f t="shared" si="15"/>
        <v>#DIV/0!</v>
      </c>
      <c r="G52" s="3217" t="s">
        <v>2770</v>
      </c>
      <c r="H52" s="1104" t="str">
        <f>项目基本情况!B37</f>
        <v>六级</v>
      </c>
      <c r="I52" s="942">
        <f>SUMIF(修正!A45:A56,H52,修正!B45:B56)</f>
        <v>0.7</v>
      </c>
      <c r="J52" s="943"/>
      <c r="K52" s="1144"/>
      <c r="L52" s="941"/>
      <c r="M52" s="941"/>
      <c r="N52" s="941"/>
      <c r="O52" s="941"/>
    </row>
    <row r="53" spans="1:17" s="690" customFormat="1">
      <c r="A53" s="691" t="s">
        <v>2771</v>
      </c>
      <c r="B53" s="260" t="e">
        <f t="shared" ref="B53:B60" si="17">ROUND($C$43*C53*D53,0)</f>
        <v>#DIV/0!</v>
      </c>
      <c r="C53" s="198">
        <f t="shared" si="16"/>
        <v>0.4</v>
      </c>
      <c r="D53" s="1164">
        <v>0.25</v>
      </c>
      <c r="E53" s="692"/>
      <c r="F53" s="689" t="e">
        <f t="shared" si="15"/>
        <v>#DIV/0!</v>
      </c>
      <c r="G53" s="3217"/>
      <c r="H53" s="1104" t="str">
        <f>项目基本情况!B37</f>
        <v>六级</v>
      </c>
      <c r="I53" s="942">
        <f>SUMIF(修正!A45:A56,H53,修正!C45:C56)</f>
        <v>0.4</v>
      </c>
      <c r="J53" s="943"/>
      <c r="K53" s="1145"/>
      <c r="L53" s="941"/>
      <c r="M53" s="941"/>
      <c r="N53" s="941"/>
      <c r="O53" s="941"/>
    </row>
    <row r="54" spans="1:17" s="690" customFormat="1">
      <c r="A54" s="691" t="s">
        <v>2772</v>
      </c>
      <c r="B54" s="260" t="e">
        <f t="shared" si="17"/>
        <v>#DIV/0!</v>
      </c>
      <c r="C54" s="198">
        <f t="shared" si="16"/>
        <v>0.28000000000000003</v>
      </c>
      <c r="D54" s="1164">
        <v>0.25</v>
      </c>
      <c r="E54" s="692"/>
      <c r="F54" s="689" t="e">
        <f t="shared" si="15"/>
        <v>#DIV/0!</v>
      </c>
      <c r="G54" s="3217"/>
      <c r="H54" s="1104" t="str">
        <f>项目基本情况!B37</f>
        <v>六级</v>
      </c>
      <c r="I54" s="942">
        <f>SUMIF(修正!A45:A56,H54,修正!D45:D56)</f>
        <v>0.28000000000000003</v>
      </c>
      <c r="J54" s="943"/>
      <c r="K54" s="1144"/>
      <c r="L54" s="941"/>
      <c r="M54" s="941"/>
      <c r="N54" s="941"/>
      <c r="O54" s="941"/>
    </row>
    <row r="55" spans="1:17" s="690" customFormat="1">
      <c r="A55" s="691" t="s">
        <v>2773</v>
      </c>
      <c r="B55" s="260" t="e">
        <f t="shared" si="17"/>
        <v>#DIV/0!</v>
      </c>
      <c r="C55" s="198">
        <f t="shared" si="16"/>
        <v>0.25</v>
      </c>
      <c r="D55" s="1164">
        <v>0.25</v>
      </c>
      <c r="E55" s="692"/>
      <c r="F55" s="689" t="e">
        <f t="shared" si="15"/>
        <v>#DIV/0!</v>
      </c>
      <c r="G55" s="3217"/>
      <c r="H55" s="1104" t="str">
        <f>项目基本情况!B37</f>
        <v>六级</v>
      </c>
      <c r="I55" s="942">
        <f>SUMIF(修正!A45:A56,H55,修正!E45:E56)</f>
        <v>0.25</v>
      </c>
      <c r="J55" s="943"/>
      <c r="K55" s="1145"/>
      <c r="L55" s="941"/>
      <c r="M55" s="941"/>
      <c r="N55" s="941"/>
      <c r="O55" s="941"/>
    </row>
    <row r="56" spans="1:17" s="690" customFormat="1">
      <c r="A56" s="691" t="s">
        <v>2774</v>
      </c>
      <c r="B56" s="260" t="e">
        <f t="shared" si="17"/>
        <v>#DIV/0!</v>
      </c>
      <c r="C56" s="198">
        <f t="shared" si="16"/>
        <v>0.25</v>
      </c>
      <c r="D56" s="1164">
        <v>0.25</v>
      </c>
      <c r="E56" s="259">
        <f>'数据-汇总表'!E11</f>
        <v>260.8</v>
      </c>
      <c r="F56" s="689" t="e">
        <f t="shared" si="15"/>
        <v>#DIV/0!</v>
      </c>
      <c r="G56" s="2707" t="s">
        <v>2775</v>
      </c>
      <c r="H56" s="1104" t="str">
        <f>项目基本情况!C37</f>
        <v>六级</v>
      </c>
      <c r="I56" s="942">
        <f>SUMIF(修正!A45:A56,H56,修正!F45:F56)</f>
        <v>0.25</v>
      </c>
      <c r="J56" s="943"/>
      <c r="K56" s="1144"/>
      <c r="L56" s="941"/>
      <c r="M56" s="941"/>
      <c r="N56" s="941"/>
      <c r="O56" s="941"/>
    </row>
    <row r="57" spans="1:17" s="690" customFormat="1">
      <c r="A57" s="691" t="s">
        <v>2776</v>
      </c>
      <c r="B57" s="260" t="e">
        <f t="shared" si="17"/>
        <v>#DIV/0!</v>
      </c>
      <c r="C57" s="198">
        <f t="shared" si="16"/>
        <v>0.25</v>
      </c>
      <c r="D57" s="1164">
        <v>0.25</v>
      </c>
      <c r="E57" s="259">
        <f>'数据-汇总表'!E12</f>
        <v>1132.9000000000001</v>
      </c>
      <c r="F57" s="689" t="e">
        <f t="shared" si="15"/>
        <v>#DIV/0!</v>
      </c>
      <c r="G57" s="1109" t="s">
        <v>2777</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2778</v>
      </c>
      <c r="B58" s="260" t="e">
        <f t="shared" si="17"/>
        <v>#DIV/0!</v>
      </c>
      <c r="C58" s="198">
        <f t="shared" si="16"/>
        <v>0</v>
      </c>
      <c r="D58" s="1164">
        <v>0.25</v>
      </c>
      <c r="E58" s="259">
        <f>'数据-汇总表'!E13</f>
        <v>0</v>
      </c>
      <c r="F58" s="689"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2780</v>
      </c>
      <c r="B59" s="260" t="e">
        <f t="shared" si="17"/>
        <v>#DIV/0!</v>
      </c>
      <c r="C59" s="198">
        <f t="shared" si="16"/>
        <v>0.2</v>
      </c>
      <c r="D59" s="1164">
        <v>0.25</v>
      </c>
      <c r="E59" s="259">
        <f>'数据-汇总表'!E14</f>
        <v>0</v>
      </c>
      <c r="F59" s="689" t="e">
        <f t="shared" si="15"/>
        <v>#DIV/0!</v>
      </c>
      <c r="G59" s="2707" t="s">
        <v>2770</v>
      </c>
      <c r="H59" s="1104" t="str">
        <f>项目基本情况!B37</f>
        <v>六级</v>
      </c>
      <c r="I59" s="942">
        <f>SUMIF(修正!A45:A56,H59,修正!H45:H56)</f>
        <v>0.2</v>
      </c>
      <c r="J59" s="943"/>
      <c r="K59" s="1145"/>
      <c r="L59" s="941"/>
      <c r="M59" s="941"/>
      <c r="N59" s="941"/>
      <c r="O59" s="941"/>
    </row>
    <row r="60" spans="1:17" s="690" customFormat="1" ht="14.4" thickBot="1">
      <c r="A60" s="691" t="s">
        <v>2781</v>
      </c>
      <c r="B60" s="260" t="e">
        <f t="shared" si="17"/>
        <v>#DIV/0!</v>
      </c>
      <c r="C60" s="198">
        <f t="shared" si="16"/>
        <v>0.2</v>
      </c>
      <c r="D60" s="1164">
        <v>0.25</v>
      </c>
      <c r="E60" s="259">
        <f>'数据-汇总表'!E15</f>
        <v>30569.3</v>
      </c>
      <c r="F60" s="689" t="e">
        <f t="shared" si="15"/>
        <v>#DIV/0!</v>
      </c>
      <c r="G60" s="2708" t="s">
        <v>2775</v>
      </c>
      <c r="H60" s="1114" t="str">
        <f>项目基本情况!C37</f>
        <v>六级</v>
      </c>
      <c r="I60" s="942">
        <f>SUMIF(修正!A45:A56,H60,修正!H45:H56)</f>
        <v>0.2</v>
      </c>
      <c r="J60" s="943"/>
      <c r="K60" s="1144"/>
      <c r="L60" s="941"/>
      <c r="M60" s="941"/>
      <c r="N60" s="941"/>
      <c r="O60" s="941"/>
    </row>
    <row r="61" spans="1:17" s="690" customFormat="1" ht="14.4" thickBot="1">
      <c r="A61" s="693" t="s">
        <v>2782</v>
      </c>
      <c r="B61" s="694" t="s">
        <v>28</v>
      </c>
      <c r="C61" s="694" t="s">
        <v>29</v>
      </c>
      <c r="D61" s="694" t="s">
        <v>1029</v>
      </c>
      <c r="E61" s="694">
        <f>IF(B41="楼面地价",SUM(E51:E60),'数据-汇总表'!D3)</f>
        <v>11023.92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2.2" thickBot="1">
      <c r="A64" s="761" t="s">
        <v>2675</v>
      </c>
      <c r="B64" s="757"/>
      <c r="C64" s="762"/>
      <c r="D64" s="762"/>
      <c r="E64" s="762"/>
      <c r="F64" s="763"/>
      <c r="G64" s="763"/>
      <c r="H64" s="762"/>
      <c r="I64" s="762"/>
      <c r="J64" s="762"/>
      <c r="K64" s="764"/>
      <c r="L64" s="765"/>
      <c r="M64" s="762"/>
      <c r="N64" s="762"/>
      <c r="O64" s="1159"/>
      <c r="P64" s="501"/>
      <c r="Q64" s="502"/>
    </row>
    <row r="65" spans="1:17" s="506" customFormat="1" ht="14.4">
      <c r="A65" s="2709" t="s">
        <v>2783</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2802</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 thickBot="1">
      <c r="A67" s="513" t="s">
        <v>2586</v>
      </c>
      <c r="B67" s="514"/>
      <c r="C67" s="515"/>
      <c r="D67" s="516"/>
      <c r="E67" s="516"/>
      <c r="F67" s="516"/>
      <c r="G67" s="516"/>
      <c r="H67" s="516"/>
      <c r="I67" s="516"/>
      <c r="J67" s="516"/>
      <c r="K67" s="516"/>
      <c r="L67" s="516"/>
      <c r="M67" s="517"/>
      <c r="N67" s="517"/>
      <c r="O67" s="518"/>
      <c r="P67" s="502"/>
      <c r="Q67" s="502"/>
    </row>
    <row r="68" spans="1:17" s="115" customFormat="1" ht="14.4">
      <c r="A68" s="519" t="s">
        <v>2551</v>
      </c>
      <c r="B68" s="508"/>
      <c r="C68" s="520" t="s">
        <v>2653</v>
      </c>
      <c r="D68" s="521"/>
      <c r="E68" s="521"/>
      <c r="F68" s="521"/>
      <c r="G68" s="521"/>
      <c r="H68" s="521"/>
      <c r="I68" s="521"/>
      <c r="J68" s="521"/>
      <c r="K68" s="521"/>
      <c r="L68" s="522"/>
      <c r="M68" s="523"/>
      <c r="N68" s="1151"/>
      <c r="O68" s="1151"/>
      <c r="P68" s="524"/>
      <c r="Q68" s="502"/>
    </row>
    <row r="69" spans="1:17" s="115" customFormat="1" ht="14.4" thickBot="1">
      <c r="A69" s="519"/>
      <c r="B69" s="508"/>
      <c r="C69" s="637">
        <v>100</v>
      </c>
      <c r="D69" s="510"/>
      <c r="E69" s="510"/>
      <c r="F69" s="510"/>
      <c r="G69" s="510"/>
      <c r="H69" s="510"/>
      <c r="I69" s="510"/>
      <c r="J69" s="510"/>
      <c r="K69" s="510"/>
      <c r="L69" s="510"/>
      <c r="M69" s="512"/>
      <c r="N69" s="1151"/>
      <c r="O69" s="1151"/>
      <c r="P69" s="502"/>
      <c r="Q69" s="502"/>
    </row>
    <row r="70" spans="1:17" ht="14.4">
      <c r="A70" s="525" t="s">
        <v>2589</v>
      </c>
      <c r="B70" s="526" t="s">
        <v>2555</v>
      </c>
      <c r="C70" s="528"/>
      <c r="D70" s="528"/>
      <c r="E70" s="528"/>
      <c r="F70" s="528"/>
      <c r="G70" s="528"/>
      <c r="H70" s="528"/>
      <c r="I70" s="528"/>
      <c r="J70" s="528"/>
      <c r="K70" s="529"/>
      <c r="L70" s="530"/>
      <c r="M70" s="531"/>
      <c r="N70" s="1152"/>
      <c r="O70" s="1152"/>
      <c r="P70" s="44"/>
      <c r="Q70" s="502"/>
    </row>
    <row r="71" spans="1:17" ht="14.4" thickBot="1">
      <c r="A71" s="532"/>
      <c r="B71" s="533"/>
      <c r="C71" s="534"/>
      <c r="D71" s="534"/>
      <c r="E71" s="534"/>
      <c r="F71" s="534"/>
      <c r="G71" s="534"/>
      <c r="H71" s="534"/>
      <c r="I71" s="534"/>
      <c r="J71" s="534"/>
      <c r="K71" s="534"/>
      <c r="L71" s="534"/>
      <c r="M71" s="535"/>
      <c r="N71" s="1153"/>
      <c r="O71" s="1153"/>
      <c r="P71" s="44"/>
      <c r="Q71" s="502"/>
    </row>
    <row r="72" spans="1:17" ht="29.4" thickTop="1">
      <c r="A72" s="532"/>
      <c r="B72" s="536" t="s">
        <v>2558</v>
      </c>
      <c r="C72" s="537"/>
      <c r="D72" s="537"/>
      <c r="E72" s="537"/>
      <c r="F72" s="537"/>
      <c r="G72" s="537"/>
      <c r="H72" s="537"/>
      <c r="I72" s="537"/>
      <c r="J72" s="537"/>
      <c r="K72" s="538"/>
      <c r="L72" s="539"/>
      <c r="M72" s="540"/>
      <c r="N72" s="1152"/>
      <c r="O72" s="1152"/>
      <c r="P72" s="44"/>
      <c r="Q72" s="502"/>
    </row>
    <row r="73" spans="1:17" ht="14.4" thickBot="1">
      <c r="A73" s="532"/>
      <c r="B73" s="541"/>
      <c r="C73" s="542"/>
      <c r="D73" s="542"/>
      <c r="E73" s="542"/>
      <c r="F73" s="542"/>
      <c r="G73" s="542"/>
      <c r="H73" s="542"/>
      <c r="I73" s="542"/>
      <c r="J73" s="542"/>
      <c r="K73" s="542"/>
      <c r="L73" s="542"/>
      <c r="M73" s="543"/>
      <c r="N73" s="1153"/>
      <c r="O73" s="1153"/>
      <c r="P73" s="44"/>
      <c r="Q73" s="502"/>
    </row>
    <row r="74" spans="1:17" ht="1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c r="A75" s="532"/>
      <c r="B75" s="546"/>
      <c r="C75" s="547"/>
      <c r="D75" s="547"/>
      <c r="E75" s="547"/>
      <c r="F75" s="547"/>
      <c r="G75" s="547"/>
      <c r="H75" s="547"/>
      <c r="I75" s="547"/>
      <c r="J75" s="547"/>
      <c r="K75" s="548"/>
      <c r="L75" s="549"/>
      <c r="M75" s="550"/>
      <c r="N75" s="1152"/>
      <c r="O75" s="1152"/>
      <c r="P75" s="44"/>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4.4" thickTop="1">
      <c r="A77" s="551"/>
      <c r="B77" s="536">
        <f>B12</f>
        <v>111</v>
      </c>
      <c r="C77" s="552"/>
      <c r="D77" s="552"/>
      <c r="E77" s="552"/>
      <c r="F77" s="552"/>
      <c r="G77" s="552"/>
      <c r="H77" s="553"/>
      <c r="I77" s="553"/>
      <c r="J77" s="553"/>
      <c r="K77" s="553"/>
      <c r="L77" s="554"/>
      <c r="M77" s="555"/>
      <c r="N77" s="1154"/>
      <c r="O77" s="1154"/>
      <c r="P77" s="556"/>
      <c r="Q77" s="557"/>
    </row>
    <row r="78" spans="1:17" s="469" customFormat="1" ht="14.4" thickBot="1">
      <c r="A78" s="551"/>
      <c r="B78" s="541"/>
      <c r="C78" s="558"/>
      <c r="D78" s="534"/>
      <c r="E78" s="534"/>
      <c r="F78" s="534"/>
      <c r="G78" s="534"/>
      <c r="H78" s="534"/>
      <c r="I78" s="534"/>
      <c r="J78" s="534"/>
      <c r="K78" s="534"/>
      <c r="L78" s="534"/>
      <c r="M78" s="535"/>
      <c r="N78" s="1153"/>
      <c r="O78" s="1153"/>
      <c r="P78" s="556"/>
      <c r="Q78" s="557"/>
    </row>
    <row r="79" spans="1:17" s="469" customFormat="1" ht="14.4" thickTop="1">
      <c r="A79" s="551"/>
      <c r="B79" s="536">
        <f>B13</f>
        <v>111</v>
      </c>
      <c r="C79" s="552"/>
      <c r="D79" s="552"/>
      <c r="E79" s="552"/>
      <c r="F79" s="552"/>
      <c r="G79" s="552"/>
      <c r="H79" s="553"/>
      <c r="I79" s="553"/>
      <c r="J79" s="553"/>
      <c r="K79" s="553"/>
      <c r="L79" s="554"/>
      <c r="M79" s="555"/>
      <c r="N79" s="1154"/>
      <c r="O79" s="1154"/>
      <c r="P79" s="468"/>
      <c r="Q79" s="559"/>
    </row>
    <row r="80" spans="1:17" s="469" customFormat="1" ht="14.4" thickBot="1">
      <c r="A80" s="551"/>
      <c r="B80" s="541"/>
      <c r="C80" s="558"/>
      <c r="D80" s="558"/>
      <c r="E80" s="558"/>
      <c r="F80" s="558"/>
      <c r="G80" s="558"/>
      <c r="H80" s="560"/>
      <c r="I80" s="560"/>
      <c r="J80" s="560"/>
      <c r="K80" s="560"/>
      <c r="L80" s="560"/>
      <c r="M80" s="561"/>
      <c r="N80" s="1154"/>
      <c r="O80" s="1154"/>
      <c r="P80" s="556"/>
      <c r="Q80" s="557"/>
    </row>
    <row r="81" spans="1:17" s="469" customFormat="1" ht="14.4" thickTop="1">
      <c r="A81" s="551"/>
      <c r="B81" s="544">
        <f>B14</f>
        <v>111</v>
      </c>
      <c r="C81" s="521"/>
      <c r="D81" s="521"/>
      <c r="E81" s="521"/>
      <c r="F81" s="521"/>
      <c r="G81" s="521"/>
      <c r="H81" s="562"/>
      <c r="I81" s="562"/>
      <c r="J81" s="562"/>
      <c r="K81" s="562"/>
      <c r="L81" s="563"/>
      <c r="M81" s="564"/>
      <c r="N81" s="1154"/>
      <c r="O81" s="1154"/>
      <c r="P81" s="565"/>
      <c r="Q81" s="557"/>
    </row>
    <row r="82" spans="1:17" s="469" customFormat="1" ht="14.4" thickBot="1">
      <c r="A82" s="566"/>
      <c r="B82" s="567"/>
      <c r="C82" s="568"/>
      <c r="D82" s="568"/>
      <c r="E82" s="568"/>
      <c r="F82" s="568"/>
      <c r="G82" s="568"/>
      <c r="H82" s="569"/>
      <c r="I82" s="569"/>
      <c r="J82" s="569"/>
      <c r="K82" s="569"/>
      <c r="L82" s="569"/>
      <c r="M82" s="570"/>
      <c r="N82" s="1154"/>
      <c r="O82" s="1154"/>
      <c r="P82" s="556"/>
      <c r="Q82" s="557"/>
    </row>
    <row r="83" spans="1:17" ht="14.4">
      <c r="A83" s="525" t="s">
        <v>2560</v>
      </c>
      <c r="B83" s="526" t="s">
        <v>2706</v>
      </c>
      <c r="C83" s="571" t="s">
        <v>2598</v>
      </c>
      <c r="D83" s="571" t="s">
        <v>2599</v>
      </c>
      <c r="E83" s="571" t="s">
        <v>2600</v>
      </c>
      <c r="F83" s="571" t="s">
        <v>2601</v>
      </c>
      <c r="G83" s="571" t="s">
        <v>2602</v>
      </c>
      <c r="H83" s="527"/>
      <c r="I83" s="527"/>
      <c r="J83" s="527"/>
      <c r="K83" s="572"/>
      <c r="L83" s="573"/>
      <c r="M83" s="574"/>
      <c r="N83" s="1152"/>
      <c r="O83" s="1152"/>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 thickTop="1">
      <c r="A85" s="532"/>
      <c r="B85" s="536" t="s">
        <v>2603</v>
      </c>
      <c r="C85" s="576" t="s">
        <v>2598</v>
      </c>
      <c r="D85" s="576" t="s">
        <v>2599</v>
      </c>
      <c r="E85" s="576" t="s">
        <v>2600</v>
      </c>
      <c r="F85" s="576" t="s">
        <v>2601</v>
      </c>
      <c r="G85" s="576" t="s">
        <v>2602</v>
      </c>
      <c r="H85" s="537"/>
      <c r="I85" s="537"/>
      <c r="J85" s="537"/>
      <c r="K85" s="538"/>
      <c r="L85" s="539"/>
      <c r="M85" s="540"/>
      <c r="N85" s="1152"/>
      <c r="O85" s="1152"/>
      <c r="P85" s="44"/>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29.4" thickTop="1">
      <c r="A87" s="577"/>
      <c r="B87" s="536" t="s">
        <v>2785</v>
      </c>
      <c r="C87" s="571" t="s">
        <v>2598</v>
      </c>
      <c r="D87" s="571" t="s">
        <v>2599</v>
      </c>
      <c r="E87" s="571" t="s">
        <v>2600</v>
      </c>
      <c r="F87" s="571" t="s">
        <v>2601</v>
      </c>
      <c r="G87" s="571" t="s">
        <v>2602</v>
      </c>
      <c r="H87" s="576"/>
      <c r="I87" s="576"/>
      <c r="J87" s="576"/>
      <c r="K87" s="576"/>
      <c r="L87" s="696"/>
      <c r="M87" s="620"/>
      <c r="N87" s="1151"/>
      <c r="O87" s="1151"/>
      <c r="P87" s="44"/>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9.4" thickTop="1">
      <c r="A89" s="577"/>
      <c r="B89" s="536" t="s">
        <v>2786</v>
      </c>
      <c r="C89" s="571" t="s">
        <v>2598</v>
      </c>
      <c r="D89" s="571" t="s">
        <v>2599</v>
      </c>
      <c r="E89" s="571" t="s">
        <v>2600</v>
      </c>
      <c r="F89" s="571" t="s">
        <v>2601</v>
      </c>
      <c r="G89" s="571" t="s">
        <v>2602</v>
      </c>
      <c r="H89" s="576"/>
      <c r="I89" s="576"/>
      <c r="J89" s="576"/>
      <c r="K89" s="576"/>
      <c r="L89" s="576"/>
      <c r="M89" s="620"/>
      <c r="N89" s="1151"/>
      <c r="O89" s="1151"/>
      <c r="P89" s="44"/>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 thickTop="1">
      <c r="A91" s="551"/>
      <c r="B91" s="536" t="s">
        <v>2655</v>
      </c>
      <c r="C91" s="571" t="s">
        <v>2598</v>
      </c>
      <c r="D91" s="571" t="s">
        <v>2599</v>
      </c>
      <c r="E91" s="571" t="s">
        <v>2600</v>
      </c>
      <c r="F91" s="571" t="s">
        <v>2601</v>
      </c>
      <c r="G91" s="571" t="s">
        <v>2602</v>
      </c>
      <c r="H91" s="598"/>
      <c r="I91" s="598"/>
      <c r="J91" s="598"/>
      <c r="K91" s="598"/>
      <c r="L91" s="599"/>
      <c r="M91" s="600"/>
      <c r="N91" s="1154"/>
      <c r="O91" s="1154"/>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 thickTop="1">
      <c r="A93" s="551"/>
      <c r="B93" s="544" t="s">
        <v>2803</v>
      </c>
      <c r="C93" s="658" t="s">
        <v>2676</v>
      </c>
      <c r="D93" s="658" t="s">
        <v>2677</v>
      </c>
      <c r="E93" s="658" t="s">
        <v>2678</v>
      </c>
      <c r="F93" s="658" t="s">
        <v>2679</v>
      </c>
      <c r="G93" s="658" t="s">
        <v>2680</v>
      </c>
      <c r="H93" s="598"/>
      <c r="I93" s="598"/>
      <c r="J93" s="598"/>
      <c r="K93" s="598"/>
      <c r="L93" s="598"/>
      <c r="M93" s="600"/>
      <c r="N93" s="1154"/>
      <c r="O93" s="1154"/>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9.4" thickTop="1">
      <c r="A97" s="532"/>
      <c r="B97" s="536" t="s">
        <v>2692</v>
      </c>
      <c r="C97" s="552"/>
      <c r="D97" s="552"/>
      <c r="E97" s="552"/>
      <c r="F97" s="552"/>
      <c r="G97" s="552"/>
      <c r="H97" s="581"/>
      <c r="I97" s="581"/>
      <c r="J97" s="581"/>
      <c r="K97" s="582"/>
      <c r="L97" s="583"/>
      <c r="M97" s="584"/>
      <c r="N97" s="1152"/>
      <c r="O97" s="1152"/>
      <c r="P97" s="44"/>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 thickTop="1">
      <c r="A99" s="532"/>
      <c r="B99" s="536" t="s">
        <v>2751</v>
      </c>
      <c r="C99" s="581"/>
      <c r="D99" s="581"/>
      <c r="E99" s="581"/>
      <c r="F99" s="581"/>
      <c r="G99" s="581"/>
      <c r="H99" s="581"/>
      <c r="I99" s="581"/>
      <c r="J99" s="581"/>
      <c r="K99" s="582"/>
      <c r="L99" s="583"/>
      <c r="M99" s="584"/>
      <c r="N99" s="1152"/>
      <c r="O99" s="1152"/>
      <c r="P99" s="44"/>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4.4" thickTop="1">
      <c r="A101" s="532"/>
      <c r="B101" s="544">
        <f>B31</f>
        <v>111</v>
      </c>
      <c r="C101" s="552"/>
      <c r="D101" s="552"/>
      <c r="E101" s="552"/>
      <c r="F101" s="552"/>
      <c r="G101" s="585"/>
      <c r="H101" s="585"/>
      <c r="I101" s="585"/>
      <c r="J101" s="585"/>
      <c r="K101" s="586"/>
      <c r="L101" s="587"/>
      <c r="M101" s="588"/>
      <c r="N101" s="1152"/>
      <c r="O101" s="1152"/>
      <c r="P101" s="44"/>
      <c r="Q101" s="502"/>
    </row>
    <row r="102" spans="1:17" ht="14.4" thickBot="1">
      <c r="A102" s="532"/>
      <c r="B102" s="567"/>
      <c r="C102" s="558"/>
      <c r="D102" s="534"/>
      <c r="E102" s="534"/>
      <c r="F102" s="534"/>
      <c r="G102" s="589"/>
      <c r="H102" s="589"/>
      <c r="I102" s="589"/>
      <c r="J102" s="589"/>
      <c r="K102" s="589"/>
      <c r="L102" s="589"/>
      <c r="M102" s="590"/>
      <c r="N102" s="1153"/>
      <c r="O102" s="1153"/>
      <c r="P102" s="44"/>
      <c r="Q102" s="502"/>
    </row>
    <row r="103" spans="1:17" ht="14.4" thickTop="1">
      <c r="A103" s="673"/>
      <c r="B103" s="536">
        <f>B32</f>
        <v>111</v>
      </c>
      <c r="C103" s="552"/>
      <c r="D103" s="552"/>
      <c r="E103" s="552"/>
      <c r="F103" s="552"/>
      <c r="G103" s="581"/>
      <c r="H103" s="581"/>
      <c r="I103" s="581"/>
      <c r="J103" s="581"/>
      <c r="K103" s="582"/>
      <c r="L103" s="583"/>
      <c r="M103" s="584"/>
      <c r="N103" s="1152"/>
      <c r="O103" s="1152"/>
      <c r="P103" s="44"/>
      <c r="Q103" s="502"/>
    </row>
    <row r="104" spans="1:17" ht="14.4" thickBot="1">
      <c r="A104" s="532"/>
      <c r="B104" s="541"/>
      <c r="C104" s="558"/>
      <c r="D104" s="558"/>
      <c r="E104" s="558"/>
      <c r="F104" s="558"/>
      <c r="G104" s="534"/>
      <c r="H104" s="534"/>
      <c r="I104" s="534"/>
      <c r="J104" s="534"/>
      <c r="K104" s="534"/>
      <c r="L104" s="534"/>
      <c r="M104" s="535"/>
      <c r="N104" s="1153"/>
      <c r="O104" s="1153"/>
      <c r="P104" s="44"/>
      <c r="Q104" s="502"/>
    </row>
    <row r="105" spans="1:17" s="469" customFormat="1" ht="14.4"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4.4" thickBot="1">
      <c r="A106" s="551"/>
      <c r="B106" s="544"/>
      <c r="C106" s="568"/>
      <c r="D106" s="568"/>
      <c r="E106" s="568"/>
      <c r="F106" s="568"/>
      <c r="G106" s="675"/>
      <c r="H106" s="675"/>
      <c r="I106" s="675"/>
      <c r="J106" s="675"/>
      <c r="K106" s="675"/>
      <c r="L106" s="675"/>
      <c r="M106" s="697"/>
      <c r="N106" s="1153"/>
      <c r="O106" s="1153"/>
      <c r="P106" s="556"/>
      <c r="Q106" s="557"/>
    </row>
    <row r="107" spans="1:17" ht="14.4">
      <c r="A107" s="525" t="s">
        <v>2564</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4"/>
      <c r="Q107" s="502"/>
    </row>
    <row r="108" spans="1:17">
      <c r="A108" s="532"/>
      <c r="B108" s="544"/>
      <c r="C108" s="593"/>
      <c r="D108" s="593"/>
      <c r="E108" s="593"/>
      <c r="F108" s="593"/>
      <c r="G108" s="593"/>
      <c r="H108" s="593"/>
      <c r="I108" s="593"/>
      <c r="J108" s="594"/>
      <c r="K108" s="594"/>
      <c r="L108" s="595"/>
      <c r="M108" s="596"/>
      <c r="N108" s="1152"/>
      <c r="O108" s="1152"/>
      <c r="P108" s="44"/>
      <c r="Q108" s="502"/>
    </row>
    <row r="109" spans="1:17" ht="14.4"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552"/>
      <c r="D112" s="552"/>
      <c r="E112" s="552"/>
      <c r="F112" s="552"/>
      <c r="G112" s="552"/>
      <c r="H112" s="581"/>
      <c r="I112" s="581"/>
      <c r="J112" s="581"/>
      <c r="K112" s="582"/>
      <c r="L112" s="583"/>
      <c r="M112" s="584"/>
      <c r="N112" s="1154"/>
      <c r="O112" s="1154"/>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4.4" thickTop="1">
      <c r="A116" s="597"/>
      <c r="B116" s="536">
        <f>B38</f>
        <v>111</v>
      </c>
      <c r="C116" s="552"/>
      <c r="D116" s="552"/>
      <c r="E116" s="552"/>
      <c r="F116" s="552"/>
      <c r="G116" s="552"/>
      <c r="H116" s="581"/>
      <c r="I116" s="581"/>
      <c r="J116" s="581"/>
      <c r="K116" s="582"/>
      <c r="L116" s="583"/>
      <c r="M116" s="584"/>
      <c r="N116" s="1152"/>
      <c r="O116" s="1152"/>
      <c r="P116" s="44"/>
      <c r="Q116" s="502"/>
    </row>
    <row r="117" spans="1:17" ht="14.4" thickBot="1">
      <c r="A117" s="532"/>
      <c r="B117" s="541"/>
      <c r="C117" s="558"/>
      <c r="D117" s="534"/>
      <c r="E117" s="534"/>
      <c r="F117" s="534"/>
      <c r="G117" s="534"/>
      <c r="H117" s="534"/>
      <c r="I117" s="534"/>
      <c r="J117" s="534"/>
      <c r="K117" s="534"/>
      <c r="L117" s="534"/>
      <c r="M117" s="535"/>
      <c r="N117" s="1153"/>
      <c r="O117" s="1153"/>
      <c r="P117" s="44"/>
      <c r="Q117" s="502"/>
    </row>
    <row r="118" spans="1:17" ht="14.4" thickTop="1">
      <c r="A118" s="597"/>
      <c r="B118" s="536">
        <f>B39</f>
        <v>111</v>
      </c>
      <c r="C118" s="552"/>
      <c r="D118" s="552"/>
      <c r="E118" s="552"/>
      <c r="F118" s="552"/>
      <c r="G118" s="581"/>
      <c r="H118" s="581"/>
      <c r="I118" s="581"/>
      <c r="J118" s="581"/>
      <c r="K118" s="582"/>
      <c r="L118" s="583"/>
      <c r="M118" s="584"/>
      <c r="N118" s="1152"/>
      <c r="O118" s="1152"/>
      <c r="P118" s="44"/>
      <c r="Q118" s="502"/>
    </row>
    <row r="119" spans="1:17" ht="14.4" thickBot="1">
      <c r="A119" s="532"/>
      <c r="B119" s="541"/>
      <c r="C119" s="558"/>
      <c r="D119" s="558"/>
      <c r="E119" s="558"/>
      <c r="F119" s="558"/>
      <c r="G119" s="534"/>
      <c r="H119" s="534"/>
      <c r="I119" s="534"/>
      <c r="J119" s="534"/>
      <c r="K119" s="534"/>
      <c r="L119" s="534"/>
      <c r="M119" s="535"/>
      <c r="N119" s="1153"/>
      <c r="O119" s="1153"/>
      <c r="P119" s="44"/>
      <c r="Q119" s="502"/>
    </row>
    <row r="120" spans="1:17" s="469" customFormat="1" ht="14.4"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4.4"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3.2"/>
  <cols>
    <col min="1" max="1" width="9.77734375" style="2794" customWidth="1"/>
    <col min="2" max="2" width="19.21875" style="2900" customWidth="1"/>
    <col min="3" max="4" width="12" style="2718"/>
    <col min="5" max="5" width="14.6640625" style="2718" customWidth="1"/>
    <col min="6" max="8" width="12" style="2718"/>
    <col min="9" max="9" width="12.21875" style="2718" bestFit="1" customWidth="1"/>
    <col min="10" max="10" width="12" style="2718"/>
    <col min="11" max="11" width="8.109375" style="2786" customWidth="1"/>
    <col min="12" max="12" width="12" style="2718"/>
    <col min="13" max="13" width="8.44140625" style="2718" customWidth="1"/>
    <col min="14" max="14" width="9.77734375" style="2718" customWidth="1"/>
    <col min="15" max="25" width="12" style="2718"/>
    <col min="26" max="26" width="9.33203125" style="2794" customWidth="1"/>
    <col min="27" max="32" width="9.33203125" style="1371" customWidth="1"/>
    <col min="33" max="36" width="9.33203125" style="2794" customWidth="1"/>
    <col min="37" max="38" width="9.33203125" style="2718" customWidth="1"/>
    <col min="39" max="16384" width="12" style="2718"/>
  </cols>
  <sheetData>
    <row r="1" spans="1:36" ht="31.2">
      <c r="A1" s="238" t="s">
        <v>2804</v>
      </c>
      <c r="B1" s="239"/>
      <c r="C1" s="243" t="s">
        <v>2805</v>
      </c>
      <c r="D1" s="386">
        <f>SUM(D29:D30,D33:D39)</f>
        <v>0</v>
      </c>
      <c r="E1" s="2715"/>
      <c r="F1" s="2715"/>
      <c r="G1" s="2715"/>
      <c r="H1" s="2715"/>
      <c r="I1" s="2715"/>
      <c r="J1" s="2715"/>
      <c r="K1" s="1369"/>
      <c r="L1" s="2716" t="s">
        <v>2806</v>
      </c>
      <c r="M1" s="1080">
        <f>SUMPRODUCT((区片价!B5:B9=I2)*(区片价!C3:F3=E2)*(区片价!C5:F9))</f>
        <v>0</v>
      </c>
      <c r="N1" s="1083">
        <f>SUMPRODUCT((因素修正幅度!B5:B9=I2)*(因素修正幅度!C3:F3=E2)*(因素修正幅度!C5:F9))</f>
        <v>0</v>
      </c>
      <c r="O1" s="2717"/>
      <c r="P1" s="2717"/>
      <c r="Q1" s="1369"/>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6">
      <c r="A2" s="243" t="s">
        <v>2812</v>
      </c>
      <c r="B2" s="246">
        <f ca="1">C26</f>
        <v>0</v>
      </c>
      <c r="C2" s="2719" t="s">
        <v>2813</v>
      </c>
      <c r="D2" s="2720" t="s">
        <v>2814</v>
      </c>
      <c r="E2" s="2721" t="s">
        <v>27</v>
      </c>
      <c r="F2" s="2720" t="s">
        <v>2815</v>
      </c>
      <c r="G2" s="2722" t="str">
        <f>IF(E2="商业",项目基本情况!B37,IF(E2="办公",项目基本情况!C37,IF(E2="住宅",项目基本情况!D37,项目基本情况!E37)))</f>
        <v>六级</v>
      </c>
      <c r="H2" s="2720" t="s">
        <v>2816</v>
      </c>
      <c r="I2" s="2722" t="str">
        <f>IF(E2="商业",项目基本情况!B38,IF(E2="办公",项目基本情况!C38,IF(E2="住宅",项目基本情况!D38,项目基本情况!E38)))</f>
        <v>Ⅵ-通2</v>
      </c>
      <c r="J2" s="2723"/>
      <c r="K2" s="1369"/>
      <c r="L2" s="2724" t="s">
        <v>2817</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6.4">
      <c r="A3" s="245" t="s">
        <v>2818</v>
      </c>
      <c r="B3" s="246" t="e">
        <f ca="1">ROUND(B2*10000/D1,0)</f>
        <v>#DIV/0!</v>
      </c>
      <c r="C3" s="2719" t="s">
        <v>2819</v>
      </c>
      <c r="D3" s="2720" t="s">
        <v>2820</v>
      </c>
      <c r="E3" s="2725" t="s">
        <v>3061</v>
      </c>
      <c r="F3" s="2726" t="s">
        <v>2821</v>
      </c>
      <c r="G3" s="913">
        <f>IF(F3="宗地容积率",'数据-汇总表'!I4,IF(F3="估价对象容积率",'数据-汇总表'!I6,'数据-汇总表'!I7))</f>
        <v>8.02</v>
      </c>
      <c r="H3" s="196" t="s">
        <v>2822</v>
      </c>
      <c r="I3" s="944"/>
      <c r="J3" s="2723" t="s">
        <v>2823</v>
      </c>
      <c r="K3" s="1369"/>
      <c r="L3" s="2724" t="s">
        <v>2824</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94"/>
      <c r="B4" s="3295"/>
      <c r="C4" s="3295"/>
      <c r="D4" s="3296"/>
      <c r="E4" s="3296"/>
      <c r="F4" s="3296"/>
      <c r="G4" s="3296"/>
      <c r="H4" s="3296"/>
      <c r="I4" s="3296"/>
      <c r="J4" s="3297"/>
      <c r="K4" s="1369"/>
      <c r="L4" s="2724" t="s">
        <v>2825</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6" customFormat="1" ht="15.6" thickBot="1">
      <c r="A5" s="2727" t="s">
        <v>807</v>
      </c>
      <c r="B5" s="2728" t="s">
        <v>2826</v>
      </c>
      <c r="C5" s="914">
        <f>ROUND(IF(E2="商业",IF(F16="增加",C6*C7+C16,C6*C7-C16),IF(E2="住宅",IF(F16="增加",C6*C12+C16,C6*C12-C16),IF(F16="增加",C6+C16,C6-C16))),0)</f>
        <v>9270</v>
      </c>
      <c r="D5" s="1785">
        <f>ROUND(IF(E2="商业",IF(F16="增加",C6+C16,C6-C16)),0)</f>
        <v>0</v>
      </c>
      <c r="E5" s="2729"/>
      <c r="F5" s="2729"/>
      <c r="G5" s="2730"/>
      <c r="H5" s="2730"/>
      <c r="I5" s="2730"/>
      <c r="J5" s="2731"/>
      <c r="K5" s="2732"/>
      <c r="L5" s="2724" t="s">
        <v>2827</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3"/>
      <c r="AD5" s="2734"/>
      <c r="AE5" s="2734"/>
      <c r="AF5" s="2734"/>
      <c r="AG5" s="2734"/>
      <c r="AH5" s="2734"/>
      <c r="AI5" s="2734"/>
      <c r="AJ5" s="2735"/>
    </row>
    <row r="6" spans="1:36" ht="15.6" thickBot="1">
      <c r="A6" s="2737" t="s">
        <v>2828</v>
      </c>
      <c r="B6" s="2738" t="s">
        <v>2829</v>
      </c>
      <c r="C6" s="915">
        <f>SUMIF(L1:L12,G2,M1:M12)</f>
        <v>9270</v>
      </c>
      <c r="D6" s="2739" t="s">
        <v>2830</v>
      </c>
      <c r="E6" s="2740"/>
      <c r="F6" s="2740"/>
      <c r="G6" s="2741"/>
      <c r="H6" s="2741"/>
      <c r="I6" s="2741"/>
      <c r="J6" s="2742"/>
      <c r="K6" s="1840"/>
      <c r="L6" s="2724" t="s">
        <v>2831</v>
      </c>
      <c r="M6" s="1081">
        <f>SUMPRODUCT((区片价!B110:B157=I2)*(区片价!C3:F3=E2)*(区片价!C110:F157))</f>
        <v>9270</v>
      </c>
      <c r="N6" s="1083">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3"/>
      <c r="AD6" s="2734"/>
      <c r="AE6" s="2734"/>
      <c r="AF6" s="2734"/>
      <c r="AG6" s="2734"/>
      <c r="AH6" s="2734"/>
      <c r="AI6" s="2734"/>
      <c r="AJ6" s="2735"/>
    </row>
    <row r="7" spans="1:36" ht="24">
      <c r="A7" s="3280" t="str">
        <f>IF(E2="商业",IF(C8="不临58条商业街","",2),"")</f>
        <v/>
      </c>
      <c r="B7" s="2743" t="s">
        <v>2832</v>
      </c>
      <c r="C7" s="916" t="e">
        <f>IF(C8="不临58条商业街",1,ROUND(1+(1.6*E8+1.2*E9+0.8*E10+0.4*E11)*C9,4))</f>
        <v>#DIV/0!</v>
      </c>
      <c r="D7" s="2744" t="s">
        <v>2833</v>
      </c>
      <c r="E7" s="945"/>
      <c r="F7" s="2745"/>
      <c r="G7" s="2746"/>
      <c r="H7" s="2746"/>
      <c r="I7" s="2746"/>
      <c r="J7" s="2747"/>
      <c r="K7" s="1840"/>
      <c r="L7" s="2724" t="s">
        <v>2834</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2835</v>
      </c>
      <c r="X7" s="1602" t="str">
        <f>G2</f>
        <v>六级</v>
      </c>
      <c r="Y7" s="1602" t="s">
        <v>2836</v>
      </c>
      <c r="Z7" s="1603">
        <f>G3</f>
        <v>8.02</v>
      </c>
      <c r="AA7" s="1604"/>
      <c r="AB7" s="1604"/>
      <c r="AC7" s="1605"/>
      <c r="AD7" s="1606"/>
      <c r="AE7" s="1606"/>
      <c r="AF7" s="1606"/>
      <c r="AG7" s="1606"/>
      <c r="AH7" s="1606"/>
      <c r="AI7" s="1606"/>
      <c r="AJ7" s="1607"/>
    </row>
    <row r="8" spans="1:36" ht="15">
      <c r="A8" s="3281"/>
      <c r="B8" s="196" t="s">
        <v>2837</v>
      </c>
      <c r="C8" s="2748"/>
      <c r="D8" s="917" t="s">
        <v>139</v>
      </c>
      <c r="E8" s="918" t="e">
        <f>ROUND(C11/E7,4)</f>
        <v>#DIV/0!</v>
      </c>
      <c r="F8" s="2749" t="s">
        <v>2838</v>
      </c>
      <c r="G8" s="2750"/>
      <c r="H8" s="2750"/>
      <c r="I8" s="2750"/>
      <c r="J8" s="2751"/>
      <c r="K8" s="1369"/>
      <c r="L8" s="2724" t="s">
        <v>2839</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91" t="s">
        <v>2840</v>
      </c>
      <c r="X8" s="3292"/>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81"/>
      <c r="B9" s="196" t="s">
        <v>2853</v>
      </c>
      <c r="C9" s="919">
        <f>SUMIF(修正!C59:C119,C8,修正!E59:E119)</f>
        <v>0</v>
      </c>
      <c r="D9" s="198" t="s">
        <v>140</v>
      </c>
      <c r="E9" s="198" t="e">
        <f>ROUND(C11/E7,4)</f>
        <v>#DIV/0!</v>
      </c>
      <c r="F9" s="2749" t="s">
        <v>2854</v>
      </c>
      <c r="G9" s="2750"/>
      <c r="H9" s="2750"/>
      <c r="I9" s="2750"/>
      <c r="J9" s="2751"/>
      <c r="K9" s="1369"/>
      <c r="L9" s="2724" t="s">
        <v>2855</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93"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1"/>
      <c r="B10" s="196" t="s">
        <v>2858</v>
      </c>
      <c r="C10" s="198">
        <f>SUMIF(修正!C59:C119,C8,修正!F59:F119)</f>
        <v>0</v>
      </c>
      <c r="D10" s="198" t="s">
        <v>141</v>
      </c>
      <c r="E10" s="198" t="e">
        <f>ROUND(C11/E7,4)</f>
        <v>#DIV/0!</v>
      </c>
      <c r="F10" s="2749" t="s">
        <v>2859</v>
      </c>
      <c r="G10" s="2750"/>
      <c r="H10" s="2750"/>
      <c r="I10" s="2750"/>
      <c r="J10" s="2751"/>
      <c r="K10" s="1369"/>
      <c r="L10" s="2724" t="s">
        <v>2860</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9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81"/>
      <c r="B11" s="2752" t="s">
        <v>2861</v>
      </c>
      <c r="C11" s="920">
        <f>C10/4</f>
        <v>0</v>
      </c>
      <c r="D11" s="920" t="s">
        <v>142</v>
      </c>
      <c r="E11" s="920" t="e">
        <f>ROUND(C11/E7,4)</f>
        <v>#DIV/0!</v>
      </c>
      <c r="F11" s="2753" t="s">
        <v>2862</v>
      </c>
      <c r="G11" s="2754"/>
      <c r="H11" s="2754"/>
      <c r="I11" s="2754"/>
      <c r="J11" s="2755"/>
      <c r="K11" s="1369"/>
      <c r="L11" s="2724" t="s">
        <v>2863</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93" t="s">
        <v>2864</v>
      </c>
      <c r="X11" s="1612" t="s">
        <v>2865</v>
      </c>
      <c r="Y11" s="1613">
        <f>$G$3</f>
        <v>8.02</v>
      </c>
      <c r="Z11" s="1613">
        <f t="shared" ref="Z11:AJ11" si="3">$G$3</f>
        <v>8.02</v>
      </c>
      <c r="AA11" s="1613">
        <f t="shared" si="3"/>
        <v>8.02</v>
      </c>
      <c r="AB11" s="1613">
        <f t="shared" si="3"/>
        <v>8.02</v>
      </c>
      <c r="AC11" s="1613">
        <f t="shared" si="3"/>
        <v>8.02</v>
      </c>
      <c r="AD11" s="1613">
        <f t="shared" si="3"/>
        <v>8.02</v>
      </c>
      <c r="AE11" s="1613">
        <f t="shared" si="3"/>
        <v>8.02</v>
      </c>
      <c r="AF11" s="1613">
        <f t="shared" si="3"/>
        <v>8.02</v>
      </c>
      <c r="AG11" s="1613">
        <f t="shared" si="3"/>
        <v>8.02</v>
      </c>
      <c r="AH11" s="1613">
        <f t="shared" si="3"/>
        <v>8.02</v>
      </c>
      <c r="AI11" s="1613">
        <f t="shared" si="3"/>
        <v>8.02</v>
      </c>
      <c r="AJ11" s="1613">
        <f t="shared" si="3"/>
        <v>8.02</v>
      </c>
    </row>
    <row r="12" spans="1:36" ht="25.8" thickBot="1">
      <c r="A12" s="3280" t="s">
        <v>2866</v>
      </c>
      <c r="B12" s="2756" t="s">
        <v>2867</v>
      </c>
      <c r="C12" s="916">
        <f>ROUND(C15*D15*E15*F15*G15*H15*I15*J15,4)</f>
        <v>1</v>
      </c>
      <c r="D12" s="2757" t="s">
        <v>2868</v>
      </c>
      <c r="E12" s="2758"/>
      <c r="F12" s="2758"/>
      <c r="G12" s="2759"/>
      <c r="H12" s="2759"/>
      <c r="I12" s="2759"/>
      <c r="J12" s="2760"/>
      <c r="K12" s="1369"/>
      <c r="L12" s="2761" t="s">
        <v>2869</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93"/>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8"/>
      <c r="B13" s="2762" t="s">
        <v>2871</v>
      </c>
      <c r="C13" s="2763" t="s">
        <v>2872</v>
      </c>
      <c r="D13" s="1806" t="s">
        <v>2873</v>
      </c>
      <c r="E13" s="1806" t="s">
        <v>2874</v>
      </c>
      <c r="F13" s="29" t="s">
        <v>2875</v>
      </c>
      <c r="G13" s="2764" t="s">
        <v>2876</v>
      </c>
      <c r="H13" s="2764" t="s">
        <v>2876</v>
      </c>
      <c r="I13" s="2764" t="s">
        <v>2876</v>
      </c>
      <c r="J13" s="2765" t="s">
        <v>2876</v>
      </c>
      <c r="K13" s="1369"/>
      <c r="L13" s="1369"/>
      <c r="M13" s="1369"/>
      <c r="N13" s="1369"/>
      <c r="O13" s="1369"/>
      <c r="P13" s="1369"/>
      <c r="Q13" s="1369"/>
      <c r="R13" s="1600">
        <v>12</v>
      </c>
      <c r="S13" s="1601"/>
      <c r="T13" s="1600">
        <f t="shared" ca="1" si="0"/>
        <v>0</v>
      </c>
      <c r="U13" s="1601"/>
      <c r="V13" s="1600">
        <f t="shared" ca="1" si="1"/>
        <v>0</v>
      </c>
      <c r="W13" s="3293"/>
      <c r="X13" s="1614"/>
      <c r="Y13" s="1611">
        <f>(-0.163*(Y12^2)-0.59*Y12+7617)*(10^(-4))/Y11</f>
        <v>9.497506234413966E-2</v>
      </c>
      <c r="Z13" s="1611">
        <f t="shared" ref="Z13:AJ13" si="5">(-0.163*(Z12^2)-0.59*Z12+7617)*(10^(-4))/Z11</f>
        <v>9.497506234413966E-2</v>
      </c>
      <c r="AA13" s="1611">
        <f t="shared" si="5"/>
        <v>9.497506234413966E-2</v>
      </c>
      <c r="AB13" s="1611">
        <f t="shared" si="5"/>
        <v>9.497506234413966E-2</v>
      </c>
      <c r="AC13" s="1611">
        <f t="shared" si="5"/>
        <v>9.497506234413966E-2</v>
      </c>
      <c r="AD13" s="1611">
        <f t="shared" si="5"/>
        <v>9.497506234413966E-2</v>
      </c>
      <c r="AE13" s="1611">
        <f t="shared" si="5"/>
        <v>9.497506234413966E-2</v>
      </c>
      <c r="AF13" s="1611">
        <f t="shared" si="5"/>
        <v>9.497506234413966E-2</v>
      </c>
      <c r="AG13" s="1611">
        <f t="shared" si="5"/>
        <v>9.497506234413966E-2</v>
      </c>
      <c r="AH13" s="1611">
        <f t="shared" si="5"/>
        <v>9.497506234413966E-2</v>
      </c>
      <c r="AI13" s="1611">
        <f t="shared" si="5"/>
        <v>9.497506234413966E-2</v>
      </c>
      <c r="AJ13" s="1611">
        <f t="shared" si="5"/>
        <v>9.497506234413966E-2</v>
      </c>
    </row>
    <row r="14" spans="1:36" ht="15">
      <c r="A14" s="3298"/>
      <c r="B14" s="2766"/>
      <c r="C14" s="2767"/>
      <c r="D14" s="2768"/>
      <c r="E14" s="2768"/>
      <c r="F14" s="2769"/>
      <c r="G14" s="2770" t="s">
        <v>2877</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99"/>
      <c r="B15" s="2774" t="s">
        <v>2878</v>
      </c>
      <c r="C15" s="227">
        <f>IF(C14="有",1.1,1)</f>
        <v>1</v>
      </c>
      <c r="D15" s="227">
        <f>IF(D14="有",1.1,1)</f>
        <v>1</v>
      </c>
      <c r="E15" s="227">
        <f>IF(E14="有",1.1,1)</f>
        <v>1</v>
      </c>
      <c r="F15" s="227">
        <f>IF(F14="500米范围内",1.2,IF(F14="500-1000米",1.1,1))</f>
        <v>1</v>
      </c>
      <c r="G15" s="946">
        <v>1</v>
      </c>
      <c r="H15" s="946">
        <v>1</v>
      </c>
      <c r="I15" s="946">
        <v>1</v>
      </c>
      <c r="J15" s="947">
        <v>1</v>
      </c>
      <c r="K15" s="1369"/>
      <c r="L15" s="2775" t="s">
        <v>2814</v>
      </c>
      <c r="M15" s="917" t="s">
        <v>2879</v>
      </c>
      <c r="N15" s="917" t="s">
        <v>2880</v>
      </c>
      <c r="O15" s="917" t="s">
        <v>2881</v>
      </c>
      <c r="P15" s="2776" t="s">
        <v>2882</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80" t="s">
        <v>2883</v>
      </c>
      <c r="B16" s="2743" t="s">
        <v>2884</v>
      </c>
      <c r="C16" s="1799">
        <f>ROUND(SUM(G17:J17)/C17,0)</f>
        <v>0</v>
      </c>
      <c r="D16" s="2777" t="s">
        <v>2885</v>
      </c>
      <c r="E16" s="2778" t="s">
        <v>3062</v>
      </c>
      <c r="F16" s="2779" t="s">
        <v>3063</v>
      </c>
      <c r="G16" s="2780"/>
      <c r="H16" s="2780"/>
      <c r="I16" s="2780"/>
      <c r="J16" s="2781"/>
      <c r="K16" s="1369"/>
      <c r="L16" s="2782" t="s">
        <v>2886</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4.6" thickBot="1">
      <c r="A17" s="3281"/>
      <c r="B17" s="2783" t="s">
        <v>2887</v>
      </c>
      <c r="C17" s="921">
        <f>SUMPRODUCT((修正!A2:A5=E2)*(修正!B1:M1=G2)*(修正!B2:M5))</f>
        <v>2.5</v>
      </c>
      <c r="D17" s="2784"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2890</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 thickBot="1">
      <c r="A18" s="2787" t="s">
        <v>808</v>
      </c>
      <c r="B18" s="2788" t="s">
        <v>2891</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4" thickBot="1">
      <c r="A19" s="2787" t="s">
        <v>809</v>
      </c>
      <c r="B19" s="2788" t="s">
        <v>2892</v>
      </c>
      <c r="C19" s="924">
        <f>ROUND(IF(H19="按公示增长率计算",SUMPRODUCT((地价!A3:A21=YEAR(G19)&amp;"-"&amp;ROUNDUP(MONTH(G19)/3,0))*(地价!X2:AB2=E2)*(地价!X3:AB21)),IF(H19="地价指数",M20/M19,(1+I19)^O19)),4)</f>
        <v>0</v>
      </c>
      <c r="D19" s="2795" t="s">
        <v>2893</v>
      </c>
      <c r="E19" s="925">
        <v>41640</v>
      </c>
      <c r="F19" s="2795" t="s">
        <v>2894</v>
      </c>
      <c r="G19" s="926">
        <f>'数据-取费表'!B2</f>
        <v>43332</v>
      </c>
      <c r="H19" s="2796" t="s">
        <v>2895</v>
      </c>
      <c r="I19" s="927" t="str">
        <f>IF(H19="季度增幅（自定义）",SUMIF(N21:N24,E2,O21:O24),"")</f>
        <v/>
      </c>
      <c r="J19" s="2793"/>
      <c r="K19" s="1376"/>
      <c r="L19" s="2797" t="s">
        <v>2896</v>
      </c>
      <c r="M19" s="1732">
        <f>ROUND(SUMIF(地价!B2:F2,E2,地价!B21:F21),0)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9.4" thickBot="1">
      <c r="A20" s="2802" t="s">
        <v>810</v>
      </c>
      <c r="B20" s="2803" t="s">
        <v>2898</v>
      </c>
      <c r="C20" s="929">
        <f ca="1">ROUND(POWER(1+G20,J20-I20)*(POWER(1+G20,I20)-1)/(POWER(1+G20,J20)-1),4)</f>
        <v>0.96079999999999999</v>
      </c>
      <c r="D20" s="2804" t="s">
        <v>2899</v>
      </c>
      <c r="E20" s="1766">
        <f ca="1">存贷款利率!D4/100</f>
        <v>4.3499999999999997E-2</v>
      </c>
      <c r="F20" s="2804" t="s">
        <v>2890</v>
      </c>
      <c r="G20" s="934">
        <f ca="1">SUMIF(M15:P15,E2,M17:P17)</f>
        <v>5.1999999999999998E-2</v>
      </c>
      <c r="H20" s="2804" t="s">
        <v>2900</v>
      </c>
      <c r="I20" s="935">
        <f>SUMIF('数据-取费表'!C6:C15,E2,'数据-取费表'!F6:F15)/COUNTIF('数据-取费表'!C6:C15,E2)</f>
        <v>42.6</v>
      </c>
      <c r="J20" s="936">
        <f>IF(E2="住宅",70,IF(E2="商业",40,50))</f>
        <v>50</v>
      </c>
      <c r="K20" s="1376"/>
      <c r="L20" s="2805" t="s">
        <v>2901</v>
      </c>
      <c r="M20" s="1733">
        <f>ROUND(SUMPRODUCT((地价!A4:A21=YEAR(G19)&amp;"-"&amp;ROUNDUP(MONTH(G19)/3,0))*(地价!B2:F2=E2)*(地价!B4:F21)),0)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4.4">
      <c r="A21" s="2809" t="s">
        <v>811</v>
      </c>
      <c r="B21" s="2810" t="s">
        <v>3064</v>
      </c>
      <c r="C21" s="937">
        <f>IF(B21="容积率修正",IF(G3&lt;=10,D22,J22),C23)</f>
        <v>0.75539999999999996</v>
      </c>
      <c r="D21" s="2811"/>
      <c r="E21" s="2811"/>
      <c r="F21" s="2811"/>
      <c r="G21" s="2811"/>
      <c r="H21" s="2811"/>
      <c r="I21" s="2811"/>
      <c r="J21" s="2812"/>
      <c r="K21" s="1376"/>
      <c r="N21" s="2813" t="s">
        <v>2905</v>
      </c>
      <c r="O21" s="1560"/>
      <c r="P21" s="1561">
        <f>SUMPRODUCT((地价!A3:A21=YEAR(G19)&amp;"-"&amp;ROUNDUP(MONTH(G19)/3,0))*(地价!AD2:AH2=N21)*(地价!AD3:AH21))</f>
        <v>0</v>
      </c>
      <c r="R21" s="1375"/>
      <c r="S21" s="1375"/>
      <c r="T21" s="1370"/>
      <c r="U21" s="1370"/>
      <c r="V21" s="1370"/>
      <c r="W21" s="1369"/>
      <c r="X21" s="1369"/>
      <c r="Y21" s="1369"/>
      <c r="Z21" s="1376"/>
      <c r="AA21" s="1377"/>
      <c r="AB21" s="1377"/>
      <c r="AC21" s="1377"/>
      <c r="AD21" s="1377"/>
      <c r="AE21" s="1377"/>
      <c r="AF21" s="1377"/>
    </row>
    <row r="22" spans="1:37" s="2736" customFormat="1" ht="14.4">
      <c r="A22" s="2662" t="s">
        <v>2906</v>
      </c>
      <c r="B22" s="2814" t="s">
        <v>2907</v>
      </c>
      <c r="C22" s="1808" t="s">
        <v>2908</v>
      </c>
      <c r="D22" s="1808">
        <f>IF(E22=G22,F22,IF(G3&lt;=10,ROUND(F22+(H22-F22)*(G3-E22)/(G22-E22),4),"——"))</f>
        <v>0.75539999999999996</v>
      </c>
      <c r="E22" s="913">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3">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08" t="s">
        <v>155</v>
      </c>
      <c r="J22" s="938" t="str">
        <f>IF(G3&gt;10,D113,"——")</f>
        <v>——</v>
      </c>
      <c r="K22" s="1376"/>
      <c r="N22" s="2813" t="s">
        <v>2909</v>
      </c>
      <c r="O22" s="1560"/>
      <c r="P22" s="1561">
        <f>SUMPRODUCT((地价!A3:A21=YEAR(G19)&amp;"-"&amp;ROUNDUP(MONTH(G19)/3,0))*(地价!AD2:AH2=N22)*(地价!AD3:AH21))</f>
        <v>0</v>
      </c>
      <c r="R22" s="1375"/>
      <c r="S22" s="1375"/>
      <c r="T22" s="1370"/>
      <c r="U22" s="1370"/>
      <c r="V22" s="1370"/>
      <c r="W22" s="1369"/>
      <c r="X22" s="1369"/>
      <c r="Y22" s="1369"/>
      <c r="Z22" s="1376"/>
      <c r="AA22" s="1377"/>
      <c r="AB22" s="1377"/>
      <c r="AC22" s="1377"/>
      <c r="AD22" s="1377"/>
      <c r="AE22" s="1377"/>
      <c r="AF22" s="1377"/>
    </row>
    <row r="23" spans="1:37" ht="29.4"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SUMPRODUCT((地价!A3:A21=YEAR(G19)&amp;"-"&amp;ROUNDUP(MONTH(G19)/3,0))*(地价!AD2:AH2=N23)*(地价!AD3:AH21))</f>
        <v>0</v>
      </c>
      <c r="R23" s="1375"/>
      <c r="S23" s="1375"/>
      <c r="T23" s="1370"/>
      <c r="U23" s="1370"/>
      <c r="V23" s="1370"/>
      <c r="W23" s="1369"/>
      <c r="X23" s="1369"/>
      <c r="Y23" s="1369"/>
      <c r="Z23" s="1376"/>
      <c r="AA23" s="1377"/>
      <c r="AB23" s="1377"/>
      <c r="AC23" s="1377"/>
      <c r="AD23" s="1377"/>
      <c r="AK23" s="2794"/>
    </row>
    <row r="24" spans="1:37" s="2736" customFormat="1" ht="15" thickBot="1">
      <c r="A24" s="2802" t="s">
        <v>812</v>
      </c>
      <c r="B24" s="2788" t="s">
        <v>2913</v>
      </c>
      <c r="C24" s="924">
        <f>SUMIF(A45:A88,E2,B45:B88)</f>
        <v>1</v>
      </c>
      <c r="D24" s="2791"/>
      <c r="E24" s="2821"/>
      <c r="F24" s="2821"/>
      <c r="G24" s="2821"/>
      <c r="H24" s="2821"/>
      <c r="I24" s="2821"/>
      <c r="J24" s="2822"/>
      <c r="K24" s="1376"/>
      <c r="N24" s="2823" t="s">
        <v>2914</v>
      </c>
      <c r="O24" s="1562"/>
      <c r="P24" s="1563">
        <f>SUMPRODUCT((地价!A3:A21=YEAR(G19)&amp;"-"&amp;ROUNDUP(MONTH(G19)/3,0))*(地价!AD2:AH2=N24)*(地价!AD3:AH21))</f>
        <v>0</v>
      </c>
      <c r="R24" s="1375"/>
      <c r="S24" s="1375"/>
      <c r="T24" s="1370"/>
      <c r="U24" s="1370"/>
      <c r="V24" s="1370"/>
      <c r="W24" s="1369"/>
      <c r="X24" s="1369"/>
      <c r="Y24" s="1369"/>
      <c r="Z24" s="1376"/>
      <c r="AA24" s="1377"/>
      <c r="AB24" s="1377"/>
      <c r="AC24" s="1377"/>
      <c r="AD24" s="1377"/>
      <c r="AE24" s="1377"/>
      <c r="AF24" s="1377"/>
    </row>
    <row r="25" spans="1:37" ht="15" thickBot="1">
      <c r="A25" s="2802" t="s">
        <v>813</v>
      </c>
      <c r="B25" s="2824" t="s">
        <v>2915</v>
      </c>
      <c r="C25" s="930"/>
      <c r="D25" s="2746"/>
      <c r="E25" s="2746"/>
      <c r="F25" s="2825"/>
      <c r="G25" s="2746"/>
      <c r="H25" s="2746"/>
      <c r="I25" s="2746"/>
      <c r="J25" s="2747"/>
      <c r="K25" s="1369"/>
      <c r="N25" s="2826" t="s">
        <v>2916</v>
      </c>
      <c r="O25" s="1564"/>
      <c r="P25" s="1563">
        <f>SUMPRODUCT((地价!A3:A21=YEAR(G19)&amp;"-"&amp;ROUNDUP(MONTH(G19)/3,0))*(地价!AD2:AH2=N25)*(地价!AD3:AH21))</f>
        <v>0</v>
      </c>
      <c r="R25" s="1375"/>
      <c r="S25" s="1375"/>
      <c r="T25" s="1370"/>
      <c r="U25" s="1370"/>
      <c r="V25" s="1370"/>
      <c r="W25" s="1369"/>
      <c r="X25" s="1369"/>
      <c r="Y25" s="1369"/>
      <c r="Z25" s="1376"/>
      <c r="AA25" s="1377"/>
      <c r="AB25" s="1377"/>
      <c r="AC25" s="1377"/>
      <c r="AD25" s="1377"/>
    </row>
    <row r="26" spans="1:37" ht="14.4">
      <c r="A26" s="2827"/>
      <c r="B26" s="2814" t="s">
        <v>2917</v>
      </c>
      <c r="C26" s="204">
        <f ca="1">E29+SUM(E33:E39)</f>
        <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0</v>
      </c>
      <c r="D29" s="2843"/>
      <c r="E29" s="942">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8" thickBot="1">
      <c r="A30" s="2847"/>
      <c r="B30" s="2848" t="s">
        <v>2925</v>
      </c>
      <c r="C30" s="227">
        <f ca="1">ROUND(IF(E2="工业",C29*M39,C29*M38),0)</f>
        <v>0</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3.8">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36">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88" t="s">
        <v>2931</v>
      </c>
      <c r="B33" s="2859" t="s">
        <v>2932</v>
      </c>
      <c r="C33" s="204">
        <f ca="1">ROUND(D5*C19*C20*C24*F33,0)</f>
        <v>0</v>
      </c>
      <c r="D33" s="2843"/>
      <c r="E33" s="198">
        <f ca="1">ROUND(C33*D33/10000,0)</f>
        <v>0</v>
      </c>
      <c r="F33" s="198">
        <f>SUMIF(修正!A45:A56,G2,修正!B45:B56)</f>
        <v>0.7</v>
      </c>
      <c r="G33" s="198">
        <f t="shared" ref="G33:G39" ca="1" si="6">ROUND(IF(E2="工业",C33*$M$39,C33*$M$38),0)</f>
        <v>0</v>
      </c>
      <c r="H33" s="198">
        <f>D33</f>
        <v>0</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9"/>
      <c r="B34" s="2763" t="s">
        <v>2933</v>
      </c>
      <c r="C34" s="204">
        <f ca="1">ROUND(D5*C19*C20*C24*F34,0)</f>
        <v>0</v>
      </c>
      <c r="D34" s="2843"/>
      <c r="E34" s="198">
        <f t="shared" ref="E34:E39" ca="1" si="7">ROUND(C34*D34/10000,0)</f>
        <v>0</v>
      </c>
      <c r="F34" s="198">
        <f>SUMIF(修正!A45:A56,G2,修正!C45:C56)</f>
        <v>0.4</v>
      </c>
      <c r="G34" s="198">
        <f t="shared" ca="1" si="6"/>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9"/>
      <c r="B35" s="2763" t="s">
        <v>2934</v>
      </c>
      <c r="C35" s="204">
        <f ca="1">ROUND(D5*C19*C20*C24*F35,0)</f>
        <v>0</v>
      </c>
      <c r="D35" s="2843"/>
      <c r="E35" s="198">
        <f t="shared" ca="1" si="7"/>
        <v>0</v>
      </c>
      <c r="F35" s="198">
        <f>SUMIF(修正!A45:A56,G2,修正!D45:D56)</f>
        <v>0.28000000000000003</v>
      </c>
      <c r="G35" s="198">
        <f t="shared" ca="1" si="6"/>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8" thickBot="1">
      <c r="A36" s="3290"/>
      <c r="B36" s="2763" t="s">
        <v>2935</v>
      </c>
      <c r="C36" s="204">
        <f ca="1">ROUND(D5*C19*C20*C24*F36,0)</f>
        <v>0</v>
      </c>
      <c r="D36" s="2843"/>
      <c r="E36" s="198">
        <f t="shared" ca="1" si="7"/>
        <v>0</v>
      </c>
      <c r="F36" s="198">
        <f>SUMIF(修正!A45:A56,G2,修正!E45:E56)</f>
        <v>0.25</v>
      </c>
      <c r="G36" s="198">
        <f t="shared" ca="1" si="6"/>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0</v>
      </c>
      <c r="D37" s="2843"/>
      <c r="E37" s="198">
        <f t="shared" ca="1" si="7"/>
        <v>0</v>
      </c>
      <c r="F37" s="204">
        <f>SUMIF(修正!A45:A56,G2,修正!F45:F56)</f>
        <v>0.25</v>
      </c>
      <c r="G37" s="198">
        <f t="shared" ca="1" si="6"/>
        <v>0</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0</v>
      </c>
      <c r="D38" s="2843"/>
      <c r="E38" s="198">
        <f t="shared" ca="1" si="7"/>
        <v>0</v>
      </c>
      <c r="F38" s="204">
        <f>SUMIF(修正!A45:A56,G2,修正!G45:G56)</f>
        <v>0.25</v>
      </c>
      <c r="G38" s="198">
        <f t="shared" ca="1" si="6"/>
        <v>0</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8" thickBot="1">
      <c r="A39" s="2847"/>
      <c r="B39" s="2865" t="s">
        <v>2940</v>
      </c>
      <c r="C39" s="227">
        <f ca="1">ROUND(C5*C19*C20*C24*F39,0)</f>
        <v>0</v>
      </c>
      <c r="D39" s="2849"/>
      <c r="E39" s="227">
        <f t="shared" ca="1" si="7"/>
        <v>0</v>
      </c>
      <c r="F39" s="932">
        <f>SUMIF(修正!A45:A56,G2,修正!H45:H56)</f>
        <v>0.2</v>
      </c>
      <c r="G39" s="227" t="e">
        <f t="shared" si="6"/>
        <v>#DIV/0!</v>
      </c>
      <c r="H39" s="227">
        <f t="shared" si="8"/>
        <v>0</v>
      </c>
      <c r="I39" s="227" t="e">
        <f t="shared" si="9"/>
        <v>#DIV/0!</v>
      </c>
      <c r="J39" s="2866"/>
      <c r="K39" s="1369"/>
      <c r="L39" s="2867" t="s">
        <v>2882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4.4">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5.2">
      <c r="A47" s="2876" t="s">
        <v>2943</v>
      </c>
      <c r="B47" s="1807" t="s">
        <v>2944</v>
      </c>
      <c r="C47" s="1807" t="s">
        <v>2945</v>
      </c>
      <c r="D47" s="1807" t="s">
        <v>2946</v>
      </c>
      <c r="E47" s="816" t="s">
        <v>2947</v>
      </c>
      <c r="F47" s="2877" t="s">
        <v>2948</v>
      </c>
      <c r="G47" s="1807" t="s">
        <v>754</v>
      </c>
      <c r="H47" s="2878" t="s">
        <v>2949</v>
      </c>
      <c r="I47" s="1807" t="s">
        <v>2950</v>
      </c>
      <c r="J47" s="601" t="s">
        <v>2598</v>
      </c>
      <c r="K47" s="601" t="s">
        <v>2599</v>
      </c>
      <c r="L47" s="601" t="s">
        <v>2600</v>
      </c>
      <c r="M47" s="601" t="s">
        <v>2601</v>
      </c>
      <c r="N47" s="601" t="s">
        <v>2602</v>
      </c>
      <c r="AA47" s="1370"/>
      <c r="AB47" s="1370"/>
      <c r="AC47" s="1370"/>
      <c r="AD47" s="1370"/>
      <c r="AE47" s="1370"/>
      <c r="AF47" s="1370"/>
      <c r="AG47" s="1370"/>
      <c r="AH47" s="1370"/>
      <c r="AI47" s="1370"/>
      <c r="AJ47" s="1370"/>
      <c r="AK47" s="1370"/>
    </row>
    <row r="48" spans="1:37" s="1369" customFormat="1" ht="66">
      <c r="A48" s="2876" t="s">
        <v>2951</v>
      </c>
      <c r="B48" s="2879" t="str">
        <f>估价对象房地状况!C4</f>
        <v>估价对象位于通州运河核心区，周边商业氛围成熟度一般，人流量一般，商业繁华度一般。</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9.2">
      <c r="A49" s="2876" t="s">
        <v>2952</v>
      </c>
      <c r="B49" s="2880" t="str">
        <f>估价对象房地状况!C18</f>
        <v>附近主要有317路、552路、809、通49路等公交线路，紧邻地铁6号线，路网密集度较好，交通便捷度较好。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6.4">
      <c r="A52" s="2876" t="s">
        <v>2956</v>
      </c>
      <c r="B52" s="2880" t="str">
        <f>估价对象房地状况!C24</f>
        <v>城市支路——永顺南街</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18.8">
      <c r="A54" s="2883" t="s">
        <v>2959</v>
      </c>
      <c r="B54" s="1723" t="str">
        <f>估价对象房地状况!C21</f>
        <v>估价对象周边有银行（兴业银行（北京通州运河支行）等）、医院（北京京通医院等）、超市（隆品源超市等）、学校（北京通州芙蓉小学等），公共配套设施齐备情况较好。</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3" t="s">
        <v>2960</v>
      </c>
      <c r="B55" s="2880" t="str">
        <f>估价对象房地状况!C22</f>
        <v>七通。</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93" thickBot="1">
      <c r="A56" s="2884" t="s">
        <v>2961</v>
      </c>
      <c r="B56" s="2885" t="str">
        <f>估价对象房地状况!C20</f>
        <v>估价对象周边有水系、运河奥体公园，自然环境较好；周边有大运河美术馆等人文设施，人文环境较好；综合评价环境状况较好。</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6" t="s">
        <v>2943</v>
      </c>
      <c r="B58" s="1807"/>
      <c r="C58" s="1807" t="s">
        <v>2945</v>
      </c>
      <c r="D58" s="1807" t="s">
        <v>2946</v>
      </c>
      <c r="E58" s="816" t="s">
        <v>2947</v>
      </c>
      <c r="F58" s="2877" t="s">
        <v>2963</v>
      </c>
      <c r="G58" s="1807" t="s">
        <v>754</v>
      </c>
      <c r="H58" s="2878" t="s">
        <v>2949</v>
      </c>
      <c r="I58" s="1807" t="s">
        <v>2950</v>
      </c>
      <c r="J58" s="601" t="s">
        <v>2598</v>
      </c>
      <c r="K58" s="601" t="s">
        <v>2599</v>
      </c>
      <c r="L58" s="601" t="s">
        <v>2600</v>
      </c>
      <c r="M58" s="601" t="s">
        <v>2601</v>
      </c>
      <c r="N58" s="601" t="s">
        <v>2602</v>
      </c>
      <c r="AA58" s="1370"/>
      <c r="AB58" s="1370"/>
      <c r="AC58" s="1370"/>
      <c r="AD58" s="1370"/>
      <c r="AE58" s="1370"/>
      <c r="AF58" s="1370"/>
      <c r="AG58" s="1370"/>
      <c r="AH58" s="1370"/>
      <c r="AI58" s="1370"/>
      <c r="AJ58" s="1370"/>
      <c r="AK58" s="1370"/>
    </row>
    <row r="59" spans="1:37" s="1369" customFormat="1" ht="66">
      <c r="A59" s="2876" t="s">
        <v>2964</v>
      </c>
      <c r="B59" s="2879" t="str">
        <f>估价对象房地状况!C17</f>
        <v>估价对象位于通州运河核心区，周边办公楼项目数量一般，入驻率一般，办公集聚程度一般。</v>
      </c>
      <c r="C59" s="2768"/>
      <c r="D59" s="1285">
        <f t="shared" ref="D59:D67" si="15">SUMIF($J$58:$N$58,C59,J59:N59)</f>
        <v>0</v>
      </c>
      <c r="E59" s="818">
        <f>ROUND(SUM(D59:D67),4)</f>
        <v>0</v>
      </c>
      <c r="F59" s="2499">
        <f>IF(E2="办公",SUMIF(L1:L12,G2,N1:N12),"——")</f>
        <v>0.123</v>
      </c>
      <c r="G59" s="1283"/>
      <c r="H59" s="1287">
        <f t="shared" ref="H59:H67" si="16">IFERROR(ROUNDDOWN($F$59*I59/2,4),"——")</f>
        <v>1.47E-2</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9.2">
      <c r="A60" s="2876" t="s">
        <v>2952</v>
      </c>
      <c r="B60" s="2880" t="str">
        <f>估价对象房地状况!C18</f>
        <v>附近主要有317路、552路、809、通49路等公交线路，紧邻地铁6号线，路网密集度较好，交通便捷度较好。</v>
      </c>
      <c r="C60" s="2768"/>
      <c r="D60" s="1285">
        <f t="shared" si="15"/>
        <v>0</v>
      </c>
      <c r="E60" s="819"/>
      <c r="F60" s="2499"/>
      <c r="G60" s="1283"/>
      <c r="H60" s="1287">
        <f t="shared" si="16"/>
        <v>1.84E-2</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4.8999999999999998E-3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6" t="s">
        <v>2954</v>
      </c>
      <c r="B62" s="2881" t="s">
        <v>2955</v>
      </c>
      <c r="C62" s="2768"/>
      <c r="D62" s="1285">
        <f t="shared" si="15"/>
        <v>0</v>
      </c>
      <c r="E62" s="819"/>
      <c r="F62" s="2499"/>
      <c r="G62" s="1283"/>
      <c r="H62" s="1287">
        <f t="shared" si="16"/>
        <v>2.3999999999999998E-3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6.4">
      <c r="A63" s="2876" t="s">
        <v>2956</v>
      </c>
      <c r="B63" s="2880" t="str">
        <f>估价对象房地状况!C24</f>
        <v>城市支路——永顺南街</v>
      </c>
      <c r="C63" s="2768"/>
      <c r="D63" s="1285">
        <f t="shared" si="15"/>
        <v>0</v>
      </c>
      <c r="E63" s="819"/>
      <c r="F63" s="2499"/>
      <c r="G63" s="1283"/>
      <c r="H63" s="1287">
        <f t="shared" si="16"/>
        <v>3.0000000000000001E-3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6" t="s">
        <v>2957</v>
      </c>
      <c r="B64" s="2882" t="s">
        <v>2958</v>
      </c>
      <c r="C64" s="2768"/>
      <c r="D64" s="1285">
        <f t="shared" si="15"/>
        <v>0</v>
      </c>
      <c r="E64" s="819"/>
      <c r="F64" s="2499"/>
      <c r="G64" s="1283"/>
      <c r="H64" s="1287">
        <f t="shared" si="16"/>
        <v>3.0000000000000001E-3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118.8">
      <c r="A65" s="2876" t="s">
        <v>2959</v>
      </c>
      <c r="B65" s="1723" t="str">
        <f>估价对象房地状况!C21</f>
        <v>估价对象周边有银行（兴业银行（北京通州运河支行）等）、医院（北京京通医院等）、超市（隆品源超市等）、学校（北京通州芙蓉小学等），公共配套设施齐备情况较好。</v>
      </c>
      <c r="C65" s="2768"/>
      <c r="D65" s="1285">
        <f t="shared" si="15"/>
        <v>0</v>
      </c>
      <c r="E65" s="819"/>
      <c r="F65" s="2499"/>
      <c r="G65" s="1283"/>
      <c r="H65" s="1287">
        <f t="shared" si="16"/>
        <v>3.5999999999999999E-3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6" t="s">
        <v>2960</v>
      </c>
      <c r="B66" s="1723" t="str">
        <f>估价对象房地状况!C22</f>
        <v>七通。</v>
      </c>
      <c r="C66" s="2768"/>
      <c r="D66" s="1285">
        <f t="shared" si="15"/>
        <v>0</v>
      </c>
      <c r="E66" s="819"/>
      <c r="F66" s="2499"/>
      <c r="G66" s="1283"/>
      <c r="H66" s="1287">
        <f t="shared" si="16"/>
        <v>7.3000000000000001E-3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93" thickBot="1">
      <c r="A67" s="2884" t="s">
        <v>2961</v>
      </c>
      <c r="B67" s="2886" t="str">
        <f>估价对象房地状况!C20</f>
        <v>估价对象周边有水系、运河奥体公园，自然环境较好；周边有大运河美术馆等人文设施，人文环境较好；综合评价环境状况较好。</v>
      </c>
      <c r="C67" s="2768"/>
      <c r="D67" s="1285">
        <f t="shared" si="15"/>
        <v>0</v>
      </c>
      <c r="E67" s="822"/>
      <c r="F67" s="2499"/>
      <c r="G67" s="1283"/>
      <c r="H67" s="1287">
        <f t="shared" si="16"/>
        <v>3.5999999999999999E-3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6" t="s">
        <v>2943</v>
      </c>
      <c r="B69" s="1807"/>
      <c r="C69" s="1807" t="s">
        <v>2945</v>
      </c>
      <c r="D69" s="1807" t="s">
        <v>2946</v>
      </c>
      <c r="E69" s="816" t="s">
        <v>2947</v>
      </c>
      <c r="F69" s="2877" t="s">
        <v>2963</v>
      </c>
      <c r="G69" s="1807" t="s">
        <v>754</v>
      </c>
      <c r="H69" s="2878" t="s">
        <v>2949</v>
      </c>
      <c r="I69" s="1807" t="s">
        <v>2950</v>
      </c>
      <c r="J69" s="601" t="s">
        <v>2598</v>
      </c>
      <c r="K69" s="601" t="s">
        <v>2599</v>
      </c>
      <c r="L69" s="601" t="s">
        <v>2600</v>
      </c>
      <c r="M69" s="601" t="s">
        <v>2601</v>
      </c>
      <c r="N69" s="601" t="s">
        <v>2602</v>
      </c>
      <c r="AA69" s="1370"/>
      <c r="AB69" s="1370"/>
      <c r="AC69" s="1370"/>
      <c r="AD69" s="1370"/>
      <c r="AE69" s="1370"/>
      <c r="AF69" s="1370"/>
      <c r="AG69" s="1370"/>
      <c r="AH69" s="1370"/>
      <c r="AI69" s="1370"/>
      <c r="AJ69" s="1370"/>
      <c r="AK69" s="1370"/>
    </row>
    <row r="70" spans="1:37" s="1369" customFormat="1" ht="66">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9.2">
      <c r="A71" s="2876" t="s">
        <v>2952</v>
      </c>
      <c r="B71" s="2880" t="str">
        <f>估价对象房地状况!C18</f>
        <v>附近主要有317路、552路、809、通49路等公交线路，紧邻地铁6号线，路网密集度较好，交通便捷度较好。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26.4">
      <c r="A73" s="2876" t="s">
        <v>2967</v>
      </c>
      <c r="B73" s="2880" t="str">
        <f>估价对象房地状况!C24</f>
        <v>城市支路——永顺南街</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118.8">
      <c r="A74" s="2876" t="s">
        <v>2959</v>
      </c>
      <c r="B74" s="1723" t="str">
        <f>估价对象房地状况!C21</f>
        <v>估价对象周边有银行（兴业银行（北京通州运河支行）等）、医院（北京京通医院等）、超市（隆品源超市等）、学校（北京通州芙蓉小学等），公共配套设施齐备情况较好。</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6" t="s">
        <v>2960</v>
      </c>
      <c r="B75" s="1723" t="str">
        <f>估价对象房地状况!C22</f>
        <v>七通。</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36">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92.4">
      <c r="A77" s="2876" t="s">
        <v>2961</v>
      </c>
      <c r="B77" s="2879" t="str">
        <f>估价对象房地状况!C20</f>
        <v>估价对象周边有水系、运河奥体公园，自然环境较好；周边有大运河美术馆等人文设施，人文环境较好；综合评价环境状况较好。</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36.6"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4.4">
      <c r="A79" s="2872" t="s">
        <v>2969</v>
      </c>
      <c r="B79" s="2873">
        <f>1+E81</f>
        <v>1</v>
      </c>
      <c r="C79" s="811"/>
      <c r="D79" s="811"/>
      <c r="E79" s="812"/>
      <c r="F79" s="2875"/>
      <c r="G79" s="6"/>
      <c r="H79" s="6"/>
      <c r="I79" s="6"/>
      <c r="J79" s="7"/>
      <c r="K79" s="7"/>
      <c r="L79" s="7"/>
      <c r="M79" s="7"/>
      <c r="N79" s="7"/>
      <c r="Z79" s="2718"/>
      <c r="AA79" s="2794"/>
      <c r="AG79" s="1371"/>
      <c r="AK79" s="2794"/>
    </row>
    <row r="80" spans="1:37" ht="25.2">
      <c r="A80" s="2876" t="s">
        <v>2943</v>
      </c>
      <c r="B80" s="1807"/>
      <c r="C80" s="1807" t="s">
        <v>2945</v>
      </c>
      <c r="D80" s="1807" t="s">
        <v>2946</v>
      </c>
      <c r="E80" s="816" t="s">
        <v>2947</v>
      </c>
      <c r="F80" s="2877" t="s">
        <v>2963</v>
      </c>
      <c r="G80" s="1807" t="s">
        <v>754</v>
      </c>
      <c r="H80" s="2878" t="s">
        <v>2949</v>
      </c>
      <c r="I80" s="1807" t="s">
        <v>2950</v>
      </c>
      <c r="J80" s="601" t="s">
        <v>2598</v>
      </c>
      <c r="K80" s="601" t="s">
        <v>2599</v>
      </c>
      <c r="L80" s="601" t="s">
        <v>2600</v>
      </c>
      <c r="M80" s="601" t="s">
        <v>2601</v>
      </c>
      <c r="N80" s="601" t="s">
        <v>2602</v>
      </c>
      <c r="Z80" s="2718"/>
      <c r="AA80" s="2794"/>
      <c r="AG80" s="1371"/>
      <c r="AK80" s="2794"/>
    </row>
    <row r="81" spans="1:37" ht="39.6">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66">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3.8">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6.4">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6.4">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36">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53.4"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82" t="s">
        <v>2973</v>
      </c>
      <c r="B90" s="3282"/>
      <c r="C90" s="3282"/>
      <c r="D90" s="3282"/>
      <c r="E90" s="3282"/>
      <c r="F90" s="3282"/>
      <c r="G90" s="3282"/>
      <c r="H90" s="3282"/>
      <c r="I90" s="3282"/>
      <c r="J90" s="3282"/>
      <c r="K90" s="2890"/>
      <c r="L90" s="2890"/>
      <c r="M90" s="2890"/>
      <c r="N90" s="2890"/>
    </row>
    <row r="91" spans="1:37">
      <c r="A91" s="3284" t="s">
        <v>2974</v>
      </c>
      <c r="B91" s="3284" t="s">
        <v>2975</v>
      </c>
      <c r="C91" s="2844" t="s">
        <v>2976</v>
      </c>
      <c r="D91" s="2845"/>
      <c r="E91" s="2845"/>
      <c r="F91" s="2845"/>
      <c r="G91" s="2845"/>
      <c r="H91" s="2845"/>
      <c r="I91" s="2845"/>
      <c r="J91" s="2891"/>
      <c r="K91" s="2892"/>
      <c r="L91" s="2892"/>
      <c r="M91" s="2892"/>
      <c r="N91" s="2892"/>
    </row>
    <row r="92" spans="1:37">
      <c r="A92" s="3284"/>
      <c r="B92" s="328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85"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6"/>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5" t="s">
        <v>2978</v>
      </c>
      <c r="B101" s="2897" t="s">
        <v>2979</v>
      </c>
      <c r="C101" s="2898">
        <f>$G$3</f>
        <v>8.02</v>
      </c>
      <c r="D101" s="2898">
        <f t="shared" ref="D101:N101" si="31">$G$3</f>
        <v>8.02</v>
      </c>
      <c r="E101" s="2898">
        <f t="shared" si="31"/>
        <v>8.02</v>
      </c>
      <c r="F101" s="2898">
        <f t="shared" si="31"/>
        <v>8.02</v>
      </c>
      <c r="G101" s="2898">
        <f t="shared" si="31"/>
        <v>8.02</v>
      </c>
      <c r="H101" s="2898">
        <f t="shared" si="31"/>
        <v>8.02</v>
      </c>
      <c r="I101" s="2898">
        <f t="shared" si="31"/>
        <v>8.02</v>
      </c>
      <c r="J101" s="2898">
        <f t="shared" si="31"/>
        <v>8.02</v>
      </c>
      <c r="K101" s="2898">
        <f t="shared" si="31"/>
        <v>8.02</v>
      </c>
      <c r="L101" s="2898">
        <f t="shared" si="31"/>
        <v>8.02</v>
      </c>
      <c r="M101" s="2898">
        <f t="shared" si="31"/>
        <v>8.02</v>
      </c>
      <c r="N101" s="2898">
        <f t="shared" si="31"/>
        <v>8.02</v>
      </c>
    </row>
    <row r="102" spans="1:14">
      <c r="A102" s="3286"/>
      <c r="B102" s="2893">
        <v>1</v>
      </c>
      <c r="C102" s="2894">
        <f>1.9362/C101</f>
        <v>0.24142144638403989</v>
      </c>
      <c r="D102" s="2894">
        <f>1.9362/D101</f>
        <v>0.24142144638403989</v>
      </c>
      <c r="E102" s="2894">
        <f>1.8629/E101</f>
        <v>0.23228179551122197</v>
      </c>
      <c r="F102" s="2894">
        <f>1.8629/F101</f>
        <v>0.23228179551122197</v>
      </c>
      <c r="G102" s="2894">
        <f>1.8629/G101</f>
        <v>0.23228179551122197</v>
      </c>
      <c r="H102" s="2894">
        <f>1.8629/H101</f>
        <v>0.23228179551122197</v>
      </c>
      <c r="I102" s="2894">
        <f>1.8629/I101</f>
        <v>0.23228179551122197</v>
      </c>
      <c r="J102" s="2894">
        <f>1.942/J101</f>
        <v>0.24214463840399003</v>
      </c>
      <c r="K102" s="2894">
        <f>1.942/K101</f>
        <v>0.24214463840399003</v>
      </c>
      <c r="L102" s="2894">
        <f>1.942/L101</f>
        <v>0.24214463840399003</v>
      </c>
      <c r="M102" s="2894">
        <f>1.942/M101</f>
        <v>0.24214463840399003</v>
      </c>
      <c r="N102" s="2894">
        <f>1.942/N101</f>
        <v>0.24214463840399003</v>
      </c>
    </row>
    <row r="103" spans="1:14">
      <c r="A103" s="3286"/>
      <c r="B103" s="2893">
        <v>2</v>
      </c>
      <c r="C103" s="2894">
        <f>1.4198/C101</f>
        <v>0.17703241895261845</v>
      </c>
      <c r="D103" s="2894">
        <f>1.4198/D101</f>
        <v>0.17703241895261845</v>
      </c>
      <c r="E103" s="2894">
        <f>1.3372/E101</f>
        <v>0.16673316708229427</v>
      </c>
      <c r="F103" s="2894">
        <f>1.3372/F101</f>
        <v>0.16673316708229427</v>
      </c>
      <c r="G103" s="2894">
        <f>1.3372/G101</f>
        <v>0.16673316708229427</v>
      </c>
      <c r="H103" s="2894">
        <f>1.3372/H101</f>
        <v>0.16673316708229427</v>
      </c>
      <c r="I103" s="2894">
        <f>1.3372/I101</f>
        <v>0.16673316708229427</v>
      </c>
      <c r="J103" s="2894">
        <f>1.2799/J101</f>
        <v>0.15958852867830425</v>
      </c>
      <c r="K103" s="2894">
        <f>1.2799/K101</f>
        <v>0.15958852867830425</v>
      </c>
      <c r="L103" s="2894">
        <f>1.2799/L101</f>
        <v>0.15958852867830425</v>
      </c>
      <c r="M103" s="2894">
        <f>1.2799/M101</f>
        <v>0.15958852867830425</v>
      </c>
      <c r="N103" s="2894">
        <f>1.2799/N101</f>
        <v>0.15958852867830425</v>
      </c>
    </row>
    <row r="104" spans="1:14">
      <c r="A104" s="3286"/>
      <c r="B104" s="2893">
        <v>3</v>
      </c>
      <c r="C104" s="2894">
        <f>1.1594/C101</f>
        <v>0.1445635910224439</v>
      </c>
      <c r="D104" s="2894">
        <f>1.1594/D101</f>
        <v>0.1445635910224439</v>
      </c>
      <c r="E104" s="2894">
        <f>1.0788/E101</f>
        <v>0.13451371571072321</v>
      </c>
      <c r="F104" s="2894">
        <f>1.0788/F101</f>
        <v>0.13451371571072321</v>
      </c>
      <c r="G104" s="2894">
        <f>1.0788/G101</f>
        <v>0.13451371571072321</v>
      </c>
      <c r="H104" s="2894">
        <f>1.0788/H101</f>
        <v>0.13451371571072321</v>
      </c>
      <c r="I104" s="2894">
        <f>1.0788/I101</f>
        <v>0.13451371571072321</v>
      </c>
      <c r="J104" s="2894">
        <f>1.0072/J101</f>
        <v>0.12558603491271822</v>
      </c>
      <c r="K104" s="2894">
        <f>1.0072/K101</f>
        <v>0.12558603491271822</v>
      </c>
      <c r="L104" s="2894">
        <f>1.0072/L101</f>
        <v>0.12558603491271822</v>
      </c>
      <c r="M104" s="2894">
        <f>1.0072/M101</f>
        <v>0.12558603491271822</v>
      </c>
      <c r="N104" s="2894">
        <f>1.0072/N101</f>
        <v>0.12558603491271822</v>
      </c>
    </row>
    <row r="105" spans="1:14">
      <c r="A105" s="3286"/>
      <c r="B105" s="2893">
        <v>4</v>
      </c>
      <c r="C105" s="2894">
        <f>0.9622/C101</f>
        <v>0.11997506234413967</v>
      </c>
      <c r="D105" s="2894">
        <f>0.9622/D101</f>
        <v>0.11997506234413967</v>
      </c>
      <c r="E105" s="2894">
        <f>0.8656/E101</f>
        <v>0.10793017456359104</v>
      </c>
      <c r="F105" s="2894">
        <f>0.8656/F101</f>
        <v>0.10793017456359104</v>
      </c>
      <c r="G105" s="2894">
        <f>0.8656/G101</f>
        <v>0.10793017456359104</v>
      </c>
      <c r="H105" s="2894">
        <f>0.8656/H101</f>
        <v>0.10793017456359104</v>
      </c>
      <c r="I105" s="2894">
        <f>0.8656/I101</f>
        <v>0.10793017456359104</v>
      </c>
      <c r="J105" s="2894">
        <f>0.7525/J101</f>
        <v>9.382793017456359E-2</v>
      </c>
      <c r="K105" s="2894">
        <f>0.7525/K101</f>
        <v>9.382793017456359E-2</v>
      </c>
      <c r="L105" s="2894">
        <f>0.7525/L101</f>
        <v>9.382793017456359E-2</v>
      </c>
      <c r="M105" s="2894">
        <f>0.7525/M101</f>
        <v>9.382793017456359E-2</v>
      </c>
      <c r="N105" s="2894">
        <f>0.7525/N101</f>
        <v>9.382793017456359E-2</v>
      </c>
    </row>
    <row r="106" spans="1:14">
      <c r="A106" s="3286"/>
      <c r="B106" s="2893">
        <v>5</v>
      </c>
      <c r="C106" s="2894">
        <f>0.8417/C101</f>
        <v>0.10495012468827931</v>
      </c>
      <c r="D106" s="2894">
        <f>0.8417/D101</f>
        <v>0.10495012468827931</v>
      </c>
      <c r="E106" s="2894">
        <f>0.7371/E101</f>
        <v>9.1907730673316715E-2</v>
      </c>
      <c r="F106" s="2894">
        <f>0.7371/F101</f>
        <v>9.1907730673316715E-2</v>
      </c>
      <c r="G106" s="2894">
        <f>0.7371/G101</f>
        <v>9.1907730673316715E-2</v>
      </c>
      <c r="H106" s="2894">
        <f>0.7371/H101</f>
        <v>9.1907730673316715E-2</v>
      </c>
      <c r="I106" s="2894">
        <f>0.7371/I101</f>
        <v>9.1907730673316715E-2</v>
      </c>
      <c r="J106" s="2894">
        <f>0.5659/J101</f>
        <v>7.0561097256857858E-2</v>
      </c>
      <c r="K106" s="2894">
        <f>0.5659/K101</f>
        <v>7.0561097256857858E-2</v>
      </c>
      <c r="L106" s="2894">
        <f>0.5659/L101</f>
        <v>7.0561097256857858E-2</v>
      </c>
      <c r="M106" s="2894">
        <f>0.5659/M101</f>
        <v>7.0561097256857858E-2</v>
      </c>
      <c r="N106" s="2894">
        <f>0.5659/N101</f>
        <v>7.0561097256857858E-2</v>
      </c>
    </row>
    <row r="107" spans="1:14">
      <c r="A107" s="3286"/>
      <c r="B107" s="2893">
        <v>6</v>
      </c>
      <c r="C107" s="2894">
        <f>0.7608/C101</f>
        <v>9.4862842892768084E-2</v>
      </c>
      <c r="D107" s="2894">
        <f>0.7608/D101</f>
        <v>9.4862842892768084E-2</v>
      </c>
      <c r="E107" s="2894">
        <f>0.6482/E101</f>
        <v>8.0822942643391529E-2</v>
      </c>
      <c r="F107" s="2894">
        <f>0.6482/F101</f>
        <v>8.0822942643391529E-2</v>
      </c>
      <c r="G107" s="2894">
        <f>0.6482/G101</f>
        <v>8.0822942643391529E-2</v>
      </c>
      <c r="H107" s="2894">
        <f>0.6482/H101</f>
        <v>8.0822942643391529E-2</v>
      </c>
      <c r="I107" s="2894">
        <f>0.6482/I101</f>
        <v>8.0822942643391529E-2</v>
      </c>
      <c r="J107" s="2894">
        <f>0.4525/J101</f>
        <v>5.6421446384039904E-2</v>
      </c>
      <c r="K107" s="2894">
        <f>0.4525/K101</f>
        <v>5.6421446384039904E-2</v>
      </c>
      <c r="L107" s="2894">
        <f>0.4525/L101</f>
        <v>5.6421446384039904E-2</v>
      </c>
      <c r="M107" s="2894">
        <f>0.4525/M101</f>
        <v>5.6421446384039904E-2</v>
      </c>
      <c r="N107" s="2894">
        <f>0.4525/N101</f>
        <v>5.6421446384039904E-2</v>
      </c>
    </row>
    <row r="108" spans="1:14">
      <c r="A108" s="3286"/>
      <c r="B108" s="3106"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7"/>
      <c r="B109" s="3107"/>
      <c r="C109" s="2896">
        <f>(-0.163*(C108^2)-0.59*C108+7617)*(10^(-4))/C101</f>
        <v>9.497506234413966E-2</v>
      </c>
      <c r="D109" s="2896">
        <f>(-0.163*(D108^2)-0.59*D108+7617)*(10^(-4))/D101</f>
        <v>9.497506234413966E-2</v>
      </c>
      <c r="E109" s="2896">
        <f>(-0.161*(E108^2)-7.509*E108+6533)*(10^(-4))/E101</f>
        <v>8.1458852867830431E-2</v>
      </c>
      <c r="F109" s="2896">
        <f>(-0.161*(F108^2)-7.509*F108+6533)*(10^(-4))/F101</f>
        <v>8.1458852867830431E-2</v>
      </c>
      <c r="G109" s="2896">
        <f>(-0.161*(G108^2)-7.509*G108+6533)*(10^(-4))/G101</f>
        <v>8.1458852867830431E-2</v>
      </c>
      <c r="H109" s="2896">
        <f>(-0.161*(H108^2)-7.509*H108+6533)*(10^(-4))/H101</f>
        <v>8.1458852867830431E-2</v>
      </c>
      <c r="I109" s="2896">
        <f>(-0.161*(I108^2)-7.509*I108+6533)*(10^(-4))/I101</f>
        <v>8.1458852867830431E-2</v>
      </c>
      <c r="J109" s="2896">
        <f>(-0.214*(J108^2)-21.991*J108+4665)*(10^(-4))/J101</f>
        <v>5.8167082294264344E-2</v>
      </c>
      <c r="K109" s="2896">
        <f>(-0.214*(K108^2)-21.991*K108+4665)*(10^(-4))/K101</f>
        <v>5.8167082294264344E-2</v>
      </c>
      <c r="L109" s="2896">
        <f>(-0.214*(L108^2)-21.991*L108+4665)*(10^(-4))/L101</f>
        <v>5.8167082294264344E-2</v>
      </c>
      <c r="M109" s="2896">
        <f>(-0.214*(M108^2)-21.991*M108+4665)*(10^(-4))/M101</f>
        <v>5.8167082294264344E-2</v>
      </c>
      <c r="N109" s="2896">
        <f>(-0.214*(N108^2)-21.991*N108+4665)*(10^(-4))/N101</f>
        <v>5.8167082294264344E-2</v>
      </c>
    </row>
    <row r="110" spans="1:14">
      <c r="A110" s="3283" t="s">
        <v>2981</v>
      </c>
      <c r="B110" s="3283"/>
      <c r="C110" s="3283"/>
      <c r="D110" s="3283"/>
      <c r="E110" s="3283"/>
      <c r="F110" s="3283"/>
      <c r="G110" s="3283"/>
      <c r="H110" s="3283"/>
      <c r="I110" s="3283"/>
      <c r="J110" s="3283"/>
      <c r="K110" s="2899"/>
      <c r="L110" s="2899"/>
      <c r="M110" s="2899"/>
      <c r="N110" s="2899"/>
    </row>
    <row r="112" spans="1:14" ht="13.8" thickBot="1"/>
    <row r="113" spans="1:13" ht="25.8" thickBot="1">
      <c r="A113" s="900" t="s">
        <v>2982</v>
      </c>
      <c r="B113" s="1286">
        <f>G3</f>
        <v>8.02</v>
      </c>
      <c r="C113" s="901" t="s">
        <v>2983</v>
      </c>
      <c r="D113" s="902">
        <f>SUMPRODUCT((A115:A118=F113)*(B114:M114=H113)*B115:M118)</f>
        <v>0.75239999999999996</v>
      </c>
      <c r="E113" s="2722" t="s">
        <v>2814</v>
      </c>
      <c r="F113" s="2901" t="str">
        <f>E2</f>
        <v>办公</v>
      </c>
      <c r="G113" s="2722" t="s">
        <v>2815</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2879</v>
      </c>
      <c r="B115" s="907">
        <f>ROUND(0.9335-0.0094*B113,4)</f>
        <v>0.85809999999999997</v>
      </c>
      <c r="C115" s="907">
        <f>B115</f>
        <v>0.85809999999999997</v>
      </c>
      <c r="D115" s="907">
        <f>ROUND(0.8331-0.0109*B113,4)</f>
        <v>0.74570000000000003</v>
      </c>
      <c r="E115" s="907">
        <f>D115</f>
        <v>0.74570000000000003</v>
      </c>
      <c r="F115" s="907">
        <f>E115</f>
        <v>0.74570000000000003</v>
      </c>
      <c r="G115" s="907">
        <f>F115</f>
        <v>0.74570000000000003</v>
      </c>
      <c r="H115" s="907">
        <f>G115</f>
        <v>0.74570000000000003</v>
      </c>
      <c r="I115" s="907">
        <f>ROUND(0.689-0.0155*B113,4)</f>
        <v>0.56469999999999998</v>
      </c>
      <c r="J115" s="907">
        <f t="shared" ref="J115:M118" si="33">I115</f>
        <v>0.56469999999999998</v>
      </c>
      <c r="K115" s="907">
        <f t="shared" si="33"/>
        <v>0.56469999999999998</v>
      </c>
      <c r="L115" s="907">
        <f t="shared" si="33"/>
        <v>0.56469999999999998</v>
      </c>
      <c r="M115" s="908">
        <f t="shared" si="33"/>
        <v>0.56469999999999998</v>
      </c>
    </row>
    <row r="116" spans="1:13">
      <c r="A116" s="906" t="s">
        <v>2880</v>
      </c>
      <c r="B116" s="907">
        <f>ROUND(0.949-0.012*B113,4)</f>
        <v>0.8528</v>
      </c>
      <c r="C116" s="907">
        <f>B116</f>
        <v>0.8528</v>
      </c>
      <c r="D116" s="907">
        <f>ROUND(0.8567-0.013*B113,4)</f>
        <v>0.75239999999999996</v>
      </c>
      <c r="E116" s="907">
        <f t="shared" ref="E116:H117" si="34">D116</f>
        <v>0.75239999999999996</v>
      </c>
      <c r="F116" s="907">
        <f t="shared" si="34"/>
        <v>0.75239999999999996</v>
      </c>
      <c r="G116" s="907">
        <f t="shared" si="34"/>
        <v>0.75239999999999996</v>
      </c>
      <c r="H116" s="907">
        <f t="shared" si="34"/>
        <v>0.75239999999999996</v>
      </c>
      <c r="I116" s="907">
        <f>ROUND(0.7694-0.014*B113,4)</f>
        <v>0.65710000000000002</v>
      </c>
      <c r="J116" s="907">
        <f t="shared" si="33"/>
        <v>0.65710000000000002</v>
      </c>
      <c r="K116" s="907">
        <f t="shared" si="33"/>
        <v>0.65710000000000002</v>
      </c>
      <c r="L116" s="907">
        <f t="shared" si="33"/>
        <v>0.65710000000000002</v>
      </c>
      <c r="M116" s="908">
        <f t="shared" si="33"/>
        <v>0.65710000000000002</v>
      </c>
    </row>
    <row r="117" spans="1:13">
      <c r="A117" s="906" t="s">
        <v>2881</v>
      </c>
      <c r="B117" s="907">
        <f>ROUND(0.8808-0.006*B113,4)</f>
        <v>0.8327</v>
      </c>
      <c r="C117" s="907">
        <f>B117</f>
        <v>0.8327</v>
      </c>
      <c r="D117" s="907">
        <f>ROUND(0.8748-0.008*B113,4)</f>
        <v>0.81059999999999999</v>
      </c>
      <c r="E117" s="907">
        <f t="shared" si="34"/>
        <v>0.81059999999999999</v>
      </c>
      <c r="F117" s="907">
        <f t="shared" si="34"/>
        <v>0.81059999999999999</v>
      </c>
      <c r="G117" s="907">
        <f t="shared" si="34"/>
        <v>0.81059999999999999</v>
      </c>
      <c r="H117" s="907">
        <f t="shared" si="34"/>
        <v>0.81059999999999999</v>
      </c>
      <c r="I117" s="907">
        <f>ROUND(0.7412-0.0095*B113,4)</f>
        <v>0.66500000000000004</v>
      </c>
      <c r="J117" s="907">
        <f t="shared" si="33"/>
        <v>0.66500000000000004</v>
      </c>
      <c r="K117" s="907">
        <f t="shared" si="33"/>
        <v>0.66500000000000004</v>
      </c>
      <c r="L117" s="907">
        <f t="shared" si="33"/>
        <v>0.66500000000000004</v>
      </c>
      <c r="M117" s="908">
        <f t="shared" si="33"/>
        <v>0.66500000000000004</v>
      </c>
    </row>
    <row r="118" spans="1:13" ht="13.8" thickBot="1">
      <c r="A118" s="712" t="s">
        <v>2882</v>
      </c>
      <c r="B118" s="909">
        <f>ROUND(0.7275-0.01*B113,4)</f>
        <v>0.64729999999999999</v>
      </c>
      <c r="C118" s="909">
        <f>B118</f>
        <v>0.64729999999999999</v>
      </c>
      <c r="D118" s="909">
        <f>ROUND(0.7043-0.012*B113,4)</f>
        <v>0.60809999999999997</v>
      </c>
      <c r="E118" s="909">
        <f>D118</f>
        <v>0.60809999999999997</v>
      </c>
      <c r="F118" s="909">
        <f>E118</f>
        <v>0.60809999999999997</v>
      </c>
      <c r="G118" s="909">
        <f>ROUND(0.6299-0.0122*B113,4)</f>
        <v>0.53210000000000002</v>
      </c>
      <c r="H118" s="909">
        <f>G118</f>
        <v>0.53210000000000002</v>
      </c>
      <c r="I118" s="909">
        <f>ROUND(0.5667-0.0136*B113,4)</f>
        <v>0.45760000000000001</v>
      </c>
      <c r="J118" s="909">
        <f t="shared" si="33"/>
        <v>0.45760000000000001</v>
      </c>
      <c r="K118" s="909">
        <f t="shared" si="33"/>
        <v>0.45760000000000001</v>
      </c>
      <c r="L118" s="909">
        <f t="shared" si="33"/>
        <v>0.45760000000000001</v>
      </c>
      <c r="M118" s="910">
        <f t="shared" si="33"/>
        <v>0.45760000000000001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0" t="s">
        <v>183</v>
      </c>
      <c r="B18" s="879" t="s">
        <v>560</v>
      </c>
      <c r="C18" s="880" t="s">
        <v>561</v>
      </c>
      <c r="D18" s="881"/>
      <c r="E18" s="879">
        <v>1</v>
      </c>
      <c r="F18" s="882" t="s">
        <v>562</v>
      </c>
      <c r="G18" s="883"/>
      <c r="H18" s="875"/>
      <c r="I18" s="875"/>
    </row>
    <row r="19" spans="1:9" s="884" customFormat="1" ht="19.5" customHeight="1">
      <c r="A19" s="3300"/>
      <c r="B19" s="3300" t="s">
        <v>563</v>
      </c>
      <c r="C19" s="880" t="s">
        <v>564</v>
      </c>
      <c r="D19" s="881"/>
      <c r="E19" s="879">
        <v>0.9</v>
      </c>
      <c r="F19" s="882" t="s">
        <v>565</v>
      </c>
      <c r="G19" s="883"/>
      <c r="H19" s="875"/>
      <c r="I19" s="875"/>
    </row>
    <row r="20" spans="1:9" s="884" customFormat="1" ht="19.5" customHeight="1">
      <c r="A20" s="3300"/>
      <c r="B20" s="3300"/>
      <c r="C20" s="880" t="s">
        <v>566</v>
      </c>
      <c r="D20" s="881"/>
      <c r="E20" s="879">
        <v>1.1000000000000001</v>
      </c>
      <c r="F20" s="882" t="s">
        <v>567</v>
      </c>
      <c r="G20" s="883"/>
      <c r="H20" s="875"/>
      <c r="I20" s="875"/>
    </row>
    <row r="21" spans="1:9" s="884" customFormat="1" ht="19.5" customHeight="1">
      <c r="A21" s="3300"/>
      <c r="B21" s="3300"/>
      <c r="C21" s="880" t="s">
        <v>568</v>
      </c>
      <c r="D21" s="881"/>
      <c r="E21" s="879">
        <v>0.8</v>
      </c>
      <c r="F21" s="882" t="s">
        <v>569</v>
      </c>
      <c r="G21" s="883"/>
      <c r="H21" s="875"/>
      <c r="I21" s="875"/>
    </row>
    <row r="22" spans="1:9" s="884" customFormat="1" ht="19.5" customHeight="1">
      <c r="A22" s="3300"/>
      <c r="B22" s="3300"/>
      <c r="C22" s="880" t="s">
        <v>570</v>
      </c>
      <c r="D22" s="881"/>
      <c r="E22" s="879">
        <v>0.5</v>
      </c>
      <c r="F22" s="882"/>
      <c r="G22" s="883"/>
      <c r="H22" s="875"/>
      <c r="I22" s="875"/>
    </row>
    <row r="23" spans="1:9" s="884" customFormat="1" ht="19.5" customHeight="1">
      <c r="A23" s="3300" t="s">
        <v>184</v>
      </c>
      <c r="B23" s="879" t="s">
        <v>560</v>
      </c>
      <c r="C23" s="880" t="s">
        <v>571</v>
      </c>
      <c r="D23" s="881"/>
      <c r="E23" s="879">
        <v>1</v>
      </c>
      <c r="F23" s="882" t="s">
        <v>572</v>
      </c>
      <c r="G23" s="883"/>
      <c r="H23" s="875"/>
      <c r="I23" s="875"/>
    </row>
    <row r="24" spans="1:9" s="884" customFormat="1" ht="19.5" customHeight="1">
      <c r="A24" s="3300"/>
      <c r="B24" s="3300" t="s">
        <v>563</v>
      </c>
      <c r="C24" s="880" t="s">
        <v>573</v>
      </c>
      <c r="D24" s="881"/>
      <c r="E24" s="879">
        <v>0.5</v>
      </c>
      <c r="F24" s="882"/>
      <c r="G24" s="883"/>
      <c r="H24" s="875"/>
      <c r="I24" s="875"/>
    </row>
    <row r="25" spans="1:9" s="884" customFormat="1" ht="19.5" customHeight="1">
      <c r="A25" s="3300"/>
      <c r="B25" s="3300"/>
      <c r="C25" s="880" t="s">
        <v>574</v>
      </c>
      <c r="D25" s="881"/>
      <c r="E25" s="879">
        <v>1.1000000000000001</v>
      </c>
      <c r="F25" s="882"/>
      <c r="G25" s="883"/>
      <c r="H25" s="875"/>
      <c r="I25" s="875"/>
    </row>
    <row r="26" spans="1:9" s="884" customFormat="1" ht="19.5" customHeight="1">
      <c r="A26" s="3300"/>
      <c r="B26" s="3300"/>
      <c r="C26" s="880" t="s">
        <v>575</v>
      </c>
      <c r="D26" s="881"/>
      <c r="E26" s="879">
        <v>1.1000000000000001</v>
      </c>
      <c r="F26" s="882"/>
      <c r="G26" s="883"/>
      <c r="H26" s="875"/>
      <c r="I26" s="875"/>
    </row>
    <row r="27" spans="1:9" s="884" customFormat="1" ht="19.5" customHeight="1">
      <c r="A27" s="3300"/>
      <c r="B27" s="3300"/>
      <c r="C27" s="880" t="s">
        <v>576</v>
      </c>
      <c r="D27" s="881"/>
      <c r="E27" s="879">
        <v>0.9</v>
      </c>
      <c r="F27" s="882" t="s">
        <v>577</v>
      </c>
      <c r="G27" s="883"/>
      <c r="H27" s="875"/>
      <c r="I27" s="875"/>
    </row>
    <row r="28" spans="1:9" s="884" customFormat="1" ht="19.5" customHeight="1">
      <c r="A28" s="3300"/>
      <c r="B28" s="3300"/>
      <c r="C28" s="880" t="s">
        <v>578</v>
      </c>
      <c r="D28" s="881"/>
      <c r="E28" s="879">
        <v>0.9</v>
      </c>
      <c r="F28" s="882" t="s">
        <v>579</v>
      </c>
      <c r="G28" s="883"/>
      <c r="H28" s="875"/>
      <c r="I28" s="875"/>
    </row>
    <row r="29" spans="1:9" s="884" customFormat="1" ht="19.5" customHeight="1">
      <c r="A29" s="3300"/>
      <c r="B29" s="3300"/>
      <c r="C29" s="880" t="s">
        <v>580</v>
      </c>
      <c r="D29" s="881"/>
      <c r="E29" s="879">
        <v>0.9</v>
      </c>
      <c r="F29" s="882" t="s">
        <v>581</v>
      </c>
      <c r="G29" s="883"/>
      <c r="H29" s="875"/>
      <c r="I29" s="875"/>
    </row>
    <row r="30" spans="1:9" s="884" customFormat="1" ht="19.5" customHeight="1">
      <c r="A30" s="3300"/>
      <c r="B30" s="3300"/>
      <c r="C30" s="880" t="s">
        <v>582</v>
      </c>
      <c r="D30" s="881"/>
      <c r="E30" s="879">
        <v>0.9</v>
      </c>
      <c r="F30" s="882" t="s">
        <v>583</v>
      </c>
      <c r="G30" s="883"/>
      <c r="H30" s="875"/>
      <c r="I30" s="875"/>
    </row>
    <row r="31" spans="1:9" s="884" customFormat="1" ht="19.5" customHeight="1">
      <c r="A31" s="3300"/>
      <c r="B31" s="3300"/>
      <c r="C31" s="880" t="s">
        <v>584</v>
      </c>
      <c r="D31" s="881"/>
      <c r="E31" s="879">
        <v>0.8</v>
      </c>
      <c r="F31" s="882" t="s">
        <v>585</v>
      </c>
      <c r="G31" s="883"/>
      <c r="H31" s="875"/>
      <c r="I31" s="875"/>
    </row>
    <row r="32" spans="1:9" s="884" customFormat="1" ht="19.5" customHeight="1">
      <c r="A32" s="3300"/>
      <c r="B32" s="3300"/>
      <c r="C32" s="880" t="s">
        <v>586</v>
      </c>
      <c r="D32" s="881"/>
      <c r="E32" s="879">
        <v>0.8</v>
      </c>
      <c r="F32" s="882" t="s">
        <v>587</v>
      </c>
      <c r="G32" s="883"/>
      <c r="H32" s="875"/>
      <c r="I32" s="875"/>
    </row>
    <row r="33" spans="1:9" s="884" customFormat="1" ht="19.5" customHeight="1">
      <c r="A33" s="3300" t="s">
        <v>185</v>
      </c>
      <c r="B33" s="879" t="s">
        <v>560</v>
      </c>
      <c r="C33" s="880" t="s">
        <v>588</v>
      </c>
      <c r="D33" s="881"/>
      <c r="E33" s="879">
        <v>1</v>
      </c>
      <c r="F33" s="882" t="s">
        <v>589</v>
      </c>
      <c r="G33" s="883"/>
      <c r="H33" s="875"/>
      <c r="I33" s="875"/>
    </row>
    <row r="34" spans="1:9" s="884" customFormat="1" ht="19.5" customHeight="1">
      <c r="A34" s="3300"/>
      <c r="B34" s="879" t="s">
        <v>563</v>
      </c>
      <c r="C34" s="880" t="s">
        <v>590</v>
      </c>
      <c r="D34" s="881"/>
      <c r="E34" s="879">
        <v>1.5</v>
      </c>
      <c r="F34" s="882" t="s">
        <v>591</v>
      </c>
      <c r="G34" s="883"/>
      <c r="H34" s="875"/>
      <c r="I34" s="875"/>
    </row>
    <row r="35" spans="1:9" s="884" customFormat="1" ht="19.5" customHeight="1">
      <c r="A35" s="3300" t="s">
        <v>186</v>
      </c>
      <c r="B35" s="879" t="s">
        <v>560</v>
      </c>
      <c r="C35" s="880" t="s">
        <v>592</v>
      </c>
      <c r="D35" s="881"/>
      <c r="E35" s="879">
        <v>1</v>
      </c>
      <c r="F35" s="882" t="s">
        <v>593</v>
      </c>
      <c r="G35" s="883"/>
      <c r="H35" s="875"/>
      <c r="I35" s="875"/>
    </row>
    <row r="36" spans="1:9" s="884" customFormat="1" ht="19.5" customHeight="1">
      <c r="A36" s="3300"/>
      <c r="B36" s="3300" t="s">
        <v>563</v>
      </c>
      <c r="C36" s="880" t="s">
        <v>594</v>
      </c>
      <c r="D36" s="881"/>
      <c r="E36" s="879">
        <v>1</v>
      </c>
      <c r="F36" s="882" t="s">
        <v>595</v>
      </c>
      <c r="G36" s="883"/>
      <c r="H36" s="875"/>
      <c r="I36" s="875"/>
    </row>
    <row r="37" spans="1:9" s="884" customFormat="1" ht="19.5" customHeight="1">
      <c r="A37" s="3300"/>
      <c r="B37" s="3300"/>
      <c r="C37" s="880" t="s">
        <v>596</v>
      </c>
      <c r="D37" s="881"/>
      <c r="E37" s="879">
        <v>1.5</v>
      </c>
      <c r="F37" s="882" t="s">
        <v>597</v>
      </c>
      <c r="G37" s="883"/>
      <c r="H37" s="875"/>
      <c r="I37" s="875"/>
    </row>
    <row r="38" spans="1:9" s="884" customFormat="1" ht="19.5" customHeight="1">
      <c r="A38" s="3300"/>
      <c r="B38" s="3300"/>
      <c r="C38" s="880" t="s">
        <v>598</v>
      </c>
      <c r="D38" s="881"/>
      <c r="E38" s="879">
        <v>1</v>
      </c>
      <c r="F38" s="882" t="s">
        <v>599</v>
      </c>
      <c r="G38" s="883"/>
      <c r="H38" s="875"/>
      <c r="I38" s="875"/>
    </row>
    <row r="39" spans="1:9" s="884" customFormat="1" ht="19.5" customHeight="1">
      <c r="A39" s="3300"/>
      <c r="B39" s="330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300" t="s">
        <v>614</v>
      </c>
      <c r="C61" s="815" t="s">
        <v>615</v>
      </c>
      <c r="D61" s="815" t="s">
        <v>616</v>
      </c>
      <c r="E61" s="892">
        <v>0.5</v>
      </c>
      <c r="F61" s="879">
        <v>80</v>
      </c>
    </row>
    <row r="62" spans="1:8" s="875" customFormat="1" ht="36">
      <c r="A62" s="879">
        <v>2</v>
      </c>
      <c r="B62" s="3300"/>
      <c r="C62" s="815" t="s">
        <v>617</v>
      </c>
      <c r="D62" s="815" t="s">
        <v>618</v>
      </c>
      <c r="E62" s="892">
        <v>0.5</v>
      </c>
      <c r="F62" s="879">
        <v>80</v>
      </c>
    </row>
    <row r="63" spans="1:8" s="875" customFormat="1" ht="48">
      <c r="A63" s="879">
        <v>3</v>
      </c>
      <c r="B63" s="3300"/>
      <c r="C63" s="815" t="s">
        <v>619</v>
      </c>
      <c r="D63" s="815" t="s">
        <v>620</v>
      </c>
      <c r="E63" s="892">
        <v>0.5</v>
      </c>
      <c r="F63" s="879">
        <v>80</v>
      </c>
    </row>
    <row r="64" spans="1:8" s="875" customFormat="1" ht="48">
      <c r="A64" s="879">
        <v>4</v>
      </c>
      <c r="B64" s="3300"/>
      <c r="C64" s="815" t="s">
        <v>621</v>
      </c>
      <c r="D64" s="815" t="s">
        <v>622</v>
      </c>
      <c r="E64" s="892">
        <v>0.4</v>
      </c>
      <c r="F64" s="879">
        <v>60</v>
      </c>
    </row>
    <row r="65" spans="1:6" s="875" customFormat="1" ht="48">
      <c r="A65" s="879">
        <v>5</v>
      </c>
      <c r="B65" s="3300"/>
      <c r="C65" s="815" t="s">
        <v>623</v>
      </c>
      <c r="D65" s="815" t="s">
        <v>624</v>
      </c>
      <c r="E65" s="892">
        <v>0.2</v>
      </c>
      <c r="F65" s="879">
        <v>30</v>
      </c>
    </row>
    <row r="66" spans="1:6" s="875" customFormat="1" ht="48">
      <c r="A66" s="879">
        <v>6</v>
      </c>
      <c r="B66" s="3300"/>
      <c r="C66" s="815" t="s">
        <v>625</v>
      </c>
      <c r="D66" s="815" t="s">
        <v>626</v>
      </c>
      <c r="E66" s="892">
        <v>0.3</v>
      </c>
      <c r="F66" s="879">
        <v>50</v>
      </c>
    </row>
    <row r="67" spans="1:6" s="875" customFormat="1" ht="48">
      <c r="A67" s="879">
        <v>7</v>
      </c>
      <c r="B67" s="3300"/>
      <c r="C67" s="815" t="s">
        <v>627</v>
      </c>
      <c r="D67" s="815" t="s">
        <v>628</v>
      </c>
      <c r="E67" s="892">
        <v>0.2</v>
      </c>
      <c r="F67" s="879">
        <v>30</v>
      </c>
    </row>
    <row r="68" spans="1:6" s="875" customFormat="1" ht="48">
      <c r="A68" s="879">
        <v>8</v>
      </c>
      <c r="B68" s="3300"/>
      <c r="C68" s="815" t="s">
        <v>629</v>
      </c>
      <c r="D68" s="815" t="s">
        <v>630</v>
      </c>
      <c r="E68" s="892">
        <v>0.2</v>
      </c>
      <c r="F68" s="879">
        <v>30</v>
      </c>
    </row>
    <row r="69" spans="1:6" s="875" customFormat="1" ht="48">
      <c r="A69" s="879">
        <v>9</v>
      </c>
      <c r="B69" s="3300"/>
      <c r="C69" s="815" t="s">
        <v>631</v>
      </c>
      <c r="D69" s="815" t="s">
        <v>632</v>
      </c>
      <c r="E69" s="892">
        <v>0.2</v>
      </c>
      <c r="F69" s="879">
        <v>30</v>
      </c>
    </row>
    <row r="70" spans="1:6" s="875" customFormat="1" ht="60">
      <c r="A70" s="879">
        <v>10</v>
      </c>
      <c r="B70" s="3300"/>
      <c r="C70" s="815" t="s">
        <v>633</v>
      </c>
      <c r="D70" s="815" t="s">
        <v>634</v>
      </c>
      <c r="E70" s="892">
        <v>0.2</v>
      </c>
      <c r="F70" s="879">
        <v>30</v>
      </c>
    </row>
    <row r="71" spans="1:6" s="875" customFormat="1" ht="60">
      <c r="A71" s="879">
        <v>11</v>
      </c>
      <c r="B71" s="3300"/>
      <c r="C71" s="815" t="s">
        <v>635</v>
      </c>
      <c r="D71" s="815" t="s">
        <v>636</v>
      </c>
      <c r="E71" s="892">
        <v>0.2</v>
      </c>
      <c r="F71" s="879">
        <v>30</v>
      </c>
    </row>
    <row r="72" spans="1:6" s="875" customFormat="1" ht="36">
      <c r="A72" s="879">
        <v>12</v>
      </c>
      <c r="B72" s="3300"/>
      <c r="C72" s="815" t="s">
        <v>637</v>
      </c>
      <c r="D72" s="815" t="s">
        <v>638</v>
      </c>
      <c r="E72" s="892">
        <v>0.5</v>
      </c>
      <c r="F72" s="879">
        <v>80</v>
      </c>
    </row>
    <row r="73" spans="1:6" s="875" customFormat="1" ht="36">
      <c r="A73" s="879">
        <v>13</v>
      </c>
      <c r="B73" s="3300"/>
      <c r="C73" s="815" t="s">
        <v>639</v>
      </c>
      <c r="D73" s="815" t="s">
        <v>640</v>
      </c>
      <c r="E73" s="892">
        <v>0.4</v>
      </c>
      <c r="F73" s="879">
        <v>60</v>
      </c>
    </row>
    <row r="74" spans="1:6" s="875" customFormat="1" ht="36">
      <c r="A74" s="879">
        <v>14</v>
      </c>
      <c r="B74" s="3300"/>
      <c r="C74" s="815" t="s">
        <v>641</v>
      </c>
      <c r="D74" s="815" t="s">
        <v>642</v>
      </c>
      <c r="E74" s="892">
        <v>0.2</v>
      </c>
      <c r="F74" s="879">
        <v>30</v>
      </c>
    </row>
    <row r="75" spans="1:6" s="875" customFormat="1" ht="36">
      <c r="A75" s="879">
        <v>15</v>
      </c>
      <c r="B75" s="3300"/>
      <c r="C75" s="815" t="s">
        <v>643</v>
      </c>
      <c r="D75" s="815" t="s">
        <v>644</v>
      </c>
      <c r="E75" s="892">
        <v>0.2</v>
      </c>
      <c r="F75" s="879">
        <v>30</v>
      </c>
    </row>
    <row r="76" spans="1:6" s="875" customFormat="1" ht="36">
      <c r="A76" s="879">
        <v>16</v>
      </c>
      <c r="B76" s="3300" t="s">
        <v>645</v>
      </c>
      <c r="C76" s="815" t="s">
        <v>646</v>
      </c>
      <c r="D76" s="815" t="s">
        <v>647</v>
      </c>
      <c r="E76" s="892">
        <v>0.5</v>
      </c>
      <c r="F76" s="879">
        <v>80</v>
      </c>
    </row>
    <row r="77" spans="1:6" s="875" customFormat="1" ht="36">
      <c r="A77" s="879">
        <v>17</v>
      </c>
      <c r="B77" s="3300"/>
      <c r="C77" s="815" t="s">
        <v>648</v>
      </c>
      <c r="D77" s="815" t="s">
        <v>649</v>
      </c>
      <c r="E77" s="892">
        <v>0.5</v>
      </c>
      <c r="F77" s="879">
        <v>80</v>
      </c>
    </row>
    <row r="78" spans="1:6" s="875" customFormat="1" ht="36">
      <c r="A78" s="879">
        <v>18</v>
      </c>
      <c r="B78" s="3300"/>
      <c r="C78" s="815" t="s">
        <v>650</v>
      </c>
      <c r="D78" s="815" t="s">
        <v>651</v>
      </c>
      <c r="E78" s="892">
        <v>0.2</v>
      </c>
      <c r="F78" s="879">
        <v>30</v>
      </c>
    </row>
    <row r="79" spans="1:6" s="875" customFormat="1" ht="36">
      <c r="A79" s="879">
        <v>19</v>
      </c>
      <c r="B79" s="3300"/>
      <c r="C79" s="815" t="s">
        <v>652</v>
      </c>
      <c r="D79" s="815" t="s">
        <v>653</v>
      </c>
      <c r="E79" s="892">
        <v>0.5</v>
      </c>
      <c r="F79" s="879">
        <v>80</v>
      </c>
    </row>
    <row r="80" spans="1:6" s="875" customFormat="1" ht="36">
      <c r="A80" s="879">
        <v>20</v>
      </c>
      <c r="B80" s="3300"/>
      <c r="C80" s="815" t="s">
        <v>654</v>
      </c>
      <c r="D80" s="815" t="s">
        <v>655</v>
      </c>
      <c r="E80" s="892">
        <v>0.2</v>
      </c>
      <c r="F80" s="879">
        <v>30</v>
      </c>
    </row>
    <row r="81" spans="1:6" s="875" customFormat="1" ht="36">
      <c r="A81" s="879">
        <v>21</v>
      </c>
      <c r="B81" s="3300"/>
      <c r="C81" s="815" t="s">
        <v>656</v>
      </c>
      <c r="D81" s="815" t="s">
        <v>657</v>
      </c>
      <c r="E81" s="892">
        <v>0.2</v>
      </c>
      <c r="F81" s="879">
        <v>30</v>
      </c>
    </row>
    <row r="82" spans="1:6" s="875" customFormat="1" ht="60">
      <c r="A82" s="879">
        <v>22</v>
      </c>
      <c r="B82" s="3300"/>
      <c r="C82" s="815" t="s">
        <v>658</v>
      </c>
      <c r="D82" s="815" t="s">
        <v>659</v>
      </c>
      <c r="E82" s="892">
        <v>0.2</v>
      </c>
      <c r="F82" s="879">
        <v>30</v>
      </c>
    </row>
    <row r="83" spans="1:6" s="875" customFormat="1" ht="60">
      <c r="A83" s="879">
        <v>23</v>
      </c>
      <c r="B83" s="3300"/>
      <c r="C83" s="815" t="s">
        <v>660</v>
      </c>
      <c r="D83" s="815" t="s">
        <v>661</v>
      </c>
      <c r="E83" s="892">
        <v>0.2</v>
      </c>
      <c r="F83" s="879">
        <v>30</v>
      </c>
    </row>
    <row r="84" spans="1:6" s="875" customFormat="1" ht="48">
      <c r="A84" s="879">
        <v>24</v>
      </c>
      <c r="B84" s="3300"/>
      <c r="C84" s="815" t="s">
        <v>662</v>
      </c>
      <c r="D84" s="815" t="s">
        <v>663</v>
      </c>
      <c r="E84" s="892">
        <v>0.2</v>
      </c>
      <c r="F84" s="879">
        <v>30</v>
      </c>
    </row>
    <row r="85" spans="1:6" s="875" customFormat="1" ht="36">
      <c r="A85" s="879">
        <v>25</v>
      </c>
      <c r="B85" s="3300"/>
      <c r="C85" s="815" t="s">
        <v>664</v>
      </c>
      <c r="D85" s="815" t="s">
        <v>665</v>
      </c>
      <c r="E85" s="892">
        <v>0.5</v>
      </c>
      <c r="F85" s="879">
        <v>80</v>
      </c>
    </row>
    <row r="86" spans="1:6" s="875" customFormat="1" ht="36">
      <c r="A86" s="879">
        <v>26</v>
      </c>
      <c r="B86" s="3300"/>
      <c r="C86" s="815" t="s">
        <v>666</v>
      </c>
      <c r="D86" s="815" t="s">
        <v>667</v>
      </c>
      <c r="E86" s="892">
        <v>0.2</v>
      </c>
      <c r="F86" s="879">
        <v>30</v>
      </c>
    </row>
    <row r="87" spans="1:6" s="875" customFormat="1" ht="36">
      <c r="A87" s="879">
        <v>27</v>
      </c>
      <c r="B87" s="3300"/>
      <c r="C87" s="815" t="s">
        <v>668</v>
      </c>
      <c r="D87" s="815" t="s">
        <v>669</v>
      </c>
      <c r="E87" s="892">
        <v>0.2</v>
      </c>
      <c r="F87" s="879">
        <v>30</v>
      </c>
    </row>
    <row r="88" spans="1:6" s="875" customFormat="1" ht="36">
      <c r="A88" s="879">
        <v>28</v>
      </c>
      <c r="B88" s="3300"/>
      <c r="C88" s="815" t="s">
        <v>670</v>
      </c>
      <c r="D88" s="815" t="s">
        <v>671</v>
      </c>
      <c r="E88" s="892">
        <v>0.2</v>
      </c>
      <c r="F88" s="879">
        <v>30</v>
      </c>
    </row>
    <row r="89" spans="1:6" s="875" customFormat="1" ht="36">
      <c r="A89" s="879">
        <v>29</v>
      </c>
      <c r="B89" s="3300"/>
      <c r="C89" s="815" t="s">
        <v>672</v>
      </c>
      <c r="D89" s="815" t="s">
        <v>673</v>
      </c>
      <c r="E89" s="892">
        <v>0.2</v>
      </c>
      <c r="F89" s="879">
        <v>30</v>
      </c>
    </row>
    <row r="90" spans="1:6" s="875" customFormat="1" ht="36">
      <c r="A90" s="879">
        <v>30</v>
      </c>
      <c r="B90" s="3300"/>
      <c r="C90" s="815" t="s">
        <v>674</v>
      </c>
      <c r="D90" s="815" t="s">
        <v>675</v>
      </c>
      <c r="E90" s="892">
        <v>0.2</v>
      </c>
      <c r="F90" s="879">
        <v>30</v>
      </c>
    </row>
    <row r="91" spans="1:6" s="875" customFormat="1" ht="48">
      <c r="A91" s="879">
        <v>31</v>
      </c>
      <c r="B91" s="3300"/>
      <c r="C91" s="815" t="s">
        <v>676</v>
      </c>
      <c r="D91" s="815" t="s">
        <v>677</v>
      </c>
      <c r="E91" s="892">
        <v>0.2</v>
      </c>
      <c r="F91" s="879">
        <v>30</v>
      </c>
    </row>
    <row r="92" spans="1:6" s="875" customFormat="1" ht="36">
      <c r="A92" s="879">
        <v>32</v>
      </c>
      <c r="B92" s="3300" t="s">
        <v>678</v>
      </c>
      <c r="C92" s="879" t="s">
        <v>679</v>
      </c>
      <c r="D92" s="815" t="s">
        <v>680</v>
      </c>
      <c r="E92" s="892">
        <v>0.2</v>
      </c>
      <c r="F92" s="879">
        <v>30</v>
      </c>
    </row>
    <row r="93" spans="1:6" s="875" customFormat="1" ht="36">
      <c r="A93" s="879">
        <v>33</v>
      </c>
      <c r="B93" s="3300"/>
      <c r="C93" s="879" t="s">
        <v>681</v>
      </c>
      <c r="D93" s="815" t="s">
        <v>682</v>
      </c>
      <c r="E93" s="892">
        <v>0.2</v>
      </c>
      <c r="F93" s="879">
        <v>30</v>
      </c>
    </row>
    <row r="94" spans="1:6" s="875" customFormat="1" ht="60">
      <c r="A94" s="879">
        <v>34</v>
      </c>
      <c r="B94" s="3300"/>
      <c r="C94" s="879" t="s">
        <v>683</v>
      </c>
      <c r="D94" s="815" t="s">
        <v>684</v>
      </c>
      <c r="E94" s="892">
        <v>0.2</v>
      </c>
      <c r="F94" s="879">
        <v>30</v>
      </c>
    </row>
    <row r="95" spans="1:6" s="875" customFormat="1" ht="48">
      <c r="A95" s="879">
        <v>35</v>
      </c>
      <c r="B95" s="3300"/>
      <c r="C95" s="879" t="s">
        <v>685</v>
      </c>
      <c r="D95" s="815" t="s">
        <v>686</v>
      </c>
      <c r="E95" s="892">
        <v>0.2</v>
      </c>
      <c r="F95" s="879">
        <v>30</v>
      </c>
    </row>
    <row r="96" spans="1:6" s="875" customFormat="1" ht="72">
      <c r="A96" s="879">
        <v>36</v>
      </c>
      <c r="B96" s="3300"/>
      <c r="C96" s="815" t="s">
        <v>687</v>
      </c>
      <c r="D96" s="815" t="s">
        <v>688</v>
      </c>
      <c r="E96" s="892">
        <v>0.2</v>
      </c>
      <c r="F96" s="879">
        <v>30</v>
      </c>
    </row>
    <row r="97" spans="1:6" s="875" customFormat="1" ht="36">
      <c r="A97" s="879">
        <v>37</v>
      </c>
      <c r="B97" s="3300"/>
      <c r="C97" s="879" t="s">
        <v>689</v>
      </c>
      <c r="D97" s="815" t="s">
        <v>690</v>
      </c>
      <c r="E97" s="892">
        <v>0.2</v>
      </c>
      <c r="F97" s="879">
        <v>30</v>
      </c>
    </row>
    <row r="98" spans="1:6" s="875" customFormat="1" ht="36">
      <c r="A98" s="879">
        <v>38</v>
      </c>
      <c r="B98" s="3300"/>
      <c r="C98" s="879" t="s">
        <v>691</v>
      </c>
      <c r="D98" s="815" t="s">
        <v>692</v>
      </c>
      <c r="E98" s="892">
        <v>0.2</v>
      </c>
      <c r="F98" s="879">
        <v>30</v>
      </c>
    </row>
    <row r="99" spans="1:6" s="875" customFormat="1" ht="36">
      <c r="A99" s="879">
        <v>39</v>
      </c>
      <c r="B99" s="3300" t="s">
        <v>693</v>
      </c>
      <c r="C99" s="879" t="s">
        <v>694</v>
      </c>
      <c r="D99" s="815" t="s">
        <v>695</v>
      </c>
      <c r="E99" s="892">
        <v>0.3</v>
      </c>
      <c r="F99" s="879">
        <v>50</v>
      </c>
    </row>
    <row r="100" spans="1:6" s="875" customFormat="1" ht="36">
      <c r="A100" s="879">
        <v>40</v>
      </c>
      <c r="B100" s="3300"/>
      <c r="C100" s="879" t="s">
        <v>696</v>
      </c>
      <c r="D100" s="815" t="s">
        <v>697</v>
      </c>
      <c r="E100" s="892">
        <v>0.2</v>
      </c>
      <c r="F100" s="879">
        <v>30</v>
      </c>
    </row>
    <row r="101" spans="1:6" s="875" customFormat="1" ht="36">
      <c r="A101" s="879">
        <v>41</v>
      </c>
      <c r="B101" s="330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0" t="s">
        <v>708</v>
      </c>
      <c r="C105" s="879" t="s">
        <v>709</v>
      </c>
      <c r="D105" s="815" t="s">
        <v>710</v>
      </c>
      <c r="E105" s="892">
        <v>0.2</v>
      </c>
      <c r="F105" s="879">
        <v>30</v>
      </c>
    </row>
    <row r="106" spans="1:6" s="875" customFormat="1" ht="48">
      <c r="A106" s="879">
        <v>46</v>
      </c>
      <c r="B106" s="3300"/>
      <c r="C106" s="879" t="s">
        <v>711</v>
      </c>
      <c r="D106" s="815" t="s">
        <v>712</v>
      </c>
      <c r="E106" s="892">
        <v>0.2</v>
      </c>
      <c r="F106" s="879">
        <v>30</v>
      </c>
    </row>
    <row r="107" spans="1:6" s="875" customFormat="1" ht="36">
      <c r="A107" s="879">
        <v>47</v>
      </c>
      <c r="B107" s="3300" t="s">
        <v>713</v>
      </c>
      <c r="C107" s="879" t="s">
        <v>714</v>
      </c>
      <c r="D107" s="815" t="s">
        <v>715</v>
      </c>
      <c r="E107" s="892">
        <v>0.3</v>
      </c>
      <c r="F107" s="879">
        <v>50</v>
      </c>
    </row>
    <row r="108" spans="1:6" s="875" customFormat="1" ht="48">
      <c r="A108" s="879">
        <v>48</v>
      </c>
      <c r="B108" s="330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0" t="s">
        <v>724</v>
      </c>
      <c r="C111" s="879" t="s">
        <v>725</v>
      </c>
      <c r="D111" s="815" t="s">
        <v>726</v>
      </c>
      <c r="E111" s="892">
        <v>0.2</v>
      </c>
      <c r="F111" s="879">
        <v>30</v>
      </c>
    </row>
    <row r="112" spans="1:6" s="875" customFormat="1" ht="36">
      <c r="A112" s="879">
        <v>52</v>
      </c>
      <c r="B112" s="3300"/>
      <c r="C112" s="879" t="s">
        <v>727</v>
      </c>
      <c r="D112" s="815" t="s">
        <v>728</v>
      </c>
      <c r="E112" s="892">
        <v>0.2</v>
      </c>
      <c r="F112" s="879">
        <v>30</v>
      </c>
    </row>
    <row r="113" spans="1:6" s="875" customFormat="1" ht="36">
      <c r="A113" s="879">
        <v>53</v>
      </c>
      <c r="B113" s="330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0" t="s">
        <v>737</v>
      </c>
      <c r="C116" s="879" t="s">
        <v>738</v>
      </c>
      <c r="D116" s="815" t="s">
        <v>739</v>
      </c>
      <c r="E116" s="892">
        <v>0.2</v>
      </c>
      <c r="F116" s="879">
        <v>30</v>
      </c>
    </row>
    <row r="117" spans="1:6" ht="36">
      <c r="A117" s="879">
        <v>57</v>
      </c>
      <c r="B117" s="330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0.75570000000000004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3004</v>
      </c>
    </row>
    <row r="2" spans="1:5" ht="15.6">
      <c r="A2" s="2908" t="s">
        <v>2996</v>
      </c>
      <c r="B2" s="2909">
        <f ca="1">SUMIF(B6:B13,"&lt;&gt;#ref!",B6:B13)</f>
        <v>0</v>
      </c>
      <c r="C2" s="2908" t="s">
        <v>2997</v>
      </c>
      <c r="D2" s="2908" t="s">
        <v>2998</v>
      </c>
      <c r="E2" s="2909" t="e">
        <f ca="1">SUM(E6:E13)</f>
        <v>#REF!</v>
      </c>
    </row>
    <row r="3" spans="1:5" ht="15.6">
      <c r="A3" s="2908" t="s">
        <v>2999</v>
      </c>
      <c r="B3" s="2909" t="e">
        <f ca="1">ROUND(B2*10000/E2,0)</f>
        <v>#REF!</v>
      </c>
      <c r="C3" s="2908" t="s">
        <v>3005</v>
      </c>
      <c r="D3" s="2910"/>
      <c r="E3" s="2910"/>
    </row>
    <row r="4" spans="1:5" ht="15.6">
      <c r="A4" s="2911"/>
      <c r="B4" s="2910"/>
      <c r="C4" s="2910"/>
      <c r="D4" s="2910"/>
      <c r="E4" s="2910"/>
    </row>
    <row r="5" spans="1:5" ht="31.2">
      <c r="A5" s="2912" t="s">
        <v>3000</v>
      </c>
      <c r="B5" s="2908" t="s">
        <v>3001</v>
      </c>
      <c r="C5" s="2909"/>
      <c r="D5" s="2910"/>
      <c r="E5" s="2908" t="s">
        <v>3002</v>
      </c>
    </row>
    <row r="6" spans="1:5" ht="15.6">
      <c r="A6" s="2913" t="s">
        <v>3003</v>
      </c>
      <c r="B6" s="2909">
        <f ca="1">SUMIF(INDIRECT("'"&amp;A6&amp;"'"&amp;"!A:A"),"总价",INDIRECT("'"&amp;A6&amp;"'"&amp;"!B:B"))</f>
        <v>0</v>
      </c>
      <c r="C6" s="2908" t="s">
        <v>2997</v>
      </c>
      <c r="D6" s="2910"/>
      <c r="E6" s="2573">
        <f ca="1">SUMIF(INDIRECT("'"&amp;A6&amp;"'"&amp;"!C:C"),"建筑面积",INDIRECT("'"&amp;A6&amp;"'"&amp;"!D:D"))</f>
        <v>0</v>
      </c>
    </row>
    <row r="7" spans="1:5" ht="15.6">
      <c r="A7" s="2913"/>
      <c r="B7" s="2909" t="e">
        <f ca="1">SUMIF(INDIRECT("'"&amp;A7&amp;"'"&amp;"!A:A"),"总价",INDIRECT("'"&amp;A7&amp;"'"&amp;"!B:B"))</f>
        <v>#REF!</v>
      </c>
      <c r="C7" s="2908" t="s">
        <v>2997</v>
      </c>
      <c r="D7" s="2910"/>
      <c r="E7" s="2573" t="e">
        <f t="shared" ref="E7:E13" ca="1" si="0">SUMIF(INDIRECT("'"&amp;A7&amp;"'"&amp;"!C:C"),"建筑面积",INDIRECT("'"&amp;A7&amp;"'"&amp;"!D:D"))</f>
        <v>#REF!</v>
      </c>
    </row>
    <row r="8" spans="1:5" ht="15.6">
      <c r="A8" s="2913"/>
      <c r="B8" s="2909" t="e">
        <f t="shared" ref="B8:B13" ca="1" si="1">SUMIF(INDIRECT("'"&amp;A8&amp;"'"&amp;"!A:A"),"总价",INDIRECT("'"&amp;A8&amp;"'"&amp;"!B:B"))</f>
        <v>#REF!</v>
      </c>
      <c r="C8" s="2908" t="s">
        <v>2997</v>
      </c>
      <c r="D8" s="2910"/>
      <c r="E8" s="2573" t="e">
        <f t="shared" ca="1" si="0"/>
        <v>#REF!</v>
      </c>
    </row>
    <row r="9" spans="1:5" ht="15.6">
      <c r="A9" s="2913"/>
      <c r="B9" s="2909" t="e">
        <f t="shared" ca="1" si="1"/>
        <v>#REF!</v>
      </c>
      <c r="C9" s="2908" t="s">
        <v>2997</v>
      </c>
      <c r="D9" s="2910"/>
      <c r="E9" s="2573" t="e">
        <f t="shared" ca="1" si="0"/>
        <v>#REF!</v>
      </c>
    </row>
    <row r="10" spans="1:5" ht="15.6">
      <c r="A10" s="2913"/>
      <c r="B10" s="2909" t="e">
        <f t="shared" ca="1" si="1"/>
        <v>#REF!</v>
      </c>
      <c r="C10" s="2908" t="s">
        <v>2997</v>
      </c>
      <c r="D10" s="2910"/>
      <c r="E10" s="2573" t="e">
        <f t="shared" ca="1" si="0"/>
        <v>#REF!</v>
      </c>
    </row>
    <row r="11" spans="1:5" ht="15.6">
      <c r="A11" s="2913"/>
      <c r="B11" s="2909" t="e">
        <f t="shared" ca="1" si="1"/>
        <v>#REF!</v>
      </c>
      <c r="C11" s="2908" t="s">
        <v>2997</v>
      </c>
      <c r="D11" s="2910"/>
      <c r="E11" s="2573" t="e">
        <f t="shared" ca="1" si="0"/>
        <v>#REF!</v>
      </c>
    </row>
    <row r="12" spans="1:5" ht="15.6">
      <c r="A12" s="2913"/>
      <c r="B12" s="2909" t="e">
        <f t="shared" ca="1" si="1"/>
        <v>#REF!</v>
      </c>
      <c r="C12" s="2908" t="s">
        <v>2997</v>
      </c>
      <c r="D12" s="2910"/>
      <c r="E12" s="2573" t="e">
        <f t="shared" ca="1" si="0"/>
        <v>#REF!</v>
      </c>
    </row>
    <row r="13" spans="1:5" ht="15.6">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1622</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7.399999999999999">
      <c r="A3" s="2991" t="str">
        <f>IF(项目基本情况!B9="房地产市场价值","估价结果一览表（市场价值不需“结果表-1”）","估价结果一览表")</f>
        <v>估价结果一览表</v>
      </c>
      <c r="B3" s="2991"/>
      <c r="C3" s="2991"/>
      <c r="D3" s="2991"/>
      <c r="E3" s="2991"/>
    </row>
    <row r="4" spans="1:5" ht="18" thickBot="1">
      <c r="A4" s="1959"/>
      <c r="B4" s="2989" t="s">
        <v>1631</v>
      </c>
      <c r="C4" s="2989"/>
      <c r="D4" s="2989"/>
      <c r="E4" s="1959"/>
    </row>
    <row r="5" spans="1:5" ht="16.2" thickTop="1">
      <c r="A5" s="1957"/>
      <c r="B5" s="2987" t="s">
        <v>1623</v>
      </c>
      <c r="C5" s="1960" t="s">
        <v>1624</v>
      </c>
      <c r="D5" s="1040">
        <f ca="1">结果表!H101</f>
        <v>272710</v>
      </c>
      <c r="E5" s="1957"/>
    </row>
    <row r="6" spans="1:5" ht="15.6">
      <c r="A6" s="1957"/>
      <c r="B6" s="2987"/>
      <c r="C6" s="1960" t="s">
        <v>1625</v>
      </c>
      <c r="D6" s="1040" t="str">
        <f ca="1">NUMBERSTRING(INT(D5*10000),2)&amp;"元整"</f>
        <v>贰拾柒亿贰仟柒佰壹拾万元整</v>
      </c>
      <c r="E6" s="1957"/>
    </row>
    <row r="7" spans="1:5" ht="15.6">
      <c r="A7" s="1957"/>
      <c r="B7" s="2992"/>
      <c r="C7" s="1961" t="s">
        <v>1626</v>
      </c>
      <c r="D7" s="1041">
        <f ca="1">结果表!H102</f>
        <v>21580</v>
      </c>
      <c r="E7" s="1957"/>
    </row>
    <row r="8" spans="1:5" ht="15.6">
      <c r="A8" s="1957"/>
      <c r="B8" s="2993" t="str">
        <f>结果表!E103</f>
        <v>2.估价师知悉的法定优先受偿款</v>
      </c>
      <c r="C8" s="1962" t="s">
        <v>1627</v>
      </c>
      <c r="D8" s="1041">
        <f>结果表!H103</f>
        <v>0</v>
      </c>
      <c r="E8" s="1957"/>
    </row>
    <row r="9" spans="1:5" ht="15.6">
      <c r="A9" s="1957"/>
      <c r="B9" s="2995"/>
      <c r="C9" s="1960" t="s">
        <v>1625</v>
      </c>
      <c r="D9" s="1040" t="str">
        <f>NUMBERSTRING(INT(D8*10000),2)&amp;"元整"</f>
        <v>零元整</v>
      </c>
      <c r="E9" s="1957"/>
    </row>
    <row r="10" spans="1:5" ht="15.6">
      <c r="A10" s="1957"/>
      <c r="B10" s="1963" t="s">
        <v>1630</v>
      </c>
      <c r="C10" s="1964" t="s">
        <v>1628</v>
      </c>
      <c r="D10" s="1042">
        <f>结果表!H104</f>
        <v>0</v>
      </c>
      <c r="E10" s="1957"/>
    </row>
    <row r="11" spans="1:5" ht="15.6">
      <c r="A11" s="1957"/>
      <c r="B11" s="1963" t="s">
        <v>1632</v>
      </c>
      <c r="C11" s="1964" t="s">
        <v>1633</v>
      </c>
      <c r="D11" s="1042">
        <f>结果表!H105</f>
        <v>0</v>
      </c>
      <c r="E11" s="1957"/>
    </row>
    <row r="12" spans="1:5" ht="15.6">
      <c r="A12" s="1957"/>
      <c r="B12" s="1963" t="s">
        <v>1634</v>
      </c>
      <c r="C12" s="1964" t="s">
        <v>1633</v>
      </c>
      <c r="D12" s="1042">
        <f>结果表!H106</f>
        <v>0</v>
      </c>
      <c r="E12" s="1957"/>
    </row>
    <row r="13" spans="1:5" ht="15.6">
      <c r="A13" s="1957"/>
      <c r="B13" s="2986" t="str">
        <f>结果表!E107</f>
        <v>3.房地产抵押价值</v>
      </c>
      <c r="C13" s="1965" t="s">
        <v>1624</v>
      </c>
      <c r="D13" s="1043">
        <f ca="1">结果表!H107</f>
        <v>272710</v>
      </c>
      <c r="E13" s="1957"/>
    </row>
    <row r="14" spans="1:5" ht="15.6">
      <c r="A14" s="1957"/>
      <c r="B14" s="2987"/>
      <c r="C14" s="1960" t="s">
        <v>1625</v>
      </c>
      <c r="D14" s="1040" t="str">
        <f ca="1">NUMBERSTRING(INT(D13*10000),2)&amp;"元整"</f>
        <v>贰拾柒亿贰仟柒佰壹拾万元整</v>
      </c>
      <c r="E14" s="1957"/>
    </row>
    <row r="15" spans="1:5" ht="15.6">
      <c r="A15" s="1957"/>
      <c r="B15" s="2992"/>
      <c r="C15" s="1961" t="s">
        <v>1635</v>
      </c>
      <c r="D15" s="1052">
        <f ca="1">结果表!H108</f>
        <v>21580</v>
      </c>
      <c r="E15" s="1957"/>
    </row>
    <row r="16" spans="1:5" ht="15.6">
      <c r="A16" s="1957"/>
      <c r="B16" s="2993" t="str">
        <f>结果表!E109</f>
        <v>——</v>
      </c>
      <c r="C16" s="1965" t="s">
        <v>1636</v>
      </c>
      <c r="D16" s="1966" t="str">
        <f>结果表!H109</f>
        <v>——</v>
      </c>
      <c r="E16" s="1957"/>
    </row>
    <row r="17" spans="1:5" ht="15.6">
      <c r="A17" s="1957"/>
      <c r="B17" s="2994"/>
      <c r="C17" s="1960" t="s">
        <v>1637</v>
      </c>
      <c r="D17" s="1040" t="e">
        <f>NUMBERSTRING(INT(D16*10000),2)&amp;"元整"</f>
        <v>#VALUE!</v>
      </c>
      <c r="E17" s="1957"/>
    </row>
    <row r="18" spans="1:5" ht="15.6">
      <c r="A18" s="1957"/>
      <c r="B18" s="2995"/>
      <c r="C18" s="1961" t="s">
        <v>1626</v>
      </c>
      <c r="D18" s="1052" t="str">
        <f>结果表!H110</f>
        <v>——</v>
      </c>
      <c r="E18" s="1957"/>
    </row>
    <row r="19" spans="1:5" ht="15.6">
      <c r="A19" s="1957"/>
      <c r="B19" s="2986" t="str">
        <f>结果表!E111</f>
        <v>——</v>
      </c>
      <c r="C19" s="1965" t="s">
        <v>1624</v>
      </c>
      <c r="D19" s="1041" t="str">
        <f>结果表!H111</f>
        <v>——</v>
      </c>
      <c r="E19" s="1957"/>
    </row>
    <row r="20" spans="1:5" ht="15.6">
      <c r="A20" s="1957"/>
      <c r="B20" s="2987"/>
      <c r="C20" s="1960" t="s">
        <v>1637</v>
      </c>
      <c r="D20" s="1040" t="e">
        <f>NUMBERSTRING(INT(D19*10000),2)&amp;"元整"</f>
        <v>#VALUE!</v>
      </c>
      <c r="E20" s="1957"/>
    </row>
    <row r="21" spans="1:5" ht="16.2" thickBot="1">
      <c r="A21" s="1957"/>
      <c r="B21" s="2988"/>
      <c r="C21" s="1967" t="s">
        <v>1635</v>
      </c>
      <c r="D21" s="1053" t="str">
        <f>结果表!H112</f>
        <v>——</v>
      </c>
      <c r="E21" s="1957"/>
    </row>
    <row r="22" spans="1:5" ht="14.4" thickTop="1">
      <c r="A22" s="1957"/>
      <c r="B22" s="1968" t="s">
        <v>1638</v>
      </c>
      <c r="C22" s="1957"/>
      <c r="D22" s="1957"/>
      <c r="E22" s="1957"/>
    </row>
    <row r="23" spans="1:5">
      <c r="A23" s="1957"/>
      <c r="B23" s="1957"/>
      <c r="C23" s="1957"/>
      <c r="D23" s="1957"/>
      <c r="E23" s="1957"/>
    </row>
    <row r="24" spans="1:5" ht="17.399999999999999">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6" t="s">
        <v>1150</v>
      </c>
      <c r="C1" s="3306"/>
      <c r="D1" s="3306"/>
      <c r="E1" s="3306"/>
      <c r="F1" s="3306"/>
      <c r="G1" s="3302" t="s">
        <v>1151</v>
      </c>
      <c r="H1" s="3302"/>
      <c r="I1" s="3302"/>
      <c r="J1" s="3302"/>
      <c r="K1" s="3302"/>
      <c r="L1" s="3302"/>
      <c r="N1" s="3302" t="s">
        <v>1152</v>
      </c>
      <c r="O1" s="3302"/>
      <c r="P1" s="3302"/>
      <c r="Q1" s="3302"/>
      <c r="R1" s="1445"/>
      <c r="S1" s="3302" t="s">
        <v>1153</v>
      </c>
      <c r="T1" s="3302"/>
      <c r="U1" s="3302"/>
      <c r="V1" s="3302"/>
      <c r="X1" s="3301" t="s">
        <v>1154</v>
      </c>
      <c r="Y1" s="3302"/>
      <c r="Z1" s="3302"/>
      <c r="AA1" s="3302"/>
      <c r="AB1" s="3302"/>
      <c r="AD1" s="3301" t="s">
        <v>1155</v>
      </c>
      <c r="AE1" s="3302"/>
      <c r="AF1" s="3302"/>
      <c r="AG1" s="3302"/>
      <c r="AH1" s="3302"/>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4">
      <c r="A3" s="2936" t="s">
        <v>3041</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2" customFormat="1" ht="14.4">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6">
        <f t="shared" ref="N5:N10" si="7">I5/100</f>
        <v>0</v>
      </c>
      <c r="O5" s="1466">
        <f t="shared" ref="O5" si="8">J5/100</f>
        <v>0</v>
      </c>
      <c r="P5" s="1466">
        <f t="shared" ref="P5" si="9">K5/100</f>
        <v>0</v>
      </c>
      <c r="Q5" s="1466">
        <f t="shared" ref="Q5" si="10">L5/100</f>
        <v>0</v>
      </c>
      <c r="R5" s="1730"/>
      <c r="S5" s="1731"/>
      <c r="T5" s="1730"/>
      <c r="U5" s="1730"/>
      <c r="V5" s="1730"/>
      <c r="W5" s="2926" t="s">
        <v>3042</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3037</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4">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8" thickBot="1">
      <c r="A7" s="1460" t="s">
        <v>3038</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20"/>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9"/>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8" thickBot="1">
      <c r="A9" s="1460" t="s">
        <v>1161</v>
      </c>
      <c r="B9" s="1476">
        <f>B10*(1+N9)</f>
        <v>405.524</v>
      </c>
      <c r="C9" s="1476">
        <f>C10*(1+O9)</f>
        <v>307.79840000000002</v>
      </c>
      <c r="D9" s="1476">
        <f>C9</f>
        <v>307.79840000000002</v>
      </c>
      <c r="E9" s="1476">
        <f>E10*(1+P9)</f>
        <v>574.67759999999998</v>
      </c>
      <c r="F9" s="1476">
        <f>F10*(1+Q9)</f>
        <v>270.20280000000002</v>
      </c>
      <c r="G9" s="2920"/>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0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04"/>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04"/>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8"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05"/>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8" thickBot="1">
      <c r="A14" s="1460" t="s">
        <v>151</v>
      </c>
      <c r="B14" s="1468">
        <v>333</v>
      </c>
      <c r="C14" s="1468">
        <v>277</v>
      </c>
      <c r="D14" s="1468">
        <f t="shared" si="35"/>
        <v>277</v>
      </c>
      <c r="E14" s="1468">
        <v>459</v>
      </c>
      <c r="F14" s="1469">
        <v>249</v>
      </c>
      <c r="G14" s="3303">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04"/>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04"/>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05"/>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8" thickBot="1">
      <c r="A18" s="1460" t="s">
        <v>147</v>
      </c>
      <c r="B18" s="1489">
        <v>318</v>
      </c>
      <c r="C18" s="1489">
        <v>268</v>
      </c>
      <c r="D18" s="1489">
        <f t="shared" si="35"/>
        <v>268</v>
      </c>
      <c r="E18" s="1489">
        <v>437</v>
      </c>
      <c r="F18" s="1490">
        <v>237</v>
      </c>
      <c r="G18" s="3303">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04"/>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8"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04"/>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8"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05"/>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5">
        <f>I21/100</f>
        <v>2.9700000000000001E-2</v>
      </c>
      <c r="AE21" s="1725">
        <f>J21/100</f>
        <v>2.3399999999999997E-2</v>
      </c>
      <c r="AF21" s="1725">
        <f>AE21</f>
        <v>2.3399999999999997E-2</v>
      </c>
      <c r="AG21" s="1725">
        <f>K21/100</f>
        <v>3.2799999999999996E-2</v>
      </c>
      <c r="AH21" s="1725">
        <f>L21/100</f>
        <v>1.3600000000000001E-2</v>
      </c>
    </row>
    <row r="22" spans="1:34" ht="13.8" thickBot="1">
      <c r="A22" s="1460" t="s">
        <v>1163</v>
      </c>
      <c r="B22" s="1468">
        <v>299</v>
      </c>
      <c r="C22" s="1468">
        <v>252</v>
      </c>
      <c r="D22" s="1468">
        <f t="shared" si="35"/>
        <v>252</v>
      </c>
      <c r="E22" s="1468">
        <v>409</v>
      </c>
      <c r="F22" s="1469">
        <v>227</v>
      </c>
      <c r="G22" s="330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0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0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1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8" thickBot="1">
      <c r="A26" s="1460" t="s">
        <v>1167</v>
      </c>
      <c r="B26" s="1510">
        <v>278</v>
      </c>
      <c r="C26" s="1510">
        <v>234</v>
      </c>
      <c r="D26" s="1510">
        <f t="shared" si="35"/>
        <v>234</v>
      </c>
      <c r="E26" s="1510">
        <v>379</v>
      </c>
      <c r="F26" s="1511">
        <v>220</v>
      </c>
      <c r="G26" s="3303">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04"/>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04"/>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8" thickBot="1">
      <c r="A29" s="1460" t="s">
        <v>1170</v>
      </c>
      <c r="B29" s="1476">
        <f>B28/(1+N28)</f>
        <v>275.19025476197027</v>
      </c>
      <c r="C29" s="1512">
        <v>232</v>
      </c>
      <c r="D29" s="1512">
        <f t="shared" si="35"/>
        <v>232</v>
      </c>
      <c r="E29" s="1476">
        <f t="shared" si="46"/>
        <v>375.65990977608692</v>
      </c>
      <c r="F29" s="1476">
        <f t="shared" si="46"/>
        <v>214.12518283971252</v>
      </c>
      <c r="G29" s="3305"/>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8" thickBot="1">
      <c r="A30" s="1460" t="s">
        <v>1171</v>
      </c>
      <c r="B30" s="1468">
        <v>275</v>
      </c>
      <c r="C30" s="1468">
        <v>232</v>
      </c>
      <c r="D30" s="1468">
        <f t="shared" si="35"/>
        <v>232</v>
      </c>
      <c r="E30" s="1468">
        <v>376</v>
      </c>
      <c r="F30" s="1469">
        <v>213</v>
      </c>
      <c r="G30" s="3303">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04">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04">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8"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05">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8" thickBot="1">
      <c r="A34" s="1460" t="s">
        <v>1175</v>
      </c>
      <c r="B34" s="1468">
        <v>269</v>
      </c>
      <c r="C34" s="1468">
        <v>221</v>
      </c>
      <c r="D34" s="1468">
        <f t="shared" si="35"/>
        <v>221</v>
      </c>
      <c r="E34" s="1468">
        <v>373</v>
      </c>
      <c r="F34" s="1469">
        <v>196</v>
      </c>
      <c r="G34" s="3303">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04">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04">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8"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05">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8" thickBot="1">
      <c r="A38" s="1460" t="s">
        <v>1179</v>
      </c>
      <c r="B38" s="1468">
        <v>220</v>
      </c>
      <c r="C38" s="1468">
        <v>187</v>
      </c>
      <c r="D38" s="1468">
        <f t="shared" si="35"/>
        <v>187</v>
      </c>
      <c r="E38" s="1468">
        <v>301</v>
      </c>
      <c r="F38" s="1469">
        <v>168</v>
      </c>
      <c r="G38" s="3303">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04">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04">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05">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8" thickBot="1">
      <c r="A42" s="1460" t="s">
        <v>1183</v>
      </c>
      <c r="B42" s="1510">
        <v>214</v>
      </c>
      <c r="C42" s="1510">
        <v>188</v>
      </c>
      <c r="D42" s="1510">
        <f t="shared" si="35"/>
        <v>188</v>
      </c>
      <c r="E42" s="1510">
        <v>289</v>
      </c>
      <c r="F42" s="1511">
        <v>166</v>
      </c>
      <c r="G42" s="3303">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04">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04">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8"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05">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8" thickBot="1">
      <c r="A46" s="1460" t="s">
        <v>1187</v>
      </c>
      <c r="B46" s="1468">
        <v>188</v>
      </c>
      <c r="C46" s="1468">
        <v>165</v>
      </c>
      <c r="D46" s="1468">
        <f t="shared" si="35"/>
        <v>165</v>
      </c>
      <c r="E46" s="1468">
        <v>254</v>
      </c>
      <c r="F46" s="1469">
        <v>148</v>
      </c>
      <c r="G46" s="3303">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04">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04">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05">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8" thickBot="1">
      <c r="A50" s="1460" t="s">
        <v>1191</v>
      </c>
      <c r="B50" s="1489">
        <v>159</v>
      </c>
      <c r="C50" s="1489">
        <v>141</v>
      </c>
      <c r="D50" s="1489">
        <f t="shared" si="35"/>
        <v>141</v>
      </c>
      <c r="E50" s="1489">
        <v>195</v>
      </c>
      <c r="F50" s="1490">
        <v>122</v>
      </c>
      <c r="G50" s="3303">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04">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04">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05">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8" thickBot="1">
      <c r="A54" s="1460" t="s">
        <v>1195</v>
      </c>
      <c r="B54" s="1489">
        <v>138</v>
      </c>
      <c r="C54" s="1489">
        <v>131</v>
      </c>
      <c r="D54" s="1489">
        <f t="shared" si="35"/>
        <v>131</v>
      </c>
      <c r="E54" s="1489">
        <v>155</v>
      </c>
      <c r="F54" s="1490">
        <v>114</v>
      </c>
      <c r="G54" s="3303">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04">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04">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05">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8" thickBot="1">
      <c r="A58" s="1460" t="s">
        <v>1199</v>
      </c>
      <c r="B58" s="1510">
        <v>121</v>
      </c>
      <c r="C58" s="1510">
        <v>122</v>
      </c>
      <c r="D58" s="1510">
        <f t="shared" si="35"/>
        <v>122</v>
      </c>
      <c r="E58" s="1510">
        <v>124</v>
      </c>
      <c r="F58" s="1511">
        <v>107</v>
      </c>
      <c r="G58" s="3303">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04">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04">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8"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05">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8" thickBot="1">
      <c r="A62" s="1460" t="s">
        <v>1203</v>
      </c>
      <c r="B62" s="1531">
        <v>111</v>
      </c>
      <c r="C62" s="1531">
        <v>114</v>
      </c>
      <c r="D62" s="1531">
        <f t="shared" si="35"/>
        <v>114</v>
      </c>
      <c r="E62" s="1531">
        <v>108</v>
      </c>
      <c r="F62" s="1532">
        <v>104</v>
      </c>
      <c r="G62" s="3303">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04">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04">
        <v>2003</v>
      </c>
      <c r="H64" s="1464">
        <v>2</v>
      </c>
      <c r="I64" s="1533"/>
      <c r="J64" s="1533"/>
      <c r="K64" s="1533"/>
      <c r="L64" s="1533"/>
      <c r="X64" s="1525"/>
      <c r="Y64" s="1525"/>
      <c r="Z64" s="1525"/>
    </row>
    <row r="65" spans="1:26" ht="13.8" thickBot="1">
      <c r="A65" s="1460" t="s">
        <v>1206</v>
      </c>
      <c r="B65" s="1535">
        <f t="shared" si="71"/>
        <v>107.25</v>
      </c>
      <c r="C65" s="1535">
        <f t="shared" si="71"/>
        <v>108.75</v>
      </c>
      <c r="D65" s="1535">
        <f t="shared" si="35"/>
        <v>108.75</v>
      </c>
      <c r="E65" s="1535">
        <f t="shared" si="72"/>
        <v>105.75</v>
      </c>
      <c r="F65" s="1535">
        <f t="shared" si="72"/>
        <v>102.5</v>
      </c>
      <c r="G65" s="3305">
        <v>2003</v>
      </c>
      <c r="H65" s="1536">
        <v>1</v>
      </c>
      <c r="I65" s="1533"/>
      <c r="J65" s="1533"/>
      <c r="K65" s="1533"/>
      <c r="L65" s="1533"/>
      <c r="S65" s="1471"/>
      <c r="T65" s="1472"/>
      <c r="U65" s="1472"/>
      <c r="X65" s="1525"/>
      <c r="Y65" s="1525"/>
      <c r="Z65" s="1525"/>
    </row>
    <row r="66" spans="1:26" ht="13.8" thickBot="1">
      <c r="A66" s="1460" t="s">
        <v>1207</v>
      </c>
      <c r="B66" s="1537">
        <v>106</v>
      </c>
      <c r="C66" s="1537">
        <v>107</v>
      </c>
      <c r="D66" s="1537">
        <f t="shared" si="35"/>
        <v>107</v>
      </c>
      <c r="E66" s="1537">
        <v>105</v>
      </c>
      <c r="F66" s="1538">
        <v>102</v>
      </c>
      <c r="G66" s="3303">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04">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04">
        <v>2002</v>
      </c>
      <c r="H68" s="1464">
        <v>2</v>
      </c>
      <c r="I68" s="1533"/>
      <c r="J68" s="1533"/>
      <c r="K68" s="1533"/>
      <c r="L68" s="1533"/>
      <c r="X68" s="1525"/>
      <c r="Y68" s="1525"/>
      <c r="Z68" s="1525"/>
    </row>
    <row r="69" spans="1:26" s="1497" customFormat="1" ht="13.8" thickBot="1">
      <c r="A69" s="1493" t="s">
        <v>1210</v>
      </c>
      <c r="B69" s="1539">
        <f t="shared" si="73"/>
        <v>103</v>
      </c>
      <c r="C69" s="1539">
        <f t="shared" si="73"/>
        <v>104</v>
      </c>
      <c r="D69" s="1539">
        <f t="shared" si="35"/>
        <v>104</v>
      </c>
      <c r="E69" s="1539">
        <f t="shared" si="74"/>
        <v>103.5</v>
      </c>
      <c r="F69" s="1539">
        <f t="shared" si="74"/>
        <v>100.5</v>
      </c>
      <c r="G69" s="3305">
        <v>2002</v>
      </c>
      <c r="H69" s="1540">
        <v>1</v>
      </c>
      <c r="I69" s="1541"/>
      <c r="J69" s="1541"/>
      <c r="K69" s="1541"/>
      <c r="L69" s="1541"/>
      <c r="N69" s="1542"/>
      <c r="S69" s="1542"/>
      <c r="X69" s="1543"/>
      <c r="Y69" s="1543"/>
      <c r="Z69" s="1543"/>
    </row>
    <row r="70" spans="1:26" ht="13.8"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8"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8"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34098</v>
      </c>
      <c r="C2" s="2" t="s">
        <v>133</v>
      </c>
      <c r="D2" s="241"/>
      <c r="E2" s="241"/>
      <c r="F2" s="241"/>
      <c r="G2" s="241"/>
    </row>
    <row r="3" spans="1:7" s="242" customFormat="1" ht="18" customHeight="1" thickBot="1">
      <c r="A3" s="245" t="s">
        <v>85</v>
      </c>
      <c r="B3" s="246">
        <f ca="1">ROUND(B2*10000/'数据-汇总表'!E3,0)</f>
        <v>2698</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2527</v>
      </c>
      <c r="D10" s="1032">
        <f>'数据-汇总表'!E6</f>
        <v>126370.20000000001</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2527</v>
      </c>
      <c r="D19" s="1036">
        <f>'数据-汇总表'!E3</f>
        <v>126370.20000000001</v>
      </c>
      <c r="E19" s="253">
        <f>'数据-取费表'!B31</f>
        <v>200</v>
      </c>
      <c r="F19" s="273"/>
      <c r="G19" s="1" t="s">
        <v>1074</v>
      </c>
    </row>
    <row r="20" spans="1:7" s="256" customFormat="1" ht="13.5" customHeight="1">
      <c r="A20" s="948" t="s">
        <v>1057</v>
      </c>
      <c r="B20" s="252" t="s">
        <v>104</v>
      </c>
      <c r="C20" s="274">
        <f>ROUND((C5+C19)*F20,0)</f>
        <v>463</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394</v>
      </c>
      <c r="D22" s="277">
        <f ca="1">C26</f>
        <v>2.0000000000000001E-4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347</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43</v>
      </c>
      <c r="D24" s="280"/>
      <c r="E24" s="280"/>
      <c r="F24" s="281"/>
      <c r="G24" s="282" t="s">
        <v>109</v>
      </c>
    </row>
    <row r="25" spans="1:7" s="256" customFormat="1" ht="24">
      <c r="A25" s="951" t="s">
        <v>793</v>
      </c>
      <c r="B25" s="257" t="s">
        <v>1058</v>
      </c>
      <c r="C25" s="1354">
        <f ca="1">ROUND(IF('数据-取费表'!B22&lt;=1,C20*F22*'数据-取费表'!B23/2,C20*(POWER((1+F22),'数据-取费表'!B23/2)-1)),0)</f>
        <v>4</v>
      </c>
      <c r="D25" s="280"/>
      <c r="E25" s="283"/>
      <c r="F25" s="281"/>
      <c r="G25" s="284" t="s">
        <v>110</v>
      </c>
    </row>
    <row r="26" spans="1:7" s="256" customFormat="1">
      <c r="A26" s="951" t="s">
        <v>795</v>
      </c>
      <c r="B26" s="257" t="s">
        <v>1060</v>
      </c>
      <c r="C26" s="280">
        <f ca="1">ROUND(IF('数据-取费表'!B22&lt;=1,F21*F22*'数据-取费表'!B23/2,F21*(POWER((1+F22),'数据-取费表'!B23/2)-1)),4)</f>
        <v>2.0000000000000001E-4</v>
      </c>
      <c r="D26" s="280"/>
      <c r="E26" s="283"/>
      <c r="F26" s="281"/>
      <c r="G26" s="285"/>
    </row>
    <row r="27" spans="1:7" s="256" customFormat="1" ht="26.4">
      <c r="A27" s="948" t="s">
        <v>787</v>
      </c>
      <c r="B27" s="286" t="s">
        <v>112</v>
      </c>
      <c r="C27" s="287">
        <f>C28</f>
        <v>595</v>
      </c>
      <c r="D27" s="277">
        <f>C29</f>
        <v>5.0000000000000001E-4</v>
      </c>
      <c r="E27" s="278" t="s">
        <v>126</v>
      </c>
      <c r="F27" s="288">
        <f>'数据-取费表'!Q16</f>
        <v>0.21</v>
      </c>
      <c r="G27" s="289" t="s">
        <v>1069</v>
      </c>
    </row>
    <row r="28" spans="1:7" s="256" customFormat="1" ht="13.5" customHeight="1">
      <c r="A28" s="951" t="s">
        <v>794</v>
      </c>
      <c r="B28" s="290" t="s">
        <v>1062</v>
      </c>
      <c r="C28" s="291">
        <f>ROUND((C5+C19+C20)*F27*'数据-取费表'!B21/'数据-取费表'!B20,0)</f>
        <v>595</v>
      </c>
      <c r="D28" s="277"/>
      <c r="E28" s="278"/>
      <c r="F28" s="288"/>
      <c r="G28" s="289"/>
    </row>
    <row r="29" spans="1:7" s="256" customFormat="1" ht="13.5" customHeight="1">
      <c r="A29" s="951" t="s">
        <v>792</v>
      </c>
      <c r="B29" s="290" t="s">
        <v>1063</v>
      </c>
      <c r="C29" s="280">
        <f>ROUND(C21*F27*'数据-取费表'!B21/'数据-取费表'!B20,4)</f>
        <v>5.0000000000000001E-4</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26528</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5624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5092</v>
      </c>
      <c r="D34" s="259"/>
      <c r="E34" s="262"/>
      <c r="F34" s="299">
        <f>IF('数据-取费表'!B24=0,1,'数据-取费表'!N16)</f>
        <v>0.12</v>
      </c>
      <c r="G34" s="261" t="s">
        <v>116</v>
      </c>
    </row>
    <row r="35" spans="1:7" ht="13.5" customHeight="1">
      <c r="A35" s="951" t="s">
        <v>796</v>
      </c>
      <c r="B35" s="257" t="s">
        <v>60</v>
      </c>
      <c r="C35" s="262">
        <f>ROUND(C34*F35,0)</f>
        <v>153</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303</v>
      </c>
      <c r="D37" s="259">
        <f>'数据-汇总表'!E3</f>
        <v>126370.20000000001</v>
      </c>
      <c r="E37" s="291">
        <f>'数据-取费表'!B35</f>
        <v>200</v>
      </c>
      <c r="F37" s="301"/>
      <c r="G37" s="303" t="s">
        <v>119</v>
      </c>
    </row>
    <row r="38" spans="1:7" ht="13.5" customHeight="1">
      <c r="A38" s="951" t="s">
        <v>799</v>
      </c>
      <c r="B38" s="257" t="s">
        <v>63</v>
      </c>
      <c r="C38" s="262">
        <f>ROUND(C34*F38,0)</f>
        <v>76</v>
      </c>
      <c r="D38" s="262"/>
      <c r="E38" s="262"/>
      <c r="F38" s="301">
        <f>'数据-取费表'!B36</f>
        <v>1.4999999999999999E-2</v>
      </c>
      <c r="G38" s="261" t="s">
        <v>117</v>
      </c>
    </row>
    <row r="39" spans="1:7" s="256" customFormat="1" ht="13.5" customHeight="1">
      <c r="A39" s="948" t="s">
        <v>783</v>
      </c>
      <c r="B39" s="252" t="s">
        <v>104</v>
      </c>
      <c r="C39" s="274">
        <f>ROUND(C33*F20,0)</f>
        <v>112</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48</v>
      </c>
      <c r="D41" s="277">
        <f ca="1">C44</f>
        <v>2.0000000000000001E-4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47</v>
      </c>
      <c r="D42" s="280"/>
      <c r="E42" s="280"/>
      <c r="F42" s="281"/>
      <c r="G42" s="3171" t="s">
        <v>121</v>
      </c>
    </row>
    <row r="43" spans="1:7" ht="13.5" customHeight="1">
      <c r="A43" s="951" t="s">
        <v>792</v>
      </c>
      <c r="B43" s="257" t="s">
        <v>1064</v>
      </c>
      <c r="C43" s="280">
        <f ca="1">ROUND(IF('数据-取费表'!B22&lt;=1,C39*F22*'数据-取费表'!B21/2,C39*(POWER((1+F22),'数据-取费表'!B21/2)-1)),0)</f>
        <v>1</v>
      </c>
      <c r="D43" s="280"/>
      <c r="E43" s="280"/>
      <c r="F43" s="281"/>
      <c r="G43" s="3172"/>
    </row>
    <row r="44" spans="1:7" ht="13.5" customHeight="1">
      <c r="A44" s="951" t="s">
        <v>793</v>
      </c>
      <c r="B44" s="257" t="s">
        <v>1066</v>
      </c>
      <c r="C44" s="280">
        <f ca="1">ROUND(IF('数据-取费表'!B22&lt;=1,C40*F22*'数据-取费表'!B21/2,C40*(POWER((1+F22),'数据-取费表'!B21/2)-1)),4)</f>
        <v>2.0000000000000001E-4</v>
      </c>
      <c r="D44" s="280"/>
      <c r="E44" s="280"/>
      <c r="F44" s="281"/>
      <c r="G44" s="3173"/>
    </row>
    <row r="45" spans="1:7" s="256" customFormat="1" ht="13.5" customHeight="1">
      <c r="A45" s="948" t="s">
        <v>786</v>
      </c>
      <c r="B45" s="286" t="s">
        <v>112</v>
      </c>
      <c r="C45" s="287">
        <f>C46</f>
        <v>1205</v>
      </c>
      <c r="D45" s="277">
        <f>C47</f>
        <v>4.1999999999999997E-3</v>
      </c>
      <c r="E45" s="278" t="s">
        <v>129</v>
      </c>
      <c r="F45" s="288"/>
      <c r="G45" s="289" t="s">
        <v>1072</v>
      </c>
    </row>
    <row r="46" spans="1:7" s="256" customFormat="1" ht="13.5" customHeight="1">
      <c r="A46" s="951" t="s">
        <v>794</v>
      </c>
      <c r="B46" s="290" t="s">
        <v>1065</v>
      </c>
      <c r="C46" s="291">
        <f>ROUND((C33+C39)*F27,0)</f>
        <v>1205</v>
      </c>
      <c r="D46" s="305"/>
      <c r="E46" s="278"/>
      <c r="F46" s="288"/>
      <c r="G46" s="289"/>
    </row>
    <row r="47" spans="1:7" s="256" customFormat="1" ht="13.5" customHeight="1">
      <c r="A47" s="951" t="s">
        <v>792</v>
      </c>
      <c r="B47" s="290" t="s">
        <v>1067</v>
      </c>
      <c r="C47" s="280">
        <f>ROUND(C40*F27,4)</f>
        <v>4.1999999999999997E-3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7570</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7570</v>
      </c>
      <c r="D51" s="274"/>
      <c r="E51" s="274"/>
      <c r="F51" s="306"/>
      <c r="G51" s="276" t="s">
        <v>64</v>
      </c>
    </row>
    <row r="52" spans="1:7" s="250" customFormat="1" ht="16.8" thickBot="1">
      <c r="A52" s="307" t="s">
        <v>65</v>
      </c>
      <c r="B52" s="308"/>
      <c r="C52" s="309">
        <f ca="1">C31+C51</f>
        <v>34098</v>
      </c>
      <c r="D52" s="308"/>
      <c r="E52" s="308"/>
      <c r="F52" s="308"/>
      <c r="G52" s="310"/>
    </row>
    <row r="55" spans="1:7" ht="15">
      <c r="B55" s="312" t="s">
        <v>66</v>
      </c>
      <c r="C55" s="313"/>
    </row>
    <row r="56" spans="1:7">
      <c r="B56" s="315" t="s">
        <v>67</v>
      </c>
      <c r="C56" s="316">
        <f ca="1">ROUND(C51/C52,3)</f>
        <v>0.222</v>
      </c>
    </row>
    <row r="57" spans="1:7">
      <c r="B57" s="315" t="s">
        <v>68</v>
      </c>
      <c r="C57" s="317">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1" t="s">
        <v>871</v>
      </c>
      <c r="B1" s="3311"/>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43332</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3059</v>
      </c>
      <c r="D1" s="1818" t="s">
        <v>3151</v>
      </c>
      <c r="E1" s="1819" t="s">
        <v>1387</v>
      </c>
      <c r="F1" s="1282" t="e">
        <f ca="1">J53</f>
        <v>#N/A</v>
      </c>
      <c r="G1" s="1834"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t="e">
        <f ca="1">C6+C10+C12</f>
        <v>#N/A</v>
      </c>
      <c r="D5" s="1820" t="s">
        <v>1402</v>
      </c>
      <c r="E5" s="1292"/>
      <c r="F5" s="1293"/>
      <c r="G5" s="1849"/>
      <c r="H5" s="342">
        <v>1</v>
      </c>
      <c r="I5" s="343" t="s">
        <v>1401</v>
      </c>
      <c r="J5" s="1291" t="e">
        <f ca="1">J6+J10+J12</f>
        <v>#N/A</v>
      </c>
      <c r="K5" s="1820" t="s">
        <v>1402</v>
      </c>
      <c r="L5" s="1292"/>
      <c r="M5" s="1293"/>
    </row>
    <row r="6" spans="1:37" ht="18" customHeight="1">
      <c r="A6" s="1290" t="s">
        <v>1035</v>
      </c>
      <c r="B6" s="3252" t="s">
        <v>1403</v>
      </c>
      <c r="C6" s="1295" t="e">
        <f ca="1">ROUND(F6*F8*F7*(1-F9)/10000,0)</f>
        <v>#N/A</v>
      </c>
      <c r="D6" s="162" t="s">
        <v>3033</v>
      </c>
      <c r="E6" s="345" t="s">
        <v>1405</v>
      </c>
      <c r="F6" s="346" t="e">
        <f ca="1">INDIRECT("'数据-取费表'!u"&amp;$G$1)</f>
        <v>#N/A</v>
      </c>
      <c r="G6" s="1849"/>
      <c r="H6" s="1290" t="s">
        <v>1035</v>
      </c>
      <c r="I6" s="3252" t="s">
        <v>1403</v>
      </c>
      <c r="J6" s="344" t="e">
        <f ca="1">ROUND(M6*M8*M7*(1-M9)/10000,0)</f>
        <v>#N/A</v>
      </c>
      <c r="K6" s="162" t="s">
        <v>3032</v>
      </c>
      <c r="L6" s="345" t="s">
        <v>1405</v>
      </c>
      <c r="M6" s="346" t="e">
        <f ca="1">INDIRECT("'数据-取费表'!z"&amp;$G$1)</f>
        <v>#N/A</v>
      </c>
    </row>
    <row r="7" spans="1:37" ht="18" customHeight="1">
      <c r="A7" s="1294"/>
      <c r="B7" s="3253"/>
      <c r="C7" s="1296"/>
      <c r="D7" s="350"/>
      <c r="E7" s="2945" t="s">
        <v>1406</v>
      </c>
      <c r="F7" s="346" t="e">
        <f ca="1">IF(INDIRECT("'数据-取费表'!ah"&amp;$G$1)="",INDIRECT("'数据-取费表'!k"&amp;$G$1),INDIRECT("'数据-取费表'!ah"&amp;$G$1))</f>
        <v>#N/A</v>
      </c>
      <c r="G7" s="1849"/>
      <c r="H7" s="347"/>
      <c r="I7" s="3253"/>
      <c r="J7" s="349"/>
      <c r="K7" s="350"/>
      <c r="L7" s="345" t="s">
        <v>1406</v>
      </c>
      <c r="M7" s="346" t="e">
        <f ca="1">F7</f>
        <v>#N/A</v>
      </c>
    </row>
    <row r="8" spans="1:37" ht="18" customHeight="1">
      <c r="A8" s="347"/>
      <c r="B8" s="3253"/>
      <c r="C8" s="349"/>
      <c r="D8" s="350"/>
      <c r="E8" s="345" t="s">
        <v>1407</v>
      </c>
      <c r="F8" s="346" t="e">
        <f ca="1">INDIRECT("'数据-取费表'!ai"&amp;$G$1)</f>
        <v>#N/A</v>
      </c>
      <c r="G8" s="1849"/>
      <c r="H8" s="347"/>
      <c r="I8" s="3253"/>
      <c r="J8" s="349"/>
      <c r="K8" s="350"/>
      <c r="L8" s="345" t="s">
        <v>1407</v>
      </c>
      <c r="M8" s="346" t="e">
        <f ca="1">INDIRECT("'数据-取费表'!ai"&amp;$G$1)</f>
        <v>#N/A</v>
      </c>
    </row>
    <row r="9" spans="1:37" ht="18" customHeight="1">
      <c r="A9" s="347"/>
      <c r="B9" s="3254"/>
      <c r="C9" s="349"/>
      <c r="D9" s="350"/>
      <c r="E9" s="345" t="s">
        <v>1408</v>
      </c>
      <c r="F9" s="355" t="e">
        <f ca="1">INDIRECT("'数据-取费表'!w"&amp;$G$1)</f>
        <v>#N/A</v>
      </c>
      <c r="G9" s="1849"/>
      <c r="H9" s="347"/>
      <c r="I9" s="3254"/>
      <c r="J9" s="349"/>
      <c r="K9" s="350"/>
      <c r="L9" s="356" t="s">
        <v>1408</v>
      </c>
      <c r="M9" s="357" t="e">
        <f ca="1">INDIRECT("'数据-取费表'!ab"&amp;$G$1)</f>
        <v>#N/A</v>
      </c>
    </row>
    <row r="10" spans="1:37" ht="18" customHeight="1">
      <c r="A10" s="1290" t="s">
        <v>1039</v>
      </c>
      <c r="B10" s="1821" t="s">
        <v>1409</v>
      </c>
      <c r="C10" s="359" t="e">
        <f ca="1">ROUND(IF(F10="押一",F6*F8*F7/12*F11,IF(F10="押二",F6*F8*F7/12*2*F11,IF(F10="押三",F6*F8*F7/12*3*F11,C11*F11)))/10000,0)</f>
        <v>#N/A</v>
      </c>
      <c r="D10" s="1822" t="s">
        <v>3029</v>
      </c>
      <c r="E10" s="356" t="s">
        <v>1411</v>
      </c>
      <c r="F10" s="1365" t="s">
        <v>3152</v>
      </c>
      <c r="G10" s="1849"/>
      <c r="H10" s="1290" t="s">
        <v>1039</v>
      </c>
      <c r="I10" s="1821" t="s">
        <v>1409</v>
      </c>
      <c r="J10" s="344" t="e">
        <f ca="1">ROUND(IF(M10="押一",M6*M8*M7/12*M11,IF(M10="押二",M6*M8*M7/12*2*M11,IF(M10="押三",M6*M8*M7/12*3*M11,J11*M11)))/10000,0)</f>
        <v>#N/A</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1" t="s">
        <v>1034</v>
      </c>
      <c r="B14" s="345" t="s">
        <v>1418</v>
      </c>
      <c r="C14" s="361" t="e">
        <f ca="1">INDIRECT("'数据-取费表'!m"&amp;$G$1)+INDIRECT("'数据-取费表'!t"&amp;$G$1)</f>
        <v>#N/A</v>
      </c>
      <c r="D14" s="2939" t="s">
        <v>1419</v>
      </c>
      <c r="E14" s="2937"/>
      <c r="F14" s="362"/>
      <c r="G14" s="1849"/>
      <c r="H14" s="1201" t="s">
        <v>1035</v>
      </c>
      <c r="I14" s="345" t="s">
        <v>1420</v>
      </c>
      <c r="J14" s="23" t="e">
        <f ca="1">C29</f>
        <v>#N/A</v>
      </c>
      <c r="K14" s="2944"/>
      <c r="L14" s="979"/>
      <c r="M14" s="980"/>
    </row>
    <row r="15" spans="1:37" s="1856" customFormat="1" ht="18" customHeight="1" thickBot="1">
      <c r="A15" s="1201" t="s">
        <v>1036</v>
      </c>
      <c r="B15" s="345" t="s">
        <v>1421</v>
      </c>
      <c r="C15" s="23" t="e">
        <f ca="1">ROUND(C14*F15,0)</f>
        <v>#N/A</v>
      </c>
      <c r="D15" s="363" t="s">
        <v>1422</v>
      </c>
      <c r="E15" s="363" t="s">
        <v>1423</v>
      </c>
      <c r="F15" s="364">
        <f>'数据-取费表'!B33</f>
        <v>0.03</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t="e">
        <f ca="1">ROUND(INDIRECT("'数据-取费表'!m"&amp;$G$1)*F16,0)</f>
        <v>#N/A</v>
      </c>
      <c r="D16" s="345" t="s">
        <v>1422</v>
      </c>
      <c r="E16" s="345" t="s">
        <v>1423</v>
      </c>
      <c r="F16" s="365" t="e">
        <f ca="1">IF(INDIRECT("'数据-取费表'!c"&amp;$G$1)="住宅",'数据-取费表'!B34,0)</f>
        <v>#N/A</v>
      </c>
      <c r="G16" s="1849"/>
      <c r="H16" s="1328" t="s">
        <v>1030</v>
      </c>
      <c r="I16" s="1329" t="s">
        <v>1425</v>
      </c>
      <c r="J16" s="353" t="e">
        <f ca="1">ROUND(J17+J22+J23+J24,0)</f>
        <v>#N/A</v>
      </c>
      <c r="K16" s="1336" t="s">
        <v>1426</v>
      </c>
      <c r="L16" s="2940"/>
      <c r="M16" s="1293"/>
    </row>
    <row r="17" spans="1:37" s="1856" customFormat="1" ht="18" customHeight="1">
      <c r="A17" s="1201" t="s">
        <v>1390</v>
      </c>
      <c r="B17" s="345" t="s">
        <v>1427</v>
      </c>
      <c r="C17" s="23" t="e">
        <f ca="1">ROUND(F17*(F43+INDIRECT("'数据-取费表'!S"&amp;$G$1))/10000,0)</f>
        <v>#N/A</v>
      </c>
      <c r="D17" s="345" t="s">
        <v>1428</v>
      </c>
      <c r="E17" s="345" t="s">
        <v>1429</v>
      </c>
      <c r="F17" s="25">
        <f>'数据-取费表'!B35</f>
        <v>200</v>
      </c>
      <c r="G17" s="1852"/>
      <c r="H17" s="1201" t="s">
        <v>1035</v>
      </c>
      <c r="I17" s="345" t="s">
        <v>1430</v>
      </c>
      <c r="J17" s="23" t="e">
        <f ca="1">ROUND(IF(项目基本情况!B11="自然人",J5*M17,J18+J19+J20),1)</f>
        <v>#N/A</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t="e">
        <f ca="1">ROUND(C14*F18,0)</f>
        <v>#N/A</v>
      </c>
      <c r="D18" s="345" t="s">
        <v>1422</v>
      </c>
      <c r="E18" s="345" t="s">
        <v>1423</v>
      </c>
      <c r="F18" s="365">
        <f>'数据-取费表'!B36</f>
        <v>1.4999999999999999E-2</v>
      </c>
      <c r="G18" s="1852"/>
      <c r="H18" s="1201" t="s">
        <v>1034</v>
      </c>
      <c r="I18" s="345" t="s">
        <v>1434</v>
      </c>
      <c r="J18" s="23" t="e">
        <f ca="1">ROUND(J5*M18/(1+'数据-取费表'!C42),2)</f>
        <v>#N/A</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t="e">
        <f ca="1">SUM(C14:C18)</f>
        <v>#N/A</v>
      </c>
      <c r="D19" s="138" t="s">
        <v>1437</v>
      </c>
      <c r="E19" s="2943"/>
      <c r="F19" s="25"/>
      <c r="G19" s="1849"/>
      <c r="H19" s="1201" t="s">
        <v>1036</v>
      </c>
      <c r="I19" s="345" t="s">
        <v>1438</v>
      </c>
      <c r="J19" s="23" t="e">
        <f ca="1">IF(K19="按租金收入计税",ROUND(J5*M19,2),ROUND(C29*M19*0.7,2))</f>
        <v>#N/A</v>
      </c>
      <c r="K19" s="1826" t="s">
        <v>1439</v>
      </c>
      <c r="L19" s="345" t="s">
        <v>1423</v>
      </c>
      <c r="M19" s="365">
        <f>IF(K19="按租金收入计税",'数据-取费表'!B51,'数据-取费表'!B50)</f>
        <v>1.2E-2</v>
      </c>
    </row>
    <row r="20" spans="1:37" s="1856" customFormat="1" ht="18" customHeight="1">
      <c r="A20" s="1201" t="s">
        <v>1039</v>
      </c>
      <c r="B20" s="345" t="s">
        <v>1440</v>
      </c>
      <c r="C20" s="23" t="e">
        <f ca="1">ROUND(C19*F20,0)</f>
        <v>#N/A</v>
      </c>
      <c r="D20" s="367" t="s">
        <v>1441</v>
      </c>
      <c r="E20" s="345" t="s">
        <v>1423</v>
      </c>
      <c r="F20" s="365">
        <f>'数据-取费表'!B37</f>
        <v>0.02</v>
      </c>
      <c r="G20" s="1852"/>
      <c r="H20" s="1201" t="s">
        <v>1389</v>
      </c>
      <c r="I20" s="162" t="s">
        <v>1442</v>
      </c>
      <c r="J20" s="24" t="e">
        <f ca="1">ROUND(M20*M21/10000,2)</f>
        <v>#N/A</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t="e">
        <f ca="1">ROUND(J14*M22,1)</f>
        <v>#N/A</v>
      </c>
      <c r="K22" s="2938" t="s">
        <v>1451</v>
      </c>
      <c r="L22" s="345" t="s">
        <v>1423</v>
      </c>
      <c r="M22" s="372" t="e">
        <f ca="1">INDIRECT("'数据-取费表'!Ak"&amp;$G$1)</f>
        <v>#N/A</v>
      </c>
    </row>
    <row r="23" spans="1:37" s="1856" customFormat="1" ht="18" customHeight="1">
      <c r="A23" s="1201" t="s">
        <v>1034</v>
      </c>
      <c r="B23" s="345" t="s">
        <v>1452</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t="e">
        <f ca="1">ROUND(J13*M23,1)</f>
        <v>#N/A</v>
      </c>
      <c r="K23" s="2938" t="s">
        <v>1455</v>
      </c>
      <c r="L23" s="345" t="s">
        <v>1423</v>
      </c>
      <c r="M23" s="374"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t="e">
        <f ca="1">ROUND(J5*M24,1)</f>
        <v>#N/A</v>
      </c>
      <c r="K24" s="1341" t="s">
        <v>1460</v>
      </c>
      <c r="L24" s="1339" t="s">
        <v>1423</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t="e">
        <f ca="1">J5-J16</f>
        <v>#N/A</v>
      </c>
      <c r="K25" s="1344" t="s">
        <v>1465</v>
      </c>
      <c r="L25" s="1345"/>
      <c r="M25" s="1346"/>
    </row>
    <row r="26" spans="1:37">
      <c r="A26" s="1201" t="s">
        <v>1034</v>
      </c>
      <c r="B26" s="345" t="s">
        <v>1466</v>
      </c>
      <c r="C26" s="23" t="e">
        <f ca="1">ROUND((C19+C20)*F26,0)</f>
        <v>#N/A</v>
      </c>
      <c r="D26" s="367" t="s">
        <v>1467</v>
      </c>
      <c r="E26" s="356" t="s">
        <v>1468</v>
      </c>
      <c r="F26" s="355" t="e">
        <f ca="1">INDIRECT("'数据-取费表'!q"&amp;$G$1)</f>
        <v>#N/A</v>
      </c>
      <c r="G26" s="1849"/>
      <c r="H26" s="342" t="s">
        <v>1032</v>
      </c>
      <c r="I26" s="343" t="s">
        <v>1469</v>
      </c>
      <c r="J26" s="344" t="e">
        <f ca="1">IF(J5&lt;&gt;0,ROUND(J25*(1-((1+M28)/(1+M26))^M27)/(M26-M28),0),0)</f>
        <v>#N/A</v>
      </c>
      <c r="K26" s="368" t="s">
        <v>1470</v>
      </c>
      <c r="L26" s="345" t="s">
        <v>1471</v>
      </c>
      <c r="M26" s="355" t="e">
        <f ca="1">INDIRECT("'数据-取费表'!I"&amp;$G$1)</f>
        <v>#N/A</v>
      </c>
    </row>
    <row r="27" spans="1:37" ht="18" customHeight="1">
      <c r="A27" s="1201" t="s">
        <v>1036</v>
      </c>
      <c r="B27" s="345" t="s">
        <v>1472</v>
      </c>
      <c r="C27" s="23" t="e">
        <f ca="1">ROUND(F21*F26,4)</f>
        <v>#N/A</v>
      </c>
      <c r="D27" s="367" t="s">
        <v>1473</v>
      </c>
      <c r="E27" s="363"/>
      <c r="F27" s="364"/>
      <c r="G27" s="1849"/>
      <c r="H27" s="347"/>
      <c r="I27" s="348"/>
      <c r="J27" s="349"/>
      <c r="K27" s="376" t="s">
        <v>1474</v>
      </c>
      <c r="L27" s="345" t="s">
        <v>1475</v>
      </c>
      <c r="M27" s="377" t="e">
        <f ca="1">INDIRECT("'数据-取费表'!ag"&amp;$G$1)</f>
        <v>#N/A</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78" t="s">
        <v>1033</v>
      </c>
      <c r="I29" s="379" t="s">
        <v>1480</v>
      </c>
      <c r="J29" s="380" t="e">
        <f ca="1">ROUND(J26/(1+F40)^F41,0)</f>
        <v>#N/A</v>
      </c>
      <c r="K29" s="381" t="s">
        <v>1481</v>
      </c>
      <c r="L29" s="382"/>
      <c r="M29" s="383"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t="e">
        <f ca="1">ROUND(C31+C36+C37+C38,0)</f>
        <v>#N/A</v>
      </c>
      <c r="D30" s="1336" t="s">
        <v>1426</v>
      </c>
      <c r="E30" s="2940"/>
      <c r="F30" s="1293"/>
      <c r="G30" s="1849"/>
      <c r="H30" s="743"/>
      <c r="I30" s="744"/>
      <c r="J30" s="745"/>
      <c r="K30" s="746"/>
      <c r="L30" s="747"/>
      <c r="M30" s="748"/>
    </row>
    <row r="31" spans="1:37" ht="18" customHeight="1">
      <c r="A31" s="1201" t="s">
        <v>1035</v>
      </c>
      <c r="B31" s="345" t="s">
        <v>1430</v>
      </c>
      <c r="C31" s="23" t="e">
        <f ca="1">ROUND(IF(项目基本情况!B11="自然人",C5*F31,C32+C33+C34),1)</f>
        <v>#N/A</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t="e">
        <f ca="1">IF(项目基本情况!B11="自然人","——",ROUND(C5*F32/(1+'数据-取费表'!C42),2))</f>
        <v>#N/A</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t="e">
        <f ca="1">IF(项目基本情况!B11="自然人","——",IF(D33="按租金收入计税",ROUND(C5*F33,2),IF(D33="按房产原值计税",ROUND(C29*F33*0.7,2),INDIRECT("'数据-取费表'!Aj"&amp;$G$1))))</f>
        <v>#N/A</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90" t="s">
        <v>1389</v>
      </c>
      <c r="B34" s="162" t="s">
        <v>1442</v>
      </c>
      <c r="C34" s="24" t="e">
        <f ca="1">IF(项目基本情况!B11="自然人","——",ROUND(F34*F35/10000,2))</f>
        <v>#N/A</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t="e">
        <f ca="1">INDIRECT("'数据-取费表'!r"&amp;$G$1)</f>
        <v>#N/A</v>
      </c>
      <c r="G35" s="1849"/>
      <c r="H35" s="743"/>
      <c r="I35" s="1858"/>
      <c r="J35" s="1859"/>
      <c r="K35" s="1860"/>
      <c r="L35" s="1857"/>
      <c r="M35" s="1857"/>
    </row>
    <row r="36" spans="1:18" ht="18" customHeight="1">
      <c r="A36" s="1351" t="s">
        <v>1039</v>
      </c>
      <c r="B36" s="345" t="s">
        <v>1450</v>
      </c>
      <c r="C36" s="23" t="e">
        <f ca="1">ROUND(C29*F36,1)</f>
        <v>#N/A</v>
      </c>
      <c r="D36" s="2938" t="s">
        <v>1483</v>
      </c>
      <c r="E36" s="345" t="s">
        <v>1423</v>
      </c>
      <c r="F36" s="372" t="e">
        <f ca="1">INDIRECT("'数据-取费表'!Ak"&amp;$G$1)</f>
        <v>#N/A</v>
      </c>
      <c r="G36" s="1849"/>
      <c r="H36" s="1857"/>
      <c r="I36" s="1858"/>
      <c r="J36" s="1859"/>
      <c r="K36" s="749"/>
      <c r="L36" s="1857"/>
      <c r="M36" s="1857"/>
    </row>
    <row r="37" spans="1:18" ht="18" customHeight="1">
      <c r="A37" s="1201" t="s">
        <v>1075</v>
      </c>
      <c r="B37" s="345" t="s">
        <v>1454</v>
      </c>
      <c r="C37" s="23" t="e">
        <f ca="1">ROUND(C13*F37,1)</f>
        <v>#N/A</v>
      </c>
      <c r="D37" s="2938" t="s">
        <v>1455</v>
      </c>
      <c r="E37" s="345" t="s">
        <v>1423</v>
      </c>
      <c r="F37" s="374" t="e">
        <f ca="1">INDIRECT("'数据-取费表'!Al"&amp;$G$1)</f>
        <v>#N/A</v>
      </c>
      <c r="G37" s="1849"/>
      <c r="H37" s="1857"/>
      <c r="I37" s="1858"/>
      <c r="J37" s="1859"/>
      <c r="K37" s="749"/>
      <c r="L37" s="1857"/>
      <c r="M37" s="1857"/>
    </row>
    <row r="38" spans="1:18" ht="18" customHeight="1" thickBot="1">
      <c r="A38" s="1338" t="s">
        <v>1392</v>
      </c>
      <c r="B38" s="1339" t="s">
        <v>1440</v>
      </c>
      <c r="C38" s="1340" t="e">
        <f ca="1">ROUND(C5*F38,1)</f>
        <v>#N/A</v>
      </c>
      <c r="D38" s="1341" t="s">
        <v>1460</v>
      </c>
      <c r="E38" s="1339" t="s">
        <v>1423</v>
      </c>
      <c r="F38" s="1335" t="e">
        <f ca="1">INDIRECT("'数据-取费表'!Am"&amp;$G$1)</f>
        <v>#N/A</v>
      </c>
      <c r="G38" s="1849"/>
      <c r="H38" s="1857"/>
      <c r="I38" s="1858"/>
      <c r="J38" s="1859"/>
      <c r="K38" s="1863"/>
      <c r="L38" s="1857"/>
      <c r="M38" s="1857"/>
    </row>
    <row r="39" spans="1:18" ht="24.6" customHeight="1" thickTop="1">
      <c r="A39" s="1328" t="s">
        <v>1031</v>
      </c>
      <c r="B39" s="1343" t="s">
        <v>1464</v>
      </c>
      <c r="C39" s="353" t="e">
        <f ca="1">C5-C30</f>
        <v>#N/A</v>
      </c>
      <c r="D39" s="1344" t="s">
        <v>1465</v>
      </c>
      <c r="E39" s="1345"/>
      <c r="F39" s="1346"/>
      <c r="G39" s="1849"/>
      <c r="H39" s="1857"/>
      <c r="I39" s="1858"/>
      <c r="J39" s="1859"/>
      <c r="K39" s="1863"/>
      <c r="L39" s="1857"/>
      <c r="M39" s="1857"/>
    </row>
    <row r="40" spans="1:18" ht="18" customHeight="1">
      <c r="A40" s="342" t="s">
        <v>1032</v>
      </c>
      <c r="B40" s="343" t="s">
        <v>1486</v>
      </c>
      <c r="C40" s="344" t="e">
        <f ca="1">ROUND(C39*(1-((1+F42)/(1+F40))^F41)/(F40-F42),0)</f>
        <v>#N/A</v>
      </c>
      <c r="D40" s="368" t="s">
        <v>1470</v>
      </c>
      <c r="E40" s="345" t="s">
        <v>1471</v>
      </c>
      <c r="F40" s="355" t="e">
        <f ca="1">INDIRECT("'数据-取费表'!I"&amp;$G$1)</f>
        <v>#N/A</v>
      </c>
      <c r="G40" s="1849"/>
      <c r="H40" s="1837"/>
      <c r="I40" s="1858"/>
      <c r="J40" s="1859"/>
      <c r="K40" s="1863"/>
      <c r="L40" s="1837"/>
      <c r="M40" s="1837"/>
    </row>
    <row r="41" spans="1:18" ht="18" customHeight="1">
      <c r="A41" s="347"/>
      <c r="B41" s="348"/>
      <c r="C41" s="349"/>
      <c r="D41" s="376" t="s">
        <v>1487</v>
      </c>
      <c r="E41" s="345" t="s">
        <v>1475</v>
      </c>
      <c r="F41" s="377" t="e">
        <f ca="1">IF(INDIRECT("'数据-取费表'!af"&amp;$G$1)=0,INDIRECT("'数据-取费表'!ae"&amp;$G$1),INDIRECT("'数据-取费表'!af"&amp;$G$1))</f>
        <v>#N/A</v>
      </c>
      <c r="G41" s="1849"/>
      <c r="H41" s="730"/>
      <c r="I41" s="1858"/>
      <c r="J41" s="1859"/>
      <c r="K41" s="749"/>
      <c r="L41" s="730"/>
      <c r="M41" s="730"/>
    </row>
    <row r="42" spans="1:18" ht="18" customHeight="1">
      <c r="A42" s="351"/>
      <c r="B42" s="352"/>
      <c r="C42" s="353"/>
      <c r="D42" s="371"/>
      <c r="E42" s="345" t="s">
        <v>1478</v>
      </c>
      <c r="F42" s="355" t="e">
        <f ca="1">INDIRECT("'数据-取费表'!v"&amp;$G$1)</f>
        <v>#N/A</v>
      </c>
      <c r="G42" s="1849"/>
      <c r="H42" s="730"/>
      <c r="I42" s="1858"/>
      <c r="J42" s="1859"/>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3153</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40.200000000000003" thickBot="1">
      <c r="A48" s="1359" t="s">
        <v>1135</v>
      </c>
      <c r="B48" s="343" t="s">
        <v>1401</v>
      </c>
      <c r="C48" s="2942" t="e">
        <f ca="1">C49+C53+C55</f>
        <v>#N/A</v>
      </c>
      <c r="D48" s="1361"/>
      <c r="E48" s="1362"/>
      <c r="F48" s="1181"/>
      <c r="G48" s="790"/>
      <c r="H48" s="791"/>
      <c r="I48" s="1885" t="s">
        <v>1531</v>
      </c>
      <c r="J48" s="1886" t="s">
        <v>3154</v>
      </c>
      <c r="K48" s="1887" t="s">
        <v>1532</v>
      </c>
      <c r="L48" s="1888" t="e">
        <f ca="1">INDIRECT("'数据-取费表'!f"&amp;$G$1)</f>
        <v>#N/A</v>
      </c>
      <c r="O48" s="1882" t="s">
        <v>1041</v>
      </c>
      <c r="P48" s="1883" t="s">
        <v>1533</v>
      </c>
      <c r="Q48" s="1884" t="e">
        <f ca="1">J60</f>
        <v>#N/A</v>
      </c>
      <c r="R48" s="1884" t="s">
        <v>1534</v>
      </c>
    </row>
    <row r="49" spans="1:18" s="1840" customFormat="1" ht="13.8" thickBot="1">
      <c r="A49" s="1194" t="s">
        <v>1136</v>
      </c>
      <c r="B49" s="1827" t="s">
        <v>1491</v>
      </c>
      <c r="C49" s="1363" t="e">
        <f ca="1">ROUND(F49*F51*F50*(1-F52)/10000,0)</f>
        <v>#N/A</v>
      </c>
      <c r="D49" s="1275" t="s">
        <v>3032</v>
      </c>
      <c r="E49" s="1828" t="s">
        <v>1492</v>
      </c>
      <c r="F49" s="1280"/>
      <c r="G49" s="1889"/>
      <c r="H49" s="791"/>
      <c r="I49" s="1885" t="s">
        <v>1535</v>
      </c>
      <c r="J49" s="1890"/>
      <c r="K49" s="1887" t="s">
        <v>1536</v>
      </c>
      <c r="L49" s="1891"/>
      <c r="O49" s="1892" t="s">
        <v>1042</v>
      </c>
      <c r="P49" s="1883" t="s">
        <v>1537</v>
      </c>
      <c r="Q49" s="1884" t="e">
        <f ca="1">C29</f>
        <v>#N/A</v>
      </c>
      <c r="R49" s="1884" t="s">
        <v>1530</v>
      </c>
    </row>
    <row r="50" spans="1:18" s="1840" customFormat="1" ht="13.8" thickBot="1">
      <c r="A50" s="1195"/>
      <c r="B50" s="1198"/>
      <c r="C50" s="1367"/>
      <c r="D50" s="1172"/>
      <c r="E50" s="1276" t="s">
        <v>1406</v>
      </c>
      <c r="F50" s="1277"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8" thickBot="1">
      <c r="A51" s="1196"/>
      <c r="B51" s="1198"/>
      <c r="C51" s="1199"/>
      <c r="D51" s="1172"/>
      <c r="E51" s="1200" t="s">
        <v>1407</v>
      </c>
      <c r="F51" s="346"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t="e">
        <f ca="1">J53</f>
        <v>#N/A</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t="e">
        <f ca="1">IF(M47="住宅",J51,IF(D1="——",MIN(J51,L48),IF(D1="在建（套用方法）",MIN(J51,L48-'数据-取费表'!B24),IF(D1="土地（套用方法）",MIN(J51,L48-'数据-取费表'!B20)))))</f>
        <v>#N/A</v>
      </c>
      <c r="K53" s="3250" t="s">
        <v>1549</v>
      </c>
      <c r="L53" s="3251"/>
      <c r="O53" s="1882" t="s">
        <v>1046</v>
      </c>
      <c r="P53" s="1883" t="s">
        <v>1550</v>
      </c>
      <c r="Q53" s="1884" t="e">
        <f ca="1">Q47+Q48</f>
        <v>#N/A</v>
      </c>
      <c r="R53" s="1884" t="s">
        <v>1047</v>
      </c>
    </row>
    <row r="54" spans="1:18" s="1840" customFormat="1" ht="24.6" thickBot="1">
      <c r="A54" s="1405"/>
      <c r="B54" s="1823" t="s">
        <v>1388</v>
      </c>
      <c r="C54" s="1178"/>
      <c r="D54" s="1822"/>
      <c r="E54" s="294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t="e">
        <f ca="1">C13</f>
        <v>#N/A</v>
      </c>
      <c r="D56" s="1912"/>
      <c r="E56" s="1913"/>
      <c r="F56" s="1905"/>
      <c r="I56" s="1914" t="s">
        <v>1555</v>
      </c>
      <c r="J56" s="1915" t="s">
        <v>3049</v>
      </c>
      <c r="K56" s="1885" t="s">
        <v>1556</v>
      </c>
      <c r="L56" s="1888" t="e">
        <f ca="1">IF(L48&lt;J51,"——",L48-J53)</f>
        <v>#N/A</v>
      </c>
      <c r="O56" s="1882" t="s">
        <v>1040</v>
      </c>
      <c r="P56" s="1883" t="s">
        <v>1529</v>
      </c>
      <c r="Q56" s="1884" t="e">
        <f ca="1">C40+J29</f>
        <v>#N/A</v>
      </c>
      <c r="R56" s="1884" t="s">
        <v>1530</v>
      </c>
    </row>
    <row r="57" spans="1:18" s="1840" customFormat="1" ht="24.6" thickBot="1">
      <c r="A57" s="1916"/>
      <c r="B57" s="1169" t="s">
        <v>1479</v>
      </c>
      <c r="C57" s="280"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6" thickBot="1">
      <c r="A58" s="358" t="s">
        <v>1030</v>
      </c>
      <c r="B58" s="1177" t="s">
        <v>1425</v>
      </c>
      <c r="C58" s="359" t="e">
        <f ca="1">ROUND(C59+C64+C65+C66,0)</f>
        <v>#N/A</v>
      </c>
      <c r="D58" s="1179" t="s">
        <v>1426</v>
      </c>
      <c r="E58" s="1180"/>
      <c r="F58" s="1181"/>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6" thickBot="1">
      <c r="A59" s="1201" t="s">
        <v>1035</v>
      </c>
      <c r="B59" s="1169" t="s">
        <v>1430</v>
      </c>
      <c r="C59" s="23" t="e">
        <f ca="1">ROUND(IF(项目基本情况!B11="自然人",C48*F59,C60+C61+C62),1)</f>
        <v>#N/A</v>
      </c>
      <c r="D59" s="1182" t="s">
        <v>1431</v>
      </c>
      <c r="E59" s="1183" t="s">
        <v>1432</v>
      </c>
      <c r="F59" s="366"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2" thickBot="1">
      <c r="A60" s="1201" t="s">
        <v>1034</v>
      </c>
      <c r="B60" s="1169" t="s">
        <v>1434</v>
      </c>
      <c r="C60" s="23" t="e">
        <f ca="1">IF(项目基本情况!B11="自然人","——",ROUND(C48*F60/(1+'数据-取费表'!C42),2))</f>
        <v>#N/A</v>
      </c>
      <c r="D60" s="1183" t="s">
        <v>1435</v>
      </c>
      <c r="E60" s="1169" t="s">
        <v>1423</v>
      </c>
      <c r="F60" s="375">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8" thickBot="1">
      <c r="A61" s="1201" t="s">
        <v>1493</v>
      </c>
      <c r="B61" s="1169" t="s">
        <v>1438</v>
      </c>
      <c r="C61" s="23" t="e">
        <f ca="1">IF(项目基本情况!B11="自然人","——",IF(D61="按租金收入计税",ROUND(C48*F61,2),IF(D61="按房产原值计税",ROUND(C57*F61*0.7,2),INDIRECT("'数据-取费表'!Aj"&amp;$G$1))))</f>
        <v>#N/A</v>
      </c>
      <c r="D61" s="1826" t="s">
        <v>1439</v>
      </c>
      <c r="E61" s="1169" t="s">
        <v>1423</v>
      </c>
      <c r="F61" s="365">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8" thickBot="1">
      <c r="A62" s="1201" t="s">
        <v>1496</v>
      </c>
      <c r="B62" s="1168" t="s">
        <v>1442</v>
      </c>
      <c r="C62" s="24" t="e">
        <f ca="1">IF(项目基本情况!B11="自然人","——",ROUND(F62*F63/10000,2))</f>
        <v>#N/A</v>
      </c>
      <c r="D62" s="1184" t="s">
        <v>1443</v>
      </c>
      <c r="E62" s="1169" t="s">
        <v>1444</v>
      </c>
      <c r="F62" s="369">
        <f t="shared" si="0"/>
        <v>1.5</v>
      </c>
      <c r="I62" s="1927" t="s">
        <v>1571</v>
      </c>
      <c r="J62" s="1928" t="s">
        <v>1572</v>
      </c>
      <c r="K62" s="1928" t="s">
        <v>1573</v>
      </c>
      <c r="L62" s="1928" t="s">
        <v>1574</v>
      </c>
      <c r="M62" s="1929" t="s">
        <v>1575</v>
      </c>
      <c r="O62" s="1882" t="s">
        <v>1046</v>
      </c>
      <c r="P62" s="1883" t="s">
        <v>1550</v>
      </c>
      <c r="Q62" s="1884" t="e">
        <f ca="1">Q56+Q57</f>
        <v>#N/A</v>
      </c>
      <c r="R62" s="1884" t="s">
        <v>1047</v>
      </c>
    </row>
    <row r="63" spans="1:18" s="1840" customFormat="1" ht="13.8" thickBot="1">
      <c r="A63" s="370"/>
      <c r="B63" s="1175"/>
      <c r="C63" s="28"/>
      <c r="D63" s="1185"/>
      <c r="E63" s="1169" t="s">
        <v>1448</v>
      </c>
      <c r="F63" s="346" t="e">
        <f t="shared" ca="1" si="0"/>
        <v>#N/A</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t="e">
        <f ca="1">ROUND(C57*F64,1)</f>
        <v>#N/A</v>
      </c>
      <c r="D64" s="1183" t="s">
        <v>1483</v>
      </c>
      <c r="E64" s="1169" t="s">
        <v>1423</v>
      </c>
      <c r="F64" s="372" t="e">
        <f t="shared" ca="1" si="0"/>
        <v>#N/A</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t="e">
        <f ca="1">ROUND(C56*F65,1)</f>
        <v>#N/A</v>
      </c>
      <c r="D65" s="1183" t="s">
        <v>1455</v>
      </c>
      <c r="E65" s="1169" t="s">
        <v>1423</v>
      </c>
      <c r="F65" s="374" t="e">
        <f t="shared" ca="1" si="0"/>
        <v>#N/A</v>
      </c>
      <c r="I65" s="1927" t="s">
        <v>1580</v>
      </c>
      <c r="J65" s="1928">
        <v>40</v>
      </c>
      <c r="K65" s="1928">
        <v>30</v>
      </c>
      <c r="L65" s="1928">
        <v>50</v>
      </c>
      <c r="M65" s="1930">
        <v>0.02</v>
      </c>
      <c r="O65" s="1882" t="s">
        <v>1040</v>
      </c>
      <c r="P65" s="1883" t="s">
        <v>1529</v>
      </c>
      <c r="Q65" s="1884" t="e">
        <f ca="1">C40+J29</f>
        <v>#N/A</v>
      </c>
      <c r="R65" s="1884" t="s">
        <v>1530</v>
      </c>
    </row>
    <row r="66" spans="1:18" s="1840" customFormat="1" ht="16.2" thickBot="1">
      <c r="A66" s="1201" t="s">
        <v>1505</v>
      </c>
      <c r="B66" s="1169" t="s">
        <v>1440</v>
      </c>
      <c r="C66" s="23" t="e">
        <f ca="1">ROUND(C48*F66,1)</f>
        <v>#N/A</v>
      </c>
      <c r="D66" s="1183" t="s">
        <v>1460</v>
      </c>
      <c r="E66" s="1169" t="s">
        <v>1423</v>
      </c>
      <c r="F66" s="355" t="e">
        <f t="shared" ca="1" si="0"/>
        <v>#N/A</v>
      </c>
      <c r="O66" s="1882" t="s">
        <v>1041</v>
      </c>
      <c r="P66" s="1883" t="s">
        <v>1559</v>
      </c>
      <c r="Q66" s="1884" t="e">
        <f ca="1">L60</f>
        <v>#N/A</v>
      </c>
      <c r="R66" s="1884" t="s">
        <v>1582</v>
      </c>
    </row>
    <row r="67" spans="1:18" s="1840" customFormat="1" ht="24.6" thickBot="1">
      <c r="A67" s="1176" t="s">
        <v>1031</v>
      </c>
      <c r="B67" s="1186" t="s">
        <v>1464</v>
      </c>
      <c r="C67" s="359" t="e">
        <f ca="1">C48-C58</f>
        <v>#N/A</v>
      </c>
      <c r="D67" s="1182" t="s">
        <v>1465</v>
      </c>
      <c r="E67" s="1187"/>
      <c r="F67" s="1188"/>
      <c r="O67" s="1892" t="s">
        <v>1042</v>
      </c>
      <c r="P67" s="1883" t="s">
        <v>1563</v>
      </c>
      <c r="Q67" s="1931" t="e">
        <f ca="1">L51</f>
        <v>#N/A</v>
      </c>
      <c r="R67" s="1884" t="s">
        <v>1583</v>
      </c>
    </row>
    <row r="68" spans="1:18" s="1840" customFormat="1" ht="16.2" thickBot="1">
      <c r="A68" s="1166" t="s">
        <v>1032</v>
      </c>
      <c r="B68" s="1167" t="s">
        <v>1486</v>
      </c>
      <c r="C68" s="344" t="e">
        <f ca="1">ROUND(C67*(1-((1+F70)/(1+F68))^F69)/(F68-F70),0)</f>
        <v>#N/A</v>
      </c>
      <c r="D68" s="1184" t="s">
        <v>1470</v>
      </c>
      <c r="E68" s="1169" t="s">
        <v>1471</v>
      </c>
      <c r="F68" s="355" t="e">
        <f ca="1">F40</f>
        <v>#N/A</v>
      </c>
      <c r="O68" s="1892" t="s">
        <v>1043</v>
      </c>
      <c r="P68" s="1932" t="s">
        <v>1584</v>
      </c>
      <c r="Q68" s="1884" t="e">
        <f ca="1">ROUND(Q69-Q70*Q71,0)</f>
        <v>#N/A</v>
      </c>
      <c r="R68" s="1884" t="s">
        <v>1051</v>
      </c>
    </row>
    <row r="69" spans="1:18" s="1840" customFormat="1" ht="13.8" thickBot="1">
      <c r="A69" s="1170"/>
      <c r="B69" s="1171"/>
      <c r="C69" s="349"/>
      <c r="D69" s="1189" t="s">
        <v>1474</v>
      </c>
      <c r="E69" s="1169" t="s">
        <v>1475</v>
      </c>
      <c r="F69" s="377" t="e">
        <f ca="1">F41</f>
        <v>#N/A</v>
      </c>
      <c r="O69" s="1892" t="s">
        <v>1048</v>
      </c>
      <c r="P69" s="1932" t="s">
        <v>1585</v>
      </c>
      <c r="Q69" s="1884" t="e">
        <f ca="1">C39</f>
        <v>#N/A</v>
      </c>
      <c r="R69" s="1884" t="s">
        <v>1530</v>
      </c>
    </row>
    <row r="70" spans="1:18" s="1840" customFormat="1" ht="13.8" thickBot="1">
      <c r="A70" s="1173"/>
      <c r="B70" s="1174"/>
      <c r="C70" s="353"/>
      <c r="D70" s="1185"/>
      <c r="E70" s="1169" t="s">
        <v>1478</v>
      </c>
      <c r="F70" s="1274"/>
      <c r="O70" s="1892" t="s">
        <v>1049</v>
      </c>
      <c r="P70" s="1932" t="s">
        <v>1586</v>
      </c>
      <c r="Q70" s="1884" t="e">
        <f ca="1">C13</f>
        <v>#N/A</v>
      </c>
      <c r="R70" s="1884" t="s">
        <v>1530</v>
      </c>
    </row>
    <row r="71" spans="1:18" s="1840" customFormat="1" ht="13.8" thickBot="1">
      <c r="A71" s="1190" t="s">
        <v>1033</v>
      </c>
      <c r="B71" s="1191" t="s">
        <v>1488</v>
      </c>
      <c r="C71" s="380" t="e">
        <f ca="1">ROUND(C68*10000/F71,0)</f>
        <v>#N/A</v>
      </c>
      <c r="D71" s="1192" t="s">
        <v>1489</v>
      </c>
      <c r="E71" s="1193" t="s">
        <v>1490</v>
      </c>
      <c r="F71" s="383" t="e">
        <f ca="1">F43</f>
        <v>#N/A</v>
      </c>
      <c r="O71" s="1892" t="s">
        <v>1050</v>
      </c>
      <c r="P71" s="1932" t="s">
        <v>1587</v>
      </c>
      <c r="Q71" s="1895" t="e">
        <f ca="1">C76</f>
        <v>#N/A</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#N/A</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#N/A</v>
      </c>
      <c r="R74" s="1884" t="s">
        <v>1570</v>
      </c>
    </row>
    <row r="75" spans="1:18" ht="13.8" thickBot="1">
      <c r="A75" s="1840"/>
      <c r="B75" s="384" t="s">
        <v>1507</v>
      </c>
      <c r="C75" s="385" t="e">
        <f ca="1">ROUND(C13*C76,0)</f>
        <v>#N/A</v>
      </c>
      <c r="D75" s="1840"/>
      <c r="E75" s="1840"/>
      <c r="F75" s="1840"/>
      <c r="K75" s="1866"/>
      <c r="L75" s="1840"/>
      <c r="O75" s="1882" t="s">
        <v>1046</v>
      </c>
      <c r="P75" s="1883" t="s">
        <v>1550</v>
      </c>
      <c r="Q75" s="1884" t="e">
        <f ca="1">Q65+Q66</f>
        <v>#N/A</v>
      </c>
      <c r="R75" s="1884" t="s">
        <v>1047</v>
      </c>
    </row>
    <row r="76" spans="1:18">
      <c r="B76" s="386" t="s">
        <v>1508</v>
      </c>
      <c r="C76" s="387" t="e">
        <f ca="1">INDIRECT("'数据-取费表'!j"&amp;$G$1)</f>
        <v>#N/A</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I36" sqref="I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48</v>
      </c>
      <c r="D1" s="1818" t="s">
        <v>3151</v>
      </c>
      <c r="E1" s="1819" t="s">
        <v>1387</v>
      </c>
      <c r="F1" s="1282">
        <f ca="1">J53</f>
        <v>39.96</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20881</v>
      </c>
      <c r="C2" s="1843" t="s">
        <v>1517</v>
      </c>
      <c r="D2" s="1843"/>
      <c r="E2" s="1844"/>
      <c r="F2" s="1845"/>
      <c r="G2" s="1846"/>
      <c r="H2" s="1838"/>
      <c r="I2" s="1838"/>
      <c r="J2" s="1838"/>
      <c r="K2" s="1839"/>
      <c r="L2" s="1838"/>
      <c r="M2" s="1838"/>
    </row>
    <row r="3" spans="1:37" ht="18" customHeight="1" thickBot="1">
      <c r="A3" s="1847" t="s">
        <v>1518</v>
      </c>
      <c r="B3" s="1848">
        <f ca="1">IF(ISERROR(B2*10000/F43),0,ROUND(B2*10000/F43,0))</f>
        <v>6831</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1508</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1506</v>
      </c>
      <c r="D6" s="162" t="s">
        <v>3033</v>
      </c>
      <c r="E6" s="345" t="s">
        <v>1405</v>
      </c>
      <c r="F6" s="346">
        <f ca="1">INDIRECT("'数据-取费表'!u"&amp;$G$1)</f>
        <v>1.5</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30569.3</v>
      </c>
      <c r="G7" s="1849"/>
      <c r="H7" s="347"/>
      <c r="I7" s="3253"/>
      <c r="J7" s="349"/>
      <c r="K7" s="350"/>
      <c r="L7" s="345" t="s">
        <v>1406</v>
      </c>
      <c r="M7" s="346">
        <f ca="1">F7</f>
        <v>30569.3</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2</v>
      </c>
      <c r="D10" s="1822" t="s">
        <v>3029</v>
      </c>
      <c r="E10" s="356" t="s">
        <v>1411</v>
      </c>
      <c r="F10" s="1365" t="s">
        <v>3152</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13655</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9496</v>
      </c>
      <c r="D14" s="2939" t="s">
        <v>1419</v>
      </c>
      <c r="E14" s="2937"/>
      <c r="F14" s="362"/>
      <c r="G14" s="1849"/>
      <c r="H14" s="1201" t="s">
        <v>1035</v>
      </c>
      <c r="I14" s="345" t="s">
        <v>1420</v>
      </c>
      <c r="J14" s="23">
        <f ca="1">C29</f>
        <v>13655</v>
      </c>
      <c r="K14" s="2944"/>
      <c r="L14" s="979"/>
      <c r="M14" s="980"/>
    </row>
    <row r="15" spans="1:37" s="1856" customFormat="1" ht="18" customHeight="1" thickBot="1">
      <c r="A15" s="1201" t="s">
        <v>1036</v>
      </c>
      <c r="B15" s="345" t="s">
        <v>1421</v>
      </c>
      <c r="C15" s="23">
        <f ca="1">ROUND(C14*F15,0)</f>
        <v>285</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320</v>
      </c>
      <c r="K16" s="1336" t="s">
        <v>1426</v>
      </c>
      <c r="L16" s="2940"/>
      <c r="M16" s="1293"/>
    </row>
    <row r="17" spans="1:37" s="1856" customFormat="1" ht="18" customHeight="1">
      <c r="A17" s="1201" t="s">
        <v>1390</v>
      </c>
      <c r="B17" s="345" t="s">
        <v>1427</v>
      </c>
      <c r="C17" s="23">
        <f ca="1">ROUND(F17*(F43+INDIRECT("'数据-取费表'!S"&amp;$G$1))/10000,0)</f>
        <v>633</v>
      </c>
      <c r="D17" s="345" t="s">
        <v>1428</v>
      </c>
      <c r="E17" s="345" t="s">
        <v>1429</v>
      </c>
      <c r="F17" s="25">
        <f>'数据-取费表'!B35</f>
        <v>200</v>
      </c>
      <c r="G17" s="1852"/>
      <c r="H17" s="1201" t="s">
        <v>1035</v>
      </c>
      <c r="I17" s="345" t="s">
        <v>1430</v>
      </c>
      <c r="J17" s="23">
        <f ca="1">ROUND(IF(项目基本情况!B11="自然人",J5*M17,J18+J19+J20),1)</f>
        <v>115.1</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142</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10556</v>
      </c>
      <c r="D19" s="138" t="s">
        <v>1437</v>
      </c>
      <c r="E19" s="2943"/>
      <c r="F19" s="25"/>
      <c r="G19" s="1849"/>
      <c r="H19" s="1201" t="s">
        <v>1036</v>
      </c>
      <c r="I19" s="345" t="s">
        <v>1438</v>
      </c>
      <c r="J19" s="23">
        <f ca="1">IF(K19="按租金收入计税",ROUND(J5*M19,2),ROUND(C29*M19*0.7,2))</f>
        <v>114.7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211</v>
      </c>
      <c r="D20" s="367" t="s">
        <v>1441</v>
      </c>
      <c r="E20" s="345" t="s">
        <v>1423</v>
      </c>
      <c r="F20" s="365">
        <f>'数据-取费表'!B37</f>
        <v>0.02</v>
      </c>
      <c r="G20" s="1852"/>
      <c r="H20" s="1201" t="s">
        <v>1389</v>
      </c>
      <c r="I20" s="162" t="s">
        <v>1442</v>
      </c>
      <c r="J20" s="24">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2761.3399999999997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204.8</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776</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-320</v>
      </c>
      <c r="K25" s="1344" t="s">
        <v>1465</v>
      </c>
      <c r="L25" s="1345"/>
      <c r="M25" s="1346"/>
    </row>
    <row r="26" spans="1:37">
      <c r="A26" s="1201" t="s">
        <v>1034</v>
      </c>
      <c r="B26" s="345" t="s">
        <v>1466</v>
      </c>
      <c r="C26" s="23">
        <f ca="1">ROUND((C19+C20)*F26,0)</f>
        <v>1077</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13655</v>
      </c>
      <c r="D29" s="1341"/>
      <c r="E29" s="1339"/>
      <c r="F29" s="1342"/>
      <c r="G29" s="1852"/>
      <c r="H29" s="378" t="s">
        <v>1033</v>
      </c>
      <c r="I29" s="379" t="s">
        <v>1480</v>
      </c>
      <c r="J29" s="380">
        <f ca="1">ROUND(J26/(1+F40)^F41,0)</f>
        <v>0</v>
      </c>
      <c r="K29" s="381" t="s">
        <v>1481</v>
      </c>
      <c r="L29" s="382"/>
      <c r="M29" s="383">
        <f ca="1">INDIRECT("'数据-取费表'!k"&amp;$G$1)</f>
        <v>30569.3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523</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260.39999999999998</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78.989999999999995</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180.96</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2761.3399999999997</v>
      </c>
      <c r="G35" s="1849"/>
      <c r="H35" s="743"/>
      <c r="I35" s="1858"/>
      <c r="J35" s="1859"/>
      <c r="K35" s="1860"/>
      <c r="L35" s="1857"/>
      <c r="M35" s="1857"/>
    </row>
    <row r="36" spans="1:18" ht="18" customHeight="1">
      <c r="A36" s="1351" t="s">
        <v>1039</v>
      </c>
      <c r="B36" s="345" t="s">
        <v>1450</v>
      </c>
      <c r="C36" s="23">
        <f ca="1">ROUND(C29*F36,1)</f>
        <v>204.8</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27.3</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30.2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985</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20881</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39.96</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6831</v>
      </c>
      <c r="D43" s="381" t="s">
        <v>1489</v>
      </c>
      <c r="E43" s="382" t="s">
        <v>1490</v>
      </c>
      <c r="F43" s="383">
        <f ca="1">INDIRECT("'数据-取费表'!k"&amp;$G$1)</f>
        <v>30569.3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-44553</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50</v>
      </c>
      <c r="M47" s="1836" t="str">
        <f>IF(ISNUMBER(FIND("住宅",C1)),"住宅","非住宅")</f>
        <v>非住宅</v>
      </c>
      <c r="O47" s="1882" t="s">
        <v>1040</v>
      </c>
      <c r="P47" s="1883" t="s">
        <v>1529</v>
      </c>
      <c r="Q47" s="1884">
        <f ca="1">C40+J29</f>
        <v>20881</v>
      </c>
      <c r="R47" s="1884" t="s">
        <v>1530</v>
      </c>
    </row>
    <row r="48" spans="1:18" s="1840" customFormat="1" ht="40.200000000000003" thickBot="1">
      <c r="A48" s="1359" t="s">
        <v>1135</v>
      </c>
      <c r="B48" s="343" t="s">
        <v>1401</v>
      </c>
      <c r="C48" s="2942">
        <f ca="1">C49+C53+C55</f>
        <v>0</v>
      </c>
      <c r="D48" s="1361"/>
      <c r="E48" s="1362"/>
      <c r="F48" s="1181"/>
      <c r="G48" s="790"/>
      <c r="H48" s="791"/>
      <c r="I48" s="1885" t="s">
        <v>1531</v>
      </c>
      <c r="J48" s="1886" t="s">
        <v>3154</v>
      </c>
      <c r="K48" s="1887" t="s">
        <v>1532</v>
      </c>
      <c r="L48" s="1888">
        <f ca="1">INDIRECT("'数据-取费表'!f"&amp;$G$1)</f>
        <v>42.6</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13655</v>
      </c>
      <c r="R49" s="1884" t="s">
        <v>1530</v>
      </c>
    </row>
    <row r="50" spans="1:18" s="1840" customFormat="1" ht="13.8" thickBot="1">
      <c r="A50" s="1195"/>
      <c r="B50" s="1198"/>
      <c r="C50" s="1367"/>
      <c r="D50" s="1172"/>
      <c r="E50" s="1276" t="s">
        <v>1406</v>
      </c>
      <c r="F50" s="1277">
        <f ca="1">F7</f>
        <v>30569.3</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-3305</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39.96</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39.96</v>
      </c>
      <c r="K53" s="3250" t="s">
        <v>1549</v>
      </c>
      <c r="L53" s="3251"/>
      <c r="O53" s="1882" t="s">
        <v>1046</v>
      </c>
      <c r="P53" s="1883" t="s">
        <v>1550</v>
      </c>
      <c r="Q53" s="1884">
        <f ca="1">Q47+Q48</f>
        <v>20881</v>
      </c>
      <c r="R53" s="1884" t="s">
        <v>1047</v>
      </c>
    </row>
    <row r="54" spans="1:18" s="1840" customFormat="1" ht="24.6"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13655</v>
      </c>
      <c r="D56" s="1912"/>
      <c r="E56" s="1913"/>
      <c r="F56" s="1905"/>
      <c r="I56" s="1914" t="s">
        <v>1555</v>
      </c>
      <c r="J56" s="1915" t="s">
        <v>3049</v>
      </c>
      <c r="K56" s="1885" t="s">
        <v>1556</v>
      </c>
      <c r="L56" s="1888" t="str">
        <f ca="1">IF(L48&lt;J51,"——",L48-J53)</f>
        <v>——</v>
      </c>
      <c r="O56" s="1882" t="s">
        <v>1040</v>
      </c>
      <c r="P56" s="1883" t="s">
        <v>1529</v>
      </c>
      <c r="Q56" s="1884">
        <f ca="1">C40+J29</f>
        <v>20881</v>
      </c>
      <c r="R56" s="1884" t="s">
        <v>1530</v>
      </c>
    </row>
    <row r="57" spans="1:18" s="1840" customFormat="1" ht="24.6" thickBot="1">
      <c r="A57" s="1916"/>
      <c r="B57" s="1169" t="s">
        <v>1479</v>
      </c>
      <c r="C57" s="280">
        <f ca="1">C29</f>
        <v>13655</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1380</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1147.4000000000001</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1438</v>
      </c>
      <c r="C61" s="23">
        <f ca="1">IF(项目基本情况!B11="自然人","——",IF(D61="按租金收入计税",ROUND(C48*F61,2),IF(D61="按房产原值计税",ROUND(C57*F61*0.7,2),INDIRECT("'数据-取费表'!Aj"&amp;$G$1))))</f>
        <v>1147.02</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1442</v>
      </c>
      <c r="C62" s="24">
        <f ca="1">IF(项目基本情况!B11="自然人","——",ROUND(F62*F63/10000,2))</f>
        <v>0.41</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20881</v>
      </c>
      <c r="R62" s="1884" t="s">
        <v>1047</v>
      </c>
    </row>
    <row r="63" spans="1:18" s="1840" customFormat="1" ht="13.8" thickBot="1">
      <c r="A63" s="370"/>
      <c r="B63" s="1175"/>
      <c r="C63" s="28"/>
      <c r="D63" s="1185"/>
      <c r="E63" s="1169" t="s">
        <v>1448</v>
      </c>
      <c r="F63" s="346">
        <f t="shared" ca="1" si="0"/>
        <v>2761.3399999999997</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f ca="1">ROUND(C57*F64,1)</f>
        <v>204.8</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27.3</v>
      </c>
      <c r="D65" s="1183" t="s">
        <v>1455</v>
      </c>
      <c r="E65" s="1169" t="s">
        <v>1423</v>
      </c>
      <c r="F65" s="374">
        <f t="shared" ca="1" si="0"/>
        <v>2E-3</v>
      </c>
      <c r="I65" s="1927" t="s">
        <v>1580</v>
      </c>
      <c r="J65" s="1928">
        <v>40</v>
      </c>
      <c r="K65" s="1928">
        <v>30</v>
      </c>
      <c r="L65" s="1928">
        <v>50</v>
      </c>
      <c r="M65" s="1930">
        <v>0.02</v>
      </c>
      <c r="O65" s="1882" t="s">
        <v>1040</v>
      </c>
      <c r="P65" s="1883" t="s">
        <v>1529</v>
      </c>
      <c r="Q65" s="1884">
        <f ca="1">C40+J29</f>
        <v>20881</v>
      </c>
      <c r="R65" s="1884" t="s">
        <v>1530</v>
      </c>
    </row>
    <row r="66" spans="1:18" s="1840" customFormat="1" ht="16.2"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-1380</v>
      </c>
      <c r="D67" s="1182" t="s">
        <v>1465</v>
      </c>
      <c r="E67" s="1187"/>
      <c r="F67" s="1188"/>
      <c r="O67" s="1892" t="s">
        <v>1042</v>
      </c>
      <c r="P67" s="1883" t="s">
        <v>1563</v>
      </c>
      <c r="Q67" s="1931">
        <f ca="1">L51</f>
        <v>-3305</v>
      </c>
      <c r="R67" s="1884" t="s">
        <v>1583</v>
      </c>
    </row>
    <row r="68" spans="1:18" s="1840" customFormat="1" ht="16.2" thickBot="1">
      <c r="A68" s="1166" t="s">
        <v>1032</v>
      </c>
      <c r="B68" s="1167" t="s">
        <v>1486</v>
      </c>
      <c r="C68" s="344">
        <f ca="1">ROUND(C67*(1-((1+F70)/(1+F68))^F69)/(F68-F70),0)</f>
        <v>-23672</v>
      </c>
      <c r="D68" s="1184" t="s">
        <v>1470</v>
      </c>
      <c r="E68" s="1169" t="s">
        <v>1471</v>
      </c>
      <c r="F68" s="355">
        <f ca="1">F40</f>
        <v>0.05</v>
      </c>
      <c r="O68" s="1892" t="s">
        <v>1043</v>
      </c>
      <c r="P68" s="1932" t="s">
        <v>1584</v>
      </c>
      <c r="Q68" s="1884">
        <f ca="1">ROUND(Q69-Q70*Q71,0)</f>
        <v>-176</v>
      </c>
      <c r="R68" s="1884" t="s">
        <v>1051</v>
      </c>
    </row>
    <row r="69" spans="1:18" s="1840" customFormat="1" ht="13.8" thickBot="1">
      <c r="A69" s="1170"/>
      <c r="B69" s="1171"/>
      <c r="C69" s="349"/>
      <c r="D69" s="1189" t="s">
        <v>1474</v>
      </c>
      <c r="E69" s="1169" t="s">
        <v>1475</v>
      </c>
      <c r="F69" s="377">
        <f ca="1">F41</f>
        <v>39.96</v>
      </c>
      <c r="O69" s="1892" t="s">
        <v>1048</v>
      </c>
      <c r="P69" s="1932" t="s">
        <v>1585</v>
      </c>
      <c r="Q69" s="1884">
        <f ca="1">C39</f>
        <v>985</v>
      </c>
      <c r="R69" s="1884" t="s">
        <v>1530</v>
      </c>
    </row>
    <row r="70" spans="1:18" s="1840" customFormat="1" ht="13.8" thickBot="1">
      <c r="A70" s="1173"/>
      <c r="B70" s="1174"/>
      <c r="C70" s="353"/>
      <c r="D70" s="1185"/>
      <c r="E70" s="1169" t="s">
        <v>1478</v>
      </c>
      <c r="F70" s="1274"/>
      <c r="O70" s="1892" t="s">
        <v>1049</v>
      </c>
      <c r="P70" s="1932" t="s">
        <v>1586</v>
      </c>
      <c r="Q70" s="1884">
        <f ca="1">C13</f>
        <v>13655</v>
      </c>
      <c r="R70" s="1884" t="s">
        <v>1530</v>
      </c>
    </row>
    <row r="71" spans="1:18" s="1840" customFormat="1" ht="13.8" thickBot="1">
      <c r="A71" s="1190" t="s">
        <v>1033</v>
      </c>
      <c r="B71" s="1191" t="s">
        <v>1488</v>
      </c>
      <c r="C71" s="380">
        <f ca="1">ROUND(C68*10000/F71,0)</f>
        <v>-7744</v>
      </c>
      <c r="D71" s="1192" t="s">
        <v>1489</v>
      </c>
      <c r="E71" s="1193" t="s">
        <v>1490</v>
      </c>
      <c r="F71" s="383">
        <f ca="1">F43</f>
        <v>30569.3</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1161</v>
      </c>
      <c r="D75" s="1840"/>
      <c r="E75" s="1840"/>
      <c r="F75" s="1840"/>
      <c r="K75" s="1866"/>
      <c r="L75" s="1840"/>
      <c r="O75" s="1882" t="s">
        <v>1046</v>
      </c>
      <c r="P75" s="1883" t="s">
        <v>1550</v>
      </c>
      <c r="Q75" s="1884">
        <f ca="1">Q65+Q66</f>
        <v>20881</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-0.17900000000000005</v>
      </c>
    </row>
    <row r="80" spans="1:18">
      <c r="B80" s="384" t="s">
        <v>1512</v>
      </c>
      <c r="C80" s="316">
        <f ca="1">ROUND(C75/C39,3)</f>
        <v>1.179</v>
      </c>
    </row>
    <row r="81" spans="2:3">
      <c r="B81" s="312" t="s">
        <v>1513</v>
      </c>
      <c r="C81" s="280"/>
    </row>
    <row r="82" spans="2:3">
      <c r="B82" s="315" t="s">
        <v>1514</v>
      </c>
      <c r="C82" s="317">
        <f ca="1">1-C83</f>
        <v>0.34599999999999997</v>
      </c>
    </row>
    <row r="83" spans="2:3">
      <c r="B83" s="315" t="s">
        <v>1515</v>
      </c>
      <c r="C83" s="316">
        <f ca="1">ROUND(C13/C40,3)</f>
        <v>0.65400000000000003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C41" sqref="C4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1590</v>
      </c>
      <c r="B1" s="780"/>
      <c r="C1" s="1835" t="s">
        <v>3206</v>
      </c>
      <c r="D1" s="1818" t="s">
        <v>3151</v>
      </c>
      <c r="E1" s="1819" t="s">
        <v>1387</v>
      </c>
      <c r="F1" s="1282">
        <f ca="1">J53</f>
        <v>39.96</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848</v>
      </c>
      <c r="C2" s="1843" t="s">
        <v>1517</v>
      </c>
      <c r="D2" s="1843"/>
      <c r="E2" s="1844"/>
      <c r="F2" s="1845"/>
      <c r="G2" s="1846"/>
      <c r="H2" s="1838"/>
      <c r="I2" s="1838"/>
      <c r="J2" s="1838"/>
      <c r="K2" s="1839"/>
      <c r="L2" s="1838"/>
      <c r="M2" s="1838"/>
    </row>
    <row r="3" spans="1:37" ht="18" customHeight="1" thickBot="1">
      <c r="A3" s="1847" t="s">
        <v>1518</v>
      </c>
      <c r="B3" s="1848">
        <f ca="1">IF(ISERROR(B2*10000/F43),0,ROUND(B2*10000/F43,0))</f>
        <v>7485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60</v>
      </c>
      <c r="D5" s="1820" t="s">
        <v>1402</v>
      </c>
      <c r="E5" s="1292"/>
      <c r="F5" s="1293"/>
      <c r="G5" s="1849"/>
      <c r="H5" s="342">
        <v>1</v>
      </c>
      <c r="I5" s="343" t="s">
        <v>1401</v>
      </c>
      <c r="J5" s="1291">
        <f ca="1">J6+J10+J12</f>
        <v>0</v>
      </c>
      <c r="K5" s="1820" t="s">
        <v>1402</v>
      </c>
      <c r="L5" s="1292"/>
      <c r="M5" s="1293"/>
    </row>
    <row r="6" spans="1:37" ht="18" customHeight="1">
      <c r="A6" s="1290" t="s">
        <v>1035</v>
      </c>
      <c r="B6" s="3252" t="s">
        <v>1403</v>
      </c>
      <c r="C6" s="1295">
        <f ca="1">ROUND(F6*F8*F7*(1-F9)/10000,0)</f>
        <v>60</v>
      </c>
      <c r="D6" s="162" t="s">
        <v>3033</v>
      </c>
      <c r="E6" s="345" t="s">
        <v>1405</v>
      </c>
      <c r="F6" s="346">
        <f ca="1">INDIRECT("'数据-取费表'!u"&amp;$G$1)</f>
        <v>1.6</v>
      </c>
      <c r="G6" s="1849"/>
      <c r="H6" s="1290" t="s">
        <v>1035</v>
      </c>
      <c r="I6" s="3252" t="s">
        <v>1403</v>
      </c>
      <c r="J6" s="344">
        <f ca="1">ROUND(M6*M8*M7*(1-M9)/10000,0)</f>
        <v>0</v>
      </c>
      <c r="K6" s="162" t="s">
        <v>3032</v>
      </c>
      <c r="L6" s="345" t="s">
        <v>1405</v>
      </c>
      <c r="M6" s="346">
        <f ca="1">INDIRECT("'数据-取费表'!z"&amp;$G$1)</f>
        <v>0</v>
      </c>
    </row>
    <row r="7" spans="1:37" ht="18" customHeight="1">
      <c r="A7" s="1294"/>
      <c r="B7" s="3253"/>
      <c r="C7" s="1296"/>
      <c r="D7" s="350"/>
      <c r="E7" s="2945" t="s">
        <v>1406</v>
      </c>
      <c r="F7" s="346">
        <f ca="1">IF(INDIRECT("'数据-取费表'!ah"&amp;$G$1)="",INDIRECT("'数据-取费表'!k"&amp;$G$1),INDIRECT("'数据-取费表'!ah"&amp;$G$1))</f>
        <v>1132.9000000000001</v>
      </c>
      <c r="G7" s="1849"/>
      <c r="H7" s="347"/>
      <c r="I7" s="3253"/>
      <c r="J7" s="349"/>
      <c r="K7" s="350"/>
      <c r="L7" s="345" t="s">
        <v>1406</v>
      </c>
      <c r="M7" s="346">
        <f ca="1">F7</f>
        <v>1132.9000000000001</v>
      </c>
    </row>
    <row r="8" spans="1:37" ht="18" customHeight="1">
      <c r="A8" s="347"/>
      <c r="B8" s="3253"/>
      <c r="C8" s="349"/>
      <c r="D8" s="350"/>
      <c r="E8" s="345" t="s">
        <v>1407</v>
      </c>
      <c r="F8" s="346">
        <f ca="1">INDIRECT("'数据-取费表'!ai"&amp;$G$1)</f>
        <v>365</v>
      </c>
      <c r="G8" s="1849"/>
      <c r="H8" s="347"/>
      <c r="I8" s="3253"/>
      <c r="J8" s="349"/>
      <c r="K8" s="350"/>
      <c r="L8" s="345" t="s">
        <v>1407</v>
      </c>
      <c r="M8" s="346">
        <f ca="1">INDIRECT("'数据-取费表'!ai"&amp;$G$1)</f>
        <v>365</v>
      </c>
    </row>
    <row r="9" spans="1:37" ht="18" customHeight="1">
      <c r="A9" s="347"/>
      <c r="B9" s="3254"/>
      <c r="C9" s="349"/>
      <c r="D9" s="350"/>
      <c r="E9" s="345" t="s">
        <v>1408</v>
      </c>
      <c r="F9" s="355">
        <f ca="1">INDIRECT("'数据-取费表'!w"&amp;$G$1)</f>
        <v>0.1</v>
      </c>
      <c r="G9" s="1849"/>
      <c r="H9" s="347"/>
      <c r="I9" s="3254"/>
      <c r="J9" s="349"/>
      <c r="K9" s="350"/>
      <c r="L9" s="356" t="s">
        <v>1408</v>
      </c>
      <c r="M9" s="357">
        <f ca="1">INDIRECT("'数据-取费表'!ab"&amp;$G$1)</f>
        <v>0</v>
      </c>
    </row>
    <row r="10" spans="1:37" ht="18" customHeight="1">
      <c r="A10" s="1290" t="s">
        <v>1039</v>
      </c>
      <c r="B10" s="1821" t="s">
        <v>1409</v>
      </c>
      <c r="C10" s="359">
        <f ca="1">ROUND(IF(F10="押一",F6*F8*F7/12*F11,IF(F10="押二",F6*F8*F7/12*2*F11,IF(F10="押三",F6*F8*F7/12*3*F11,C11*F11)))/10000,0)</f>
        <v>0</v>
      </c>
      <c r="D10" s="1822" t="s">
        <v>3029</v>
      </c>
      <c r="E10" s="356" t="s">
        <v>1411</v>
      </c>
      <c r="F10" s="1365" t="s">
        <v>3152</v>
      </c>
      <c r="G10" s="1849"/>
      <c r="H10" s="1290" t="s">
        <v>1039</v>
      </c>
      <c r="I10" s="1821" t="s">
        <v>1409</v>
      </c>
      <c r="J10" s="344">
        <f ca="1">ROUND(IF(M10="押一",M6*M8*M7/12*M11,IF(M10="押二",M6*M8*M7/12*2*M11,IF(M10="押三",M6*M8*M7/12*3*M11,J11*M11)))/10000,0)</f>
        <v>0</v>
      </c>
      <c r="K10" s="1822" t="s">
        <v>3029</v>
      </c>
      <c r="L10" s="356" t="s">
        <v>1411</v>
      </c>
      <c r="M10" s="1365" t="s">
        <v>1412</v>
      </c>
    </row>
    <row r="11" spans="1:37" ht="18" customHeight="1">
      <c r="A11" s="351"/>
      <c r="B11" s="1823" t="s">
        <v>1388</v>
      </c>
      <c r="C11" s="1178"/>
      <c r="D11" s="1824"/>
      <c r="E11" s="356" t="s">
        <v>1413</v>
      </c>
      <c r="F11" s="357">
        <f ca="1">'数据-取费表'!B39</f>
        <v>1.4999999999999999E-2</v>
      </c>
      <c r="G11" s="1849"/>
      <c r="H11" s="1298"/>
      <c r="I11" s="1823" t="s">
        <v>1388</v>
      </c>
      <c r="J11" s="1178"/>
      <c r="K11" s="746"/>
      <c r="L11" s="356"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3">
        <f ca="1">ROUND(C29*F13,0)</f>
        <v>484</v>
      </c>
      <c r="D13" s="1330" t="s">
        <v>1416</v>
      </c>
      <c r="E13" s="1330" t="s">
        <v>1417</v>
      </c>
      <c r="F13" s="1331">
        <f ca="1">INDIRECT("'数据-取费表'!y"&amp;$G$1)</f>
        <v>1</v>
      </c>
      <c r="G13" s="1849"/>
      <c r="H13" s="1328">
        <v>2</v>
      </c>
      <c r="I13" s="1329" t="s">
        <v>1415</v>
      </c>
      <c r="J13" s="1289">
        <f ca="1">ROUND(J14*J15,0)</f>
        <v>0</v>
      </c>
      <c r="K13" s="1336" t="s">
        <v>1416</v>
      </c>
      <c r="L13" s="1850"/>
      <c r="M13" s="1851"/>
    </row>
    <row r="14" spans="1:37" ht="18" customHeight="1">
      <c r="A14" s="1201" t="s">
        <v>1034</v>
      </c>
      <c r="B14" s="345" t="s">
        <v>1418</v>
      </c>
      <c r="C14" s="361">
        <f ca="1">INDIRECT("'数据-取费表'!m"&amp;$G$1)+INDIRECT("'数据-取费表'!t"&amp;$G$1)</f>
        <v>352</v>
      </c>
      <c r="D14" s="2939" t="s">
        <v>1419</v>
      </c>
      <c r="E14" s="2937"/>
      <c r="F14" s="362"/>
      <c r="G14" s="1849"/>
      <c r="H14" s="1201" t="s">
        <v>1035</v>
      </c>
      <c r="I14" s="345" t="s">
        <v>1420</v>
      </c>
      <c r="J14" s="23">
        <f ca="1">C29</f>
        <v>484</v>
      </c>
      <c r="K14" s="2944"/>
      <c r="L14" s="979"/>
      <c r="M14" s="980"/>
    </row>
    <row r="15" spans="1:37" s="1856" customFormat="1" ht="18" customHeight="1" thickBot="1">
      <c r="A15" s="1201" t="s">
        <v>1036</v>
      </c>
      <c r="B15" s="345" t="s">
        <v>1421</v>
      </c>
      <c r="C15" s="23">
        <f ca="1">ROUND(C14*F15,0)</f>
        <v>11</v>
      </c>
      <c r="D15" s="363" t="s">
        <v>1422</v>
      </c>
      <c r="E15" s="363" t="s">
        <v>1423</v>
      </c>
      <c r="F15" s="364">
        <f>'数据-取费表'!B33</f>
        <v>0.03</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1424</v>
      </c>
      <c r="C16" s="23">
        <f ca="1">ROUND(INDIRECT("'数据-取费表'!m"&amp;$G$1)*F16,0)</f>
        <v>0</v>
      </c>
      <c r="D16" s="345" t="s">
        <v>1422</v>
      </c>
      <c r="E16" s="345" t="s">
        <v>1423</v>
      </c>
      <c r="F16" s="365">
        <f ca="1">IF(INDIRECT("'数据-取费表'!c"&amp;$G$1)="住宅",'数据-取费表'!B34,0)</f>
        <v>0</v>
      </c>
      <c r="G16" s="1849"/>
      <c r="H16" s="1328" t="s">
        <v>1030</v>
      </c>
      <c r="I16" s="1329" t="s">
        <v>1425</v>
      </c>
      <c r="J16" s="353">
        <f ca="1">ROUND(J17+J22+J23+J24,0)</f>
        <v>11</v>
      </c>
      <c r="K16" s="1336" t="s">
        <v>1426</v>
      </c>
      <c r="L16" s="2940"/>
      <c r="M16" s="1293"/>
    </row>
    <row r="17" spans="1:37" s="1856" customFormat="1" ht="18" customHeight="1">
      <c r="A17" s="1201" t="s">
        <v>1390</v>
      </c>
      <c r="B17" s="345" t="s">
        <v>1427</v>
      </c>
      <c r="C17" s="23">
        <f ca="1">ROUND(F17*(F43+INDIRECT("'数据-取费表'!S"&amp;$G$1))/10000,0)</f>
        <v>23</v>
      </c>
      <c r="D17" s="345" t="s">
        <v>1428</v>
      </c>
      <c r="E17" s="345" t="s">
        <v>1429</v>
      </c>
      <c r="F17" s="25">
        <f>'数据-取费表'!B35</f>
        <v>200</v>
      </c>
      <c r="G17" s="1852"/>
      <c r="H17" s="1201" t="s">
        <v>1035</v>
      </c>
      <c r="I17" s="345" t="s">
        <v>1430</v>
      </c>
      <c r="J17" s="23">
        <f ca="1">ROUND(IF(项目基本情况!B11="自然人",J5*M17,J18+J19+J20),1)</f>
        <v>4.0999999999999996</v>
      </c>
      <c r="K17" s="2939" t="s">
        <v>1431</v>
      </c>
      <c r="L17" s="293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1433</v>
      </c>
      <c r="C18" s="23">
        <f ca="1">ROUND(C14*F18,0)</f>
        <v>5</v>
      </c>
      <c r="D18" s="345" t="s">
        <v>1422</v>
      </c>
      <c r="E18" s="345" t="s">
        <v>1423</v>
      </c>
      <c r="F18" s="365">
        <f>'数据-取费表'!B36</f>
        <v>1.4999999999999999E-2</v>
      </c>
      <c r="G18" s="1852"/>
      <c r="H18" s="1201" t="s">
        <v>1034</v>
      </c>
      <c r="I18" s="345" t="s">
        <v>1434</v>
      </c>
      <c r="J18" s="23">
        <f ca="1">ROUND(J5*M18/(1+'数据-取费表'!C42),2)</f>
        <v>0</v>
      </c>
      <c r="K18" s="293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1436</v>
      </c>
      <c r="C19" s="23">
        <f ca="1">SUM(C14:C18)</f>
        <v>391</v>
      </c>
      <c r="D19" s="138" t="s">
        <v>1437</v>
      </c>
      <c r="E19" s="2943"/>
      <c r="F19" s="25"/>
      <c r="G19" s="1849"/>
      <c r="H19" s="1201" t="s">
        <v>1036</v>
      </c>
      <c r="I19" s="345" t="s">
        <v>1438</v>
      </c>
      <c r="J19" s="23">
        <f ca="1">IF(K19="按租金收入计税",ROUND(J5*M19,2),ROUND(C29*M19*0.7,2))</f>
        <v>4.07</v>
      </c>
      <c r="K19" s="1826" t="s">
        <v>1439</v>
      </c>
      <c r="L19" s="345" t="s">
        <v>1423</v>
      </c>
      <c r="M19" s="365">
        <f>IF(K19="按租金收入计税",'数据-取费表'!B51,'数据-取费表'!B50)</f>
        <v>1.2E-2</v>
      </c>
    </row>
    <row r="20" spans="1:37" s="1856" customFormat="1" ht="18" customHeight="1">
      <c r="A20" s="1201" t="s">
        <v>1039</v>
      </c>
      <c r="B20" s="345" t="s">
        <v>1440</v>
      </c>
      <c r="C20" s="23">
        <f ca="1">ROUND(C19*F20,0)</f>
        <v>8</v>
      </c>
      <c r="D20" s="367" t="s">
        <v>1441</v>
      </c>
      <c r="E20" s="345" t="s">
        <v>1423</v>
      </c>
      <c r="F20" s="365">
        <f>'数据-取费表'!B37</f>
        <v>0.02</v>
      </c>
      <c r="G20" s="1852"/>
      <c r="H20" s="1201" t="s">
        <v>1389</v>
      </c>
      <c r="I20" s="162" t="s">
        <v>1442</v>
      </c>
      <c r="J20" s="24">
        <f ca="1">ROUND(M20*M21/10000,2)</f>
        <v>0.02</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1445</v>
      </c>
      <c r="C21" s="23" t="s">
        <v>18</v>
      </c>
      <c r="D21" s="367" t="s">
        <v>1446</v>
      </c>
      <c r="E21" s="345" t="s">
        <v>1447</v>
      </c>
      <c r="F21" s="365">
        <f>'数据-取费表'!B38</f>
        <v>0.02</v>
      </c>
      <c r="G21" s="1852"/>
      <c r="H21" s="370"/>
      <c r="I21" s="354"/>
      <c r="J21" s="28"/>
      <c r="K21" s="371"/>
      <c r="L21" s="345" t="s">
        <v>1448</v>
      </c>
      <c r="M21" s="346">
        <f ca="1">INDIRECT("'数据-取费表'!r"&amp;$G$1)</f>
        <v>102.34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1449</v>
      </c>
      <c r="C22" s="23"/>
      <c r="D22" s="138" t="str">
        <f>IF(F23&lt;=1,"单利计息。","复利计息。")&amp;"建造成本、管理费用、销售费用产生的利息。"</f>
        <v>复利计息。建造成本、管理费用、销售费用产生的利息。</v>
      </c>
      <c r="E22" s="2943"/>
      <c r="F22" s="25"/>
      <c r="G22" s="1849"/>
      <c r="H22" s="1201" t="s">
        <v>1039</v>
      </c>
      <c r="I22" s="345" t="s">
        <v>1450</v>
      </c>
      <c r="J22" s="23">
        <f ca="1">ROUND(J14*M22,1)</f>
        <v>7.3</v>
      </c>
      <c r="K22" s="2938" t="s">
        <v>1451</v>
      </c>
      <c r="L22" s="345" t="s">
        <v>1423</v>
      </c>
      <c r="M22" s="372">
        <f ca="1">INDIRECT("'数据-取费表'!Ak"&amp;$G$1)</f>
        <v>1.4999999999999999E-2</v>
      </c>
    </row>
    <row r="23" spans="1:37" s="1856" customFormat="1" ht="18" customHeight="1">
      <c r="A23" s="1201" t="s">
        <v>1034</v>
      </c>
      <c r="B23" s="345" t="s">
        <v>1452</v>
      </c>
      <c r="C23" s="23">
        <f ca="1">IF('数据-取费表'!B22&lt;=1,ROUND(C19*F24*F23/2,0)+ROUND(C20*F24*F23/2,0),ROUND(C19*(POWER((1+F24),F23/2)-1),0)+ROUND(C20*(POWER((1+F24),F23/2)-1),0))</f>
        <v>29</v>
      </c>
      <c r="D23" s="373" t="str">
        <f>IF(F23&lt;=1,"(建造成本+管理费用)×利率×(建设周期÷2)","(建造成本+管理费用)×((1+利率)^(建设周期÷2)-1)")</f>
        <v>(建造成本+管理费用)×((1+利率)^(建设周期÷2)-1)</v>
      </c>
      <c r="E23" s="345" t="s">
        <v>1453</v>
      </c>
      <c r="F23" s="369">
        <f>'数据-取费表'!B20</f>
        <v>3</v>
      </c>
      <c r="G23" s="1852"/>
      <c r="H23" s="1201" t="s">
        <v>1075</v>
      </c>
      <c r="I23" s="345" t="s">
        <v>1454</v>
      </c>
      <c r="J23" s="23">
        <f ca="1">ROUND(J13*M23,1)</f>
        <v>0</v>
      </c>
      <c r="K23" s="2938"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1458</v>
      </c>
      <c r="C24" s="23">
        <f ca="1">ROUND(IF('数据-取费表'!B22&lt;=1,F21*F24*F23/2,F21*(POWER((1+F24),F23/2)-1)),4)</f>
        <v>1.4E-3</v>
      </c>
      <c r="D24" s="373" t="str">
        <f>IF(F23&lt;=1,"销售费用×利率×(建设周期÷2)","销售费用×((1+利率)^(建设周期÷2)-1)")</f>
        <v>销售费用×((1+利率)^(建设周期÷2)-1)</v>
      </c>
      <c r="E24" s="345" t="s">
        <v>1459</v>
      </c>
      <c r="F24" s="375">
        <f ca="1">'数据-取费表'!B40</f>
        <v>4.7500000000000001E-2</v>
      </c>
      <c r="G24" s="1852"/>
      <c r="H24" s="1338" t="s">
        <v>1392</v>
      </c>
      <c r="I24" s="1339" t="s">
        <v>1440</v>
      </c>
      <c r="J24" s="1340">
        <f ca="1">ROUND(J5*M24,1)</f>
        <v>0</v>
      </c>
      <c r="K24" s="1341" t="s">
        <v>1460</v>
      </c>
      <c r="L24" s="1339" t="s">
        <v>1423</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5" t="s">
        <v>1462</v>
      </c>
      <c r="C25" s="23"/>
      <c r="D25" s="138" t="s">
        <v>1463</v>
      </c>
      <c r="E25" s="2943"/>
      <c r="F25" s="25"/>
      <c r="G25" s="1849"/>
      <c r="H25" s="1328" t="s">
        <v>1031</v>
      </c>
      <c r="I25" s="1343" t="s">
        <v>1464</v>
      </c>
      <c r="J25" s="353">
        <f ca="1">J5-J16</f>
        <v>-11</v>
      </c>
      <c r="K25" s="1344" t="s">
        <v>1465</v>
      </c>
      <c r="L25" s="1345"/>
      <c r="M25" s="1346"/>
    </row>
    <row r="26" spans="1:37">
      <c r="A26" s="1201" t="s">
        <v>1034</v>
      </c>
      <c r="B26" s="345" t="s">
        <v>1466</v>
      </c>
      <c r="C26" s="23">
        <f ca="1">ROUND((C19+C20)*F26,0)</f>
        <v>20</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201" t="s">
        <v>1036</v>
      </c>
      <c r="B27" s="345" t="s">
        <v>1472</v>
      </c>
      <c r="C27" s="23">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201" t="s">
        <v>1037</v>
      </c>
      <c r="B28" s="345" t="s">
        <v>1476</v>
      </c>
      <c r="C28" s="23">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484</v>
      </c>
      <c r="D29" s="1341"/>
      <c r="E29" s="1339"/>
      <c r="F29" s="1342"/>
      <c r="G29" s="1852"/>
      <c r="H29" s="378" t="s">
        <v>1033</v>
      </c>
      <c r="I29" s="379" t="s">
        <v>1480</v>
      </c>
      <c r="J29" s="380">
        <f ca="1">ROUND(J26/(1+F40)^F41,0)</f>
        <v>0</v>
      </c>
      <c r="K29" s="381" t="s">
        <v>1481</v>
      </c>
      <c r="L29" s="382"/>
      <c r="M29" s="383">
        <f ca="1">INDIRECT("'数据-取费表'!k"&amp;$G$1)</f>
        <v>1132.9000000000001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3">
        <f ca="1">ROUND(C31+C36+C37+C38,0)</f>
        <v>20</v>
      </c>
      <c r="D30" s="1336" t="s">
        <v>1426</v>
      </c>
      <c r="E30" s="2940"/>
      <c r="F30" s="1293"/>
      <c r="G30" s="1849"/>
      <c r="H30" s="743"/>
      <c r="I30" s="744"/>
      <c r="J30" s="745"/>
      <c r="K30" s="746"/>
      <c r="L30" s="747"/>
      <c r="M30" s="748"/>
    </row>
    <row r="31" spans="1:37" ht="18" customHeight="1">
      <c r="A31" s="1201" t="s">
        <v>1035</v>
      </c>
      <c r="B31" s="345" t="s">
        <v>1430</v>
      </c>
      <c r="C31" s="23">
        <f ca="1">ROUND(IF(项目基本情况!B11="自然人",C5*F31,C32+C33+C34),1)</f>
        <v>10.4</v>
      </c>
      <c r="D31" s="2939" t="s">
        <v>1431</v>
      </c>
      <c r="E31" s="293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1434</v>
      </c>
      <c r="C32" s="23">
        <f ca="1">IF(项目基本情况!B11="自然人","——",ROUND(C5*F32/(1+'数据-取费表'!C42),2))</f>
        <v>3.14</v>
      </c>
      <c r="D32" s="2938" t="s">
        <v>1435</v>
      </c>
      <c r="E32" s="345" t="s">
        <v>1423</v>
      </c>
      <c r="F32" s="375">
        <f>'数据-取费表'!B41</f>
        <v>5.5000000000000007E-2</v>
      </c>
      <c r="G32" s="1849"/>
      <c r="H32" s="743"/>
      <c r="I32" s="744"/>
      <c r="J32" s="745"/>
      <c r="K32" s="746"/>
      <c r="L32" s="747"/>
      <c r="M32" s="748"/>
    </row>
    <row r="33" spans="1:18" ht="18" customHeight="1">
      <c r="A33" s="1201" t="s">
        <v>1036</v>
      </c>
      <c r="B33" s="345" t="s">
        <v>1438</v>
      </c>
      <c r="C33" s="23">
        <f ca="1">IF(项目基本情况!B11="自然人","——",IF(D33="按租金收入计税",ROUND(C5*F33,2),IF(D33="按房产原值计税",ROUND(C29*F33*0.7,2),INDIRECT("'数据-取费表'!Aj"&amp;$G$1))))</f>
        <v>7.2</v>
      </c>
      <c r="D33" s="1826" t="s">
        <v>3236</v>
      </c>
      <c r="E33" s="345" t="s">
        <v>1423</v>
      </c>
      <c r="F33" s="365">
        <f>IF(D33="按票据","——",IF(D33="按租金收入计税",'数据-取费表'!B51,'数据-取费表'!B50))</f>
        <v>0.12</v>
      </c>
      <c r="G33" s="1849"/>
      <c r="H33" s="1857"/>
      <c r="I33" s="1858"/>
      <c r="J33" s="1859"/>
      <c r="K33" s="1860"/>
      <c r="L33" s="1857"/>
      <c r="M33" s="1857"/>
    </row>
    <row r="34" spans="1:18" ht="18" customHeight="1">
      <c r="A34" s="1290" t="s">
        <v>1389</v>
      </c>
      <c r="B34" s="162" t="s">
        <v>1442</v>
      </c>
      <c r="C34" s="24">
        <f ca="1">IF(项目基本情况!B11="自然人","——",ROUND(F34*F35/10000,2))</f>
        <v>0.02</v>
      </c>
      <c r="D34" s="368" t="s">
        <v>1443</v>
      </c>
      <c r="E34" s="345" t="s">
        <v>1444</v>
      </c>
      <c r="F34" s="369">
        <f>'数据-取费表'!B52</f>
        <v>1.5</v>
      </c>
      <c r="G34" s="1849"/>
      <c r="H34" s="743"/>
      <c r="I34" s="1858"/>
      <c r="J34" s="1859"/>
      <c r="K34" s="1861"/>
      <c r="L34" s="1862"/>
      <c r="M34" s="1862"/>
    </row>
    <row r="35" spans="1:18" ht="18" customHeight="1">
      <c r="A35" s="1352"/>
      <c r="B35" s="1350"/>
      <c r="C35" s="28"/>
      <c r="D35" s="371"/>
      <c r="E35" s="345" t="s">
        <v>1448</v>
      </c>
      <c r="F35" s="346">
        <f ca="1">INDIRECT("'数据-取费表'!r"&amp;$G$1)</f>
        <v>102.34</v>
      </c>
      <c r="G35" s="1849"/>
      <c r="H35" s="743"/>
      <c r="I35" s="1858"/>
      <c r="J35" s="1859"/>
      <c r="K35" s="1860"/>
      <c r="L35" s="1857"/>
      <c r="M35" s="1857"/>
    </row>
    <row r="36" spans="1:18" ht="18" customHeight="1">
      <c r="A36" s="1351" t="s">
        <v>1039</v>
      </c>
      <c r="B36" s="345" t="s">
        <v>1450</v>
      </c>
      <c r="C36" s="23">
        <f ca="1">ROUND(C29*F36,1)</f>
        <v>7.3</v>
      </c>
      <c r="D36" s="2938" t="s">
        <v>1483</v>
      </c>
      <c r="E36" s="345" t="s">
        <v>1423</v>
      </c>
      <c r="F36" s="372">
        <f ca="1">INDIRECT("'数据-取费表'!Ak"&amp;$G$1)</f>
        <v>1.4999999999999999E-2</v>
      </c>
      <c r="G36" s="1849"/>
      <c r="H36" s="1857"/>
      <c r="I36" s="1858"/>
      <c r="J36" s="1859"/>
      <c r="K36" s="749"/>
      <c r="L36" s="1857"/>
      <c r="M36" s="1857"/>
    </row>
    <row r="37" spans="1:18" ht="18" customHeight="1">
      <c r="A37" s="1201" t="s">
        <v>1075</v>
      </c>
      <c r="B37" s="345" t="s">
        <v>1454</v>
      </c>
      <c r="C37" s="23">
        <f ca="1">ROUND(C13*F37,1)</f>
        <v>1</v>
      </c>
      <c r="D37" s="2938" t="s">
        <v>1455</v>
      </c>
      <c r="E37" s="345" t="s">
        <v>1423</v>
      </c>
      <c r="F37" s="374">
        <f ca="1">INDIRECT("'数据-取费表'!Al"&amp;$G$1)</f>
        <v>2E-3</v>
      </c>
      <c r="G37" s="1849"/>
      <c r="H37" s="1857"/>
      <c r="I37" s="1858"/>
      <c r="J37" s="1859"/>
      <c r="K37" s="749"/>
      <c r="L37" s="1857"/>
      <c r="M37" s="1857"/>
    </row>
    <row r="38" spans="1:18" ht="18" customHeight="1" thickBot="1">
      <c r="A38" s="1338" t="s">
        <v>1392</v>
      </c>
      <c r="B38" s="1339" t="s">
        <v>1440</v>
      </c>
      <c r="C38" s="1340">
        <f ca="1">ROUND(C5*F38,1)</f>
        <v>1.2</v>
      </c>
      <c r="D38" s="1341" t="s">
        <v>1460</v>
      </c>
      <c r="E38" s="1339" t="s">
        <v>1423</v>
      </c>
      <c r="F38" s="1335">
        <f ca="1">INDIRECT("'数据-取费表'!Am"&amp;$G$1)</f>
        <v>0.02</v>
      </c>
      <c r="G38" s="1849"/>
      <c r="H38" s="1857"/>
      <c r="I38" s="1858"/>
      <c r="J38" s="1859"/>
      <c r="K38" s="1863"/>
      <c r="L38" s="1857"/>
      <c r="M38" s="1857"/>
    </row>
    <row r="39" spans="1:18" ht="24.6" customHeight="1" thickTop="1">
      <c r="A39" s="1328" t="s">
        <v>1031</v>
      </c>
      <c r="B39" s="1343" t="s">
        <v>1464</v>
      </c>
      <c r="C39" s="353">
        <f ca="1">C5-C30</f>
        <v>40</v>
      </c>
      <c r="D39" s="1344" t="s">
        <v>1465</v>
      </c>
      <c r="E39" s="1345"/>
      <c r="F39" s="1346"/>
      <c r="G39" s="1849"/>
      <c r="H39" s="1857"/>
      <c r="I39" s="1858"/>
      <c r="J39" s="1859"/>
      <c r="K39" s="1863"/>
      <c r="L39" s="1857"/>
      <c r="M39" s="1857"/>
    </row>
    <row r="40" spans="1:18" ht="18" customHeight="1">
      <c r="A40" s="342" t="s">
        <v>1032</v>
      </c>
      <c r="B40" s="343" t="s">
        <v>1486</v>
      </c>
      <c r="C40" s="344">
        <f ca="1">ROUND(C39*(1-((1+F42)/(1+F40))^F41)/(F40-F42),0)</f>
        <v>848</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39.96</v>
      </c>
      <c r="G41" s="1849"/>
      <c r="H41" s="730"/>
      <c r="I41" s="1858"/>
      <c r="J41" s="1859"/>
      <c r="K41" s="749"/>
      <c r="L41" s="730"/>
      <c r="M41" s="730"/>
    </row>
    <row r="42" spans="1:18" ht="18" customHeight="1">
      <c r="A42" s="351"/>
      <c r="B42" s="352"/>
      <c r="C42" s="353"/>
      <c r="D42" s="371"/>
      <c r="E42" s="345" t="s">
        <v>1478</v>
      </c>
      <c r="F42" s="355">
        <f ca="1">INDIRECT("'数据-取费表'!v"&amp;$G$1)</f>
        <v>1.4999999999999999E-2</v>
      </c>
      <c r="G42" s="1849"/>
      <c r="H42" s="730"/>
      <c r="I42" s="1858"/>
      <c r="J42" s="1859"/>
      <c r="K42" s="749"/>
      <c r="L42" s="730"/>
      <c r="M42" s="730"/>
    </row>
    <row r="43" spans="1:18" ht="18" customHeight="1" thickBot="1">
      <c r="A43" s="378" t="s">
        <v>1033</v>
      </c>
      <c r="B43" s="379" t="s">
        <v>1488</v>
      </c>
      <c r="C43" s="380">
        <f ca="1">ROUND(C40*10000/F43,0)</f>
        <v>7485</v>
      </c>
      <c r="D43" s="381" t="s">
        <v>1489</v>
      </c>
      <c r="E43" s="382" t="s">
        <v>1490</v>
      </c>
      <c r="F43" s="383">
        <f ca="1">INDIRECT("'数据-取费表'!k"&amp;$G$1)</f>
        <v>1132.9000000000001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8" thickBot="1">
      <c r="A46" s="1868" t="s">
        <v>1521</v>
      </c>
      <c r="C46" s="1869">
        <f ca="1">C68-C40</f>
        <v>-1689</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8" thickBot="1">
      <c r="A47" s="1165" t="s">
        <v>1396</v>
      </c>
      <c r="B47" s="1197" t="s">
        <v>1397</v>
      </c>
      <c r="C47" s="1366" t="s">
        <v>1398</v>
      </c>
      <c r="D47" s="1197" t="s">
        <v>1399</v>
      </c>
      <c r="E47" s="1278" t="s">
        <v>1400</v>
      </c>
      <c r="F47" s="1279"/>
      <c r="G47" s="790"/>
      <c r="I47" s="1878" t="s">
        <v>1527</v>
      </c>
      <c r="J47" s="1879" t="s">
        <v>3153</v>
      </c>
      <c r="K47" s="1880" t="s">
        <v>1528</v>
      </c>
      <c r="L47" s="1881">
        <f ca="1">INDIRECT("'数据-取费表'!d"&amp;$G$1)</f>
        <v>50</v>
      </c>
      <c r="M47" s="1836" t="str">
        <f>IF(ISNUMBER(FIND("住宅",C1)),"住宅","非住宅")</f>
        <v>非住宅</v>
      </c>
      <c r="O47" s="1882" t="s">
        <v>1040</v>
      </c>
      <c r="P47" s="1883" t="s">
        <v>1529</v>
      </c>
      <c r="Q47" s="1884">
        <f ca="1">C40+J29</f>
        <v>848</v>
      </c>
      <c r="R47" s="1884" t="s">
        <v>1530</v>
      </c>
    </row>
    <row r="48" spans="1:18" s="1840" customFormat="1" ht="40.200000000000003" thickBot="1">
      <c r="A48" s="1359" t="s">
        <v>1135</v>
      </c>
      <c r="B48" s="343" t="s">
        <v>1401</v>
      </c>
      <c r="C48" s="2942">
        <f ca="1">C49+C53+C55</f>
        <v>0</v>
      </c>
      <c r="D48" s="1361"/>
      <c r="E48" s="1362"/>
      <c r="F48" s="1181"/>
      <c r="G48" s="790"/>
      <c r="H48" s="791"/>
      <c r="I48" s="1885" t="s">
        <v>1531</v>
      </c>
      <c r="J48" s="1886" t="s">
        <v>3154</v>
      </c>
      <c r="K48" s="1887" t="s">
        <v>1532</v>
      </c>
      <c r="L48" s="1888">
        <f ca="1">INDIRECT("'数据-取费表'!f"&amp;$G$1)</f>
        <v>42.6</v>
      </c>
      <c r="O48" s="1882" t="s">
        <v>1041</v>
      </c>
      <c r="P48" s="1883" t="s">
        <v>1533</v>
      </c>
      <c r="Q48" s="1884" t="str">
        <f ca="1">J60</f>
        <v>0</v>
      </c>
      <c r="R48" s="1884" t="s">
        <v>1534</v>
      </c>
    </row>
    <row r="49" spans="1:18" s="1840" customFormat="1" ht="13.8" thickBot="1">
      <c r="A49" s="1194" t="s">
        <v>1136</v>
      </c>
      <c r="B49" s="1827" t="s">
        <v>1491</v>
      </c>
      <c r="C49" s="1363">
        <f ca="1">ROUND(F49*F51*F50*(1-F52)/10000,0)</f>
        <v>0</v>
      </c>
      <c r="D49" s="1275" t="s">
        <v>3032</v>
      </c>
      <c r="E49" s="1828" t="s">
        <v>1492</v>
      </c>
      <c r="F49" s="1280"/>
      <c r="G49" s="1889"/>
      <c r="H49" s="791"/>
      <c r="I49" s="1885" t="s">
        <v>1535</v>
      </c>
      <c r="J49" s="1890"/>
      <c r="K49" s="1887" t="s">
        <v>1536</v>
      </c>
      <c r="L49" s="1891"/>
      <c r="O49" s="1892" t="s">
        <v>1042</v>
      </c>
      <c r="P49" s="1883" t="s">
        <v>1537</v>
      </c>
      <c r="Q49" s="1884">
        <f ca="1">C29</f>
        <v>484</v>
      </c>
      <c r="R49" s="1884" t="s">
        <v>1530</v>
      </c>
    </row>
    <row r="50" spans="1:18" s="1840" customFormat="1" ht="13.8" thickBot="1">
      <c r="A50" s="1195"/>
      <c r="B50" s="1198"/>
      <c r="C50" s="1367"/>
      <c r="D50" s="1172"/>
      <c r="E50" s="1276" t="s">
        <v>1406</v>
      </c>
      <c r="F50" s="1277">
        <f ca="1">F7</f>
        <v>1132.9000000000001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8" thickBot="1">
      <c r="A51" s="1196"/>
      <c r="B51" s="1198"/>
      <c r="C51" s="1199"/>
      <c r="D51" s="1172"/>
      <c r="E51" s="1200" t="s">
        <v>1407</v>
      </c>
      <c r="F51" s="346">
        <f ca="1">F8</f>
        <v>365</v>
      </c>
      <c r="I51" s="1896" t="s">
        <v>1541</v>
      </c>
      <c r="J51" s="1897">
        <f>IF(J49="",J50,J49+J50-YEAR('数据-取费表'!B2))</f>
        <v>60</v>
      </c>
      <c r="K51" s="1898" t="s">
        <v>1542</v>
      </c>
      <c r="L51" s="1899">
        <f ca="1">ROUND(-PV(INDIRECT("'数据-取费表'!h"&amp;$G$1),L48,(C39-C13*C76),0),0)</f>
        <v>-21</v>
      </c>
      <c r="M51" s="1900"/>
      <c r="O51" s="1892" t="s">
        <v>1044</v>
      </c>
      <c r="P51" s="1883" t="s">
        <v>1543</v>
      </c>
      <c r="Q51" s="1895">
        <f>J52</f>
        <v>0</v>
      </c>
      <c r="R51" s="1884"/>
    </row>
    <row r="52" spans="1:18" s="1840" customFormat="1" ht="13.8" thickBot="1">
      <c r="A52" s="1196"/>
      <c r="B52" s="1198"/>
      <c r="C52" s="1199"/>
      <c r="D52" s="1172"/>
      <c r="E52" s="1200" t="s">
        <v>1408</v>
      </c>
      <c r="F52" s="1274"/>
      <c r="I52" s="1901" t="s">
        <v>1544</v>
      </c>
      <c r="J52" s="1902"/>
      <c r="K52" s="1901" t="s">
        <v>1545</v>
      </c>
      <c r="L52" s="1902"/>
      <c r="O52" s="1892" t="s">
        <v>1045</v>
      </c>
      <c r="P52" s="1883" t="s">
        <v>1546</v>
      </c>
      <c r="Q52" s="1884">
        <f ca="1">J53</f>
        <v>39.96</v>
      </c>
      <c r="R52" s="1884" t="s">
        <v>1547</v>
      </c>
    </row>
    <row r="53" spans="1:18" s="1840" customFormat="1" ht="36.6" thickBot="1">
      <c r="A53" s="1404" t="s">
        <v>1137</v>
      </c>
      <c r="B53" s="1829" t="s">
        <v>1409</v>
      </c>
      <c r="C53" s="359">
        <f ca="1">ROUND(IF(F53="押一",F49*F51*F50/12*F11,IF(F53="押二",F49*F51*F50/12*2*F11,IF(F53="押三",F49*F51*F50/12*3*F11,C54*F11)))/10000,0)</f>
        <v>0</v>
      </c>
      <c r="D53" s="1822" t="s">
        <v>3029</v>
      </c>
      <c r="E53" s="356" t="s">
        <v>1411</v>
      </c>
      <c r="F53" s="1365"/>
      <c r="I53" s="1903" t="s">
        <v>1548</v>
      </c>
      <c r="J53" s="1904">
        <f ca="1">IF(M47="住宅",J51,IF(D1="——",MIN(J51,L48),IF(D1="在建（套用方法）",MIN(J51,L48-'数据-取费表'!B24),IF(D1="土地（套用方法）",MIN(J51,L48-'数据-取费表'!B20)))))</f>
        <v>39.96</v>
      </c>
      <c r="K53" s="3250" t="s">
        <v>1549</v>
      </c>
      <c r="L53" s="3251"/>
      <c r="O53" s="1882" t="s">
        <v>1046</v>
      </c>
      <c r="P53" s="1883" t="s">
        <v>1550</v>
      </c>
      <c r="Q53" s="1884">
        <f ca="1">Q47+Q48</f>
        <v>848</v>
      </c>
      <c r="R53" s="1884" t="s">
        <v>1047</v>
      </c>
    </row>
    <row r="54" spans="1:18" s="1840" customFormat="1" ht="24.6" thickBot="1">
      <c r="A54" s="1405"/>
      <c r="B54" s="1823" t="s">
        <v>1388</v>
      </c>
      <c r="C54" s="1178"/>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8" thickBot="1">
      <c r="A55" s="1332" t="s">
        <v>1075</v>
      </c>
      <c r="B55" s="1825" t="s">
        <v>1414</v>
      </c>
      <c r="C55" s="1333"/>
      <c r="D55" s="1822"/>
      <c r="E55" s="294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37.200000000000003" thickTop="1" thickBot="1">
      <c r="A56" s="1176">
        <v>2</v>
      </c>
      <c r="B56" s="1177" t="s">
        <v>1415</v>
      </c>
      <c r="C56" s="274">
        <f ca="1">C13</f>
        <v>484</v>
      </c>
      <c r="D56" s="1912"/>
      <c r="E56" s="1913"/>
      <c r="F56" s="1905"/>
      <c r="I56" s="1914" t="s">
        <v>1555</v>
      </c>
      <c r="J56" s="1915" t="s">
        <v>3049</v>
      </c>
      <c r="K56" s="1885" t="s">
        <v>1556</v>
      </c>
      <c r="L56" s="1888" t="str">
        <f ca="1">IF(L48&lt;J51,"——",L48-J53)</f>
        <v>——</v>
      </c>
      <c r="O56" s="1882" t="s">
        <v>1040</v>
      </c>
      <c r="P56" s="1883" t="s">
        <v>1529</v>
      </c>
      <c r="Q56" s="1884">
        <f ca="1">C40+J29</f>
        <v>848</v>
      </c>
      <c r="R56" s="1884" t="s">
        <v>1530</v>
      </c>
    </row>
    <row r="57" spans="1:18" s="1840" customFormat="1" ht="24.6" thickBot="1">
      <c r="A57" s="1916"/>
      <c r="B57" s="1169" t="s">
        <v>1479</v>
      </c>
      <c r="C57" s="280">
        <f ca="1">C29</f>
        <v>484</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6" thickBot="1">
      <c r="A58" s="358" t="s">
        <v>1030</v>
      </c>
      <c r="B58" s="1177" t="s">
        <v>1425</v>
      </c>
      <c r="C58" s="359">
        <f ca="1">ROUND(C59+C64+C65+C66,0)</f>
        <v>49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6" thickBot="1">
      <c r="A59" s="1201" t="s">
        <v>1035</v>
      </c>
      <c r="B59" s="1169" t="s">
        <v>1430</v>
      </c>
      <c r="C59" s="23">
        <f ca="1">ROUND(IF(项目基本情况!B11="自然人",C48*F59,C60+C61+C62),1)</f>
        <v>40.700000000000003</v>
      </c>
      <c r="D59" s="1182" t="s">
        <v>1431</v>
      </c>
      <c r="E59" s="1183"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2" thickBot="1">
      <c r="A60" s="1201" t="s">
        <v>1034</v>
      </c>
      <c r="B60" s="1169" t="s">
        <v>1434</v>
      </c>
      <c r="C60" s="23">
        <f ca="1">IF(项目基本情况!B11="自然人","——",ROUND(C48*F60/(1+'数据-取费表'!C42),2))</f>
        <v>0</v>
      </c>
      <c r="D60" s="1183" t="s">
        <v>1435</v>
      </c>
      <c r="E60" s="1169"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8" thickBot="1">
      <c r="A61" s="1201" t="s">
        <v>1493</v>
      </c>
      <c r="B61" s="1169" t="s">
        <v>1438</v>
      </c>
      <c r="C61" s="23">
        <f ca="1">IF(项目基本情况!B11="自然人","——",IF(D61="按租金收入计税",ROUND(C48*F61,2),IF(D61="按房产原值计税",ROUND(C57*F61*0.7,2),INDIRECT("'数据-取费表'!Aj"&amp;$G$1))))</f>
        <v>40.659999999999997</v>
      </c>
      <c r="D61" s="1826" t="s">
        <v>1439</v>
      </c>
      <c r="E61" s="1169" t="s">
        <v>1423</v>
      </c>
      <c r="F61" s="365">
        <f t="shared" si="0"/>
        <v>0.12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8" thickBot="1">
      <c r="A62" s="1201" t="s">
        <v>1496</v>
      </c>
      <c r="B62" s="1168" t="s">
        <v>1442</v>
      </c>
      <c r="C62" s="24">
        <f ca="1">IF(项目基本情况!B11="自然人","——",ROUND(F62*F63/10000,2))</f>
        <v>0.02</v>
      </c>
      <c r="D62" s="1184" t="s">
        <v>1443</v>
      </c>
      <c r="E62" s="1169" t="s">
        <v>1444</v>
      </c>
      <c r="F62" s="369">
        <f t="shared" si="0"/>
        <v>1.5</v>
      </c>
      <c r="I62" s="1927" t="s">
        <v>1571</v>
      </c>
      <c r="J62" s="1928" t="s">
        <v>1572</v>
      </c>
      <c r="K62" s="1928" t="s">
        <v>1573</v>
      </c>
      <c r="L62" s="1928" t="s">
        <v>1574</v>
      </c>
      <c r="M62" s="1929" t="s">
        <v>1575</v>
      </c>
      <c r="O62" s="1882" t="s">
        <v>1046</v>
      </c>
      <c r="P62" s="1883" t="s">
        <v>1550</v>
      </c>
      <c r="Q62" s="1884">
        <f ca="1">Q56+Q57</f>
        <v>848</v>
      </c>
      <c r="R62" s="1884" t="s">
        <v>1047</v>
      </c>
    </row>
    <row r="63" spans="1:18" s="1840" customFormat="1" ht="13.8" thickBot="1">
      <c r="A63" s="370"/>
      <c r="B63" s="1175"/>
      <c r="C63" s="28"/>
      <c r="D63" s="1185"/>
      <c r="E63" s="1169" t="s">
        <v>1448</v>
      </c>
      <c r="F63" s="346">
        <f t="shared" ca="1" si="0"/>
        <v>102.34</v>
      </c>
      <c r="I63" s="1927" t="s">
        <v>1577</v>
      </c>
      <c r="J63" s="1928">
        <v>70</v>
      </c>
      <c r="K63" s="1928">
        <v>50</v>
      </c>
      <c r="L63" s="1928">
        <v>80</v>
      </c>
      <c r="M63" s="1930">
        <v>0.02</v>
      </c>
      <c r="O63" s="1867" t="s">
        <v>1578</v>
      </c>
      <c r="P63" s="1837"/>
      <c r="Q63" s="1837"/>
      <c r="R63" s="1837"/>
    </row>
    <row r="64" spans="1:18" s="1840" customFormat="1" ht="13.8" thickBot="1">
      <c r="A64" s="1201" t="s">
        <v>1039</v>
      </c>
      <c r="B64" s="1169" t="s">
        <v>1450</v>
      </c>
      <c r="C64" s="23">
        <f ca="1">ROUND(C57*F64,1)</f>
        <v>7.3</v>
      </c>
      <c r="D64" s="1183" t="s">
        <v>1483</v>
      </c>
      <c r="E64" s="1169"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8" thickBot="1">
      <c r="A65" s="1201" t="s">
        <v>1504</v>
      </c>
      <c r="B65" s="1169" t="s">
        <v>1454</v>
      </c>
      <c r="C65" s="23">
        <f ca="1">ROUND(C56*F65,1)</f>
        <v>1</v>
      </c>
      <c r="D65" s="1183" t="s">
        <v>1455</v>
      </c>
      <c r="E65" s="1169" t="s">
        <v>1423</v>
      </c>
      <c r="F65" s="374">
        <f t="shared" ca="1" si="0"/>
        <v>2E-3</v>
      </c>
      <c r="I65" s="1927" t="s">
        <v>1580</v>
      </c>
      <c r="J65" s="1928">
        <v>40</v>
      </c>
      <c r="K65" s="1928">
        <v>30</v>
      </c>
      <c r="L65" s="1928">
        <v>50</v>
      </c>
      <c r="M65" s="1930">
        <v>0.02</v>
      </c>
      <c r="O65" s="1882" t="s">
        <v>1040</v>
      </c>
      <c r="P65" s="1883" t="s">
        <v>1529</v>
      </c>
      <c r="Q65" s="1884">
        <f ca="1">C40+J29</f>
        <v>848</v>
      </c>
      <c r="R65" s="1884" t="s">
        <v>1530</v>
      </c>
    </row>
    <row r="66" spans="1:18" s="1840" customFormat="1" ht="16.2" thickBot="1">
      <c r="A66" s="1201" t="s">
        <v>1505</v>
      </c>
      <c r="B66" s="1169" t="s">
        <v>1440</v>
      </c>
      <c r="C66" s="23">
        <f ca="1">ROUND(C48*F66,1)</f>
        <v>0</v>
      </c>
      <c r="D66" s="1183" t="s">
        <v>1460</v>
      </c>
      <c r="E66" s="1169" t="s">
        <v>1423</v>
      </c>
      <c r="F66" s="355">
        <f t="shared" ca="1" si="0"/>
        <v>0.02</v>
      </c>
      <c r="O66" s="1882" t="s">
        <v>1041</v>
      </c>
      <c r="P66" s="1883" t="s">
        <v>1559</v>
      </c>
      <c r="Q66" s="1884">
        <f ca="1">L60</f>
        <v>0</v>
      </c>
      <c r="R66" s="1884" t="s">
        <v>1582</v>
      </c>
    </row>
    <row r="67" spans="1:18" s="1840" customFormat="1" ht="24.6" thickBot="1">
      <c r="A67" s="1176" t="s">
        <v>1031</v>
      </c>
      <c r="B67" s="1186" t="s">
        <v>1464</v>
      </c>
      <c r="C67" s="359">
        <f ca="1">C48-C58</f>
        <v>-49</v>
      </c>
      <c r="D67" s="1182" t="s">
        <v>1465</v>
      </c>
      <c r="E67" s="1187"/>
      <c r="F67" s="1188"/>
      <c r="O67" s="1892" t="s">
        <v>1042</v>
      </c>
      <c r="P67" s="1883" t="s">
        <v>1563</v>
      </c>
      <c r="Q67" s="1931">
        <f ca="1">L51</f>
        <v>-21</v>
      </c>
      <c r="R67" s="1884" t="s">
        <v>1583</v>
      </c>
    </row>
    <row r="68" spans="1:18" s="1840" customFormat="1" ht="16.2" thickBot="1">
      <c r="A68" s="1166" t="s">
        <v>1032</v>
      </c>
      <c r="B68" s="1167" t="s">
        <v>1486</v>
      </c>
      <c r="C68" s="344">
        <f ca="1">ROUND(C67*(1-((1+F70)/(1+F68))^F69)/(F68-F70),0)</f>
        <v>-841</v>
      </c>
      <c r="D68" s="1184" t="s">
        <v>1470</v>
      </c>
      <c r="E68" s="1169" t="s">
        <v>1471</v>
      </c>
      <c r="F68" s="355">
        <f ca="1">F40</f>
        <v>0.05</v>
      </c>
      <c r="O68" s="1892" t="s">
        <v>1043</v>
      </c>
      <c r="P68" s="1932" t="s">
        <v>1584</v>
      </c>
      <c r="Q68" s="1884">
        <f ca="1">ROUND(Q69-Q70*Q71,0)</f>
        <v>-1</v>
      </c>
      <c r="R68" s="1884" t="s">
        <v>1051</v>
      </c>
    </row>
    <row r="69" spans="1:18" s="1840" customFormat="1" ht="13.8" thickBot="1">
      <c r="A69" s="1170"/>
      <c r="B69" s="1171"/>
      <c r="C69" s="349"/>
      <c r="D69" s="1189" t="s">
        <v>1474</v>
      </c>
      <c r="E69" s="1169" t="s">
        <v>1475</v>
      </c>
      <c r="F69" s="377">
        <f ca="1">F41</f>
        <v>39.96</v>
      </c>
      <c r="O69" s="1892" t="s">
        <v>1048</v>
      </c>
      <c r="P69" s="1932" t="s">
        <v>1585</v>
      </c>
      <c r="Q69" s="1884">
        <f ca="1">C39</f>
        <v>40</v>
      </c>
      <c r="R69" s="1884" t="s">
        <v>1530</v>
      </c>
    </row>
    <row r="70" spans="1:18" s="1840" customFormat="1" ht="13.8" thickBot="1">
      <c r="A70" s="1173"/>
      <c r="B70" s="1174"/>
      <c r="C70" s="353"/>
      <c r="D70" s="1185"/>
      <c r="E70" s="1169" t="s">
        <v>1478</v>
      </c>
      <c r="F70" s="1274"/>
      <c r="O70" s="1892" t="s">
        <v>1049</v>
      </c>
      <c r="P70" s="1932" t="s">
        <v>1586</v>
      </c>
      <c r="Q70" s="1884">
        <f ca="1">C13</f>
        <v>484</v>
      </c>
      <c r="R70" s="1884" t="s">
        <v>1530</v>
      </c>
    </row>
    <row r="71" spans="1:18" s="1840" customFormat="1" ht="13.8" thickBot="1">
      <c r="A71" s="1190" t="s">
        <v>1033</v>
      </c>
      <c r="B71" s="1191" t="s">
        <v>1488</v>
      </c>
      <c r="C71" s="380">
        <f ca="1">ROUND(C68*10000/F71,0)</f>
        <v>-7423</v>
      </c>
      <c r="D71" s="1192" t="s">
        <v>1489</v>
      </c>
      <c r="E71" s="1193" t="s">
        <v>1490</v>
      </c>
      <c r="F71" s="383">
        <f ca="1">F43</f>
        <v>1132.9000000000001</v>
      </c>
      <c r="O71" s="1892" t="s">
        <v>1050</v>
      </c>
      <c r="P71" s="1932" t="s">
        <v>1587</v>
      </c>
      <c r="Q71" s="1895">
        <f ca="1">C76</f>
        <v>8.5000000000000006E-2</v>
      </c>
      <c r="R71" s="1884"/>
    </row>
    <row r="72" spans="1:18" s="1840" customFormat="1" ht="13.8" thickBot="1">
      <c r="B72" s="794"/>
      <c r="C72" s="794"/>
      <c r="O72" s="1892" t="s">
        <v>1044</v>
      </c>
      <c r="P72" s="1883" t="s">
        <v>1565</v>
      </c>
      <c r="Q72" s="1895">
        <f>L52</f>
        <v>0</v>
      </c>
      <c r="R72" s="1884"/>
    </row>
    <row r="73" spans="1:18" ht="16.2" thickBot="1">
      <c r="A73" s="1840"/>
      <c r="B73" s="794"/>
      <c r="C73" s="794"/>
      <c r="D73" s="1840"/>
      <c r="E73" s="1840"/>
      <c r="F73" s="1840"/>
      <c r="O73" s="1892" t="s">
        <v>1045</v>
      </c>
      <c r="P73" s="1883" t="s">
        <v>1568</v>
      </c>
      <c r="Q73" s="1884" t="e">
        <f ca="1">L58</f>
        <v>#DIV/0!</v>
      </c>
      <c r="R73" s="1884" t="s">
        <v>1569</v>
      </c>
    </row>
    <row r="74" spans="1:18" ht="13.8"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8" thickBot="1">
      <c r="A75" s="1840"/>
      <c r="B75" s="384" t="s">
        <v>1507</v>
      </c>
      <c r="C75" s="385">
        <f ca="1">ROUND(C13*C76,0)</f>
        <v>41</v>
      </c>
      <c r="D75" s="1840"/>
      <c r="E75" s="1840"/>
      <c r="F75" s="1840"/>
      <c r="K75" s="1866"/>
      <c r="L75" s="1840"/>
      <c r="O75" s="1882" t="s">
        <v>1046</v>
      </c>
      <c r="P75" s="1883" t="s">
        <v>1550</v>
      </c>
      <c r="Q75" s="1884">
        <f ca="1">Q65+Q66</f>
        <v>848</v>
      </c>
      <c r="R75" s="1884" t="s">
        <v>1047</v>
      </c>
    </row>
    <row r="76" spans="1:18">
      <c r="B76" s="386" t="s">
        <v>1508</v>
      </c>
      <c r="C76" s="387">
        <f ca="1">INDIRECT("'数据-取费表'!j"&amp;$G$1)</f>
        <v>8.5000000000000006E-2</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-2.4999999999999911E-2</v>
      </c>
    </row>
    <row r="80" spans="1:18">
      <c r="B80" s="384" t="s">
        <v>1512</v>
      </c>
      <c r="C80" s="316">
        <f ca="1">ROUND(C75/C39,3)</f>
        <v>1.0249999999999999</v>
      </c>
    </row>
    <row r="81" spans="2:3">
      <c r="B81" s="312" t="s">
        <v>1513</v>
      </c>
      <c r="C81" s="280"/>
    </row>
    <row r="82" spans="2:3">
      <c r="B82" s="315" t="s">
        <v>1514</v>
      </c>
      <c r="C82" s="317">
        <f ca="1">1-C83</f>
        <v>0.42900000000000005</v>
      </c>
    </row>
    <row r="83" spans="2:3">
      <c r="B83" s="315" t="s">
        <v>1515</v>
      </c>
      <c r="C83" s="316">
        <f ca="1">ROUND(C13/C40,3)</f>
        <v>0.57099999999999995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1642</v>
      </c>
      <c r="B2" s="2997" t="s">
        <v>1643</v>
      </c>
      <c r="C2" s="2997" t="s">
        <v>1644</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6">
      <c r="A3" s="2998"/>
      <c r="B3" s="2998"/>
      <c r="C3" s="2998"/>
      <c r="D3" s="1044" t="s">
        <v>1639</v>
      </c>
      <c r="E3" s="1044" t="s">
        <v>1645</v>
      </c>
      <c r="F3" s="1044" t="s">
        <v>1639</v>
      </c>
      <c r="G3" s="1044" t="s">
        <v>1640</v>
      </c>
      <c r="H3" s="1044" t="s">
        <v>1639</v>
      </c>
      <c r="I3" s="1044" t="s">
        <v>1640</v>
      </c>
    </row>
    <row r="4" spans="1:9" ht="30">
      <c r="A4" s="1971" t="str">
        <f>项目基本情况!S2</f>
        <v>北京市出让国有建设用地使用权及在建建筑物房地产</v>
      </c>
      <c r="B4" s="1044">
        <f>项目基本情况!C17</f>
        <v>126370.20000000001</v>
      </c>
      <c r="C4" s="1044">
        <f>项目基本情况!C18</f>
        <v>11023.92</v>
      </c>
      <c r="D4" s="1044">
        <f ca="1">结果表!D118</f>
        <v>264801</v>
      </c>
      <c r="E4" s="1044">
        <f ca="1">结果表!E118</f>
        <v>20954</v>
      </c>
      <c r="F4" s="1044">
        <f ca="1">结果表!F118</f>
        <v>7909</v>
      </c>
      <c r="G4" s="1044">
        <f ca="1">结果表!G118</f>
        <v>626</v>
      </c>
      <c r="H4" s="1044">
        <f ca="1">结果表!H118</f>
        <v>272710</v>
      </c>
      <c r="I4" s="1044">
        <f ca="1">结果表!I118</f>
        <v>21580</v>
      </c>
    </row>
    <row r="5" spans="1:9" ht="30" customHeight="1">
      <c r="A5" s="2998" t="s">
        <v>1641</v>
      </c>
      <c r="B5" s="2998"/>
      <c r="C5" s="2998"/>
      <c r="D5" s="2999" t="str">
        <f ca="1">结果表!D119</f>
        <v>贰拾陆亿肆仟捌佰零壹万元整</v>
      </c>
      <c r="E5" s="2999"/>
      <c r="F5" s="2999" t="str">
        <f ca="1">结果表!F119</f>
        <v>柒仟玖佰零玖万元整</v>
      </c>
      <c r="G5" s="2999"/>
      <c r="H5" s="2999" t="str">
        <f ca="1">结果表!H119</f>
        <v>贰拾柒亿贰仟柒佰壹拾万元整</v>
      </c>
      <c r="I5" s="2999"/>
    </row>
    <row r="6" spans="1:9" ht="15.6">
      <c r="A6" s="3000" t="str">
        <f>结果表!A120</f>
        <v>估价师知悉的法定优先受偿款</v>
      </c>
      <c r="B6" s="3000"/>
      <c r="C6" s="3000"/>
      <c r="D6" s="3000">
        <f>结果表!D120</f>
        <v>0</v>
      </c>
      <c r="E6" s="3000"/>
      <c r="F6" s="3000"/>
      <c r="G6" s="3000"/>
      <c r="H6" s="3000"/>
      <c r="I6" s="3000"/>
    </row>
    <row r="7" spans="1:9" ht="15">
      <c r="A7" s="2998" t="s">
        <v>1641</v>
      </c>
      <c r="B7" s="2998"/>
      <c r="C7" s="2998"/>
      <c r="D7" s="3001" t="str">
        <f>结果表!D121</f>
        <v>零元整</v>
      </c>
      <c r="E7" s="3002"/>
      <c r="F7" s="3002"/>
      <c r="G7" s="3002"/>
      <c r="H7" s="3002"/>
      <c r="I7" s="3003"/>
    </row>
    <row r="8" spans="1:9" ht="15.6">
      <c r="A8" s="3000" t="str">
        <f>结果表!A122</f>
        <v>房地产抵押价值</v>
      </c>
      <c r="B8" s="3000"/>
      <c r="C8" s="3000"/>
      <c r="D8" s="3000">
        <f ca="1">结果表!D122</f>
        <v>272710</v>
      </c>
      <c r="E8" s="3000"/>
      <c r="F8" s="3000"/>
      <c r="G8" s="3000"/>
      <c r="H8" s="3000"/>
      <c r="I8" s="3000"/>
    </row>
    <row r="9" spans="1:9" ht="15">
      <c r="A9" s="2998" t="s">
        <v>1641</v>
      </c>
      <c r="B9" s="2998"/>
      <c r="C9" s="2998"/>
      <c r="D9" s="2999" t="str">
        <f ca="1">结果表!D123</f>
        <v>贰拾柒亿贰仟柒佰壹拾万元整</v>
      </c>
      <c r="E9" s="2999"/>
      <c r="F9" s="2999"/>
      <c r="G9" s="2999"/>
      <c r="H9" s="2999"/>
      <c r="I9" s="2999"/>
    </row>
    <row r="10" spans="1:9" ht="15.6">
      <c r="A10" s="3000" t="str">
        <f>结果表!A124</f>
        <v/>
      </c>
      <c r="B10" s="3000"/>
      <c r="C10" s="3000"/>
      <c r="D10" s="3000" t="str">
        <f>结果表!D124</f>
        <v>——</v>
      </c>
      <c r="E10" s="3000"/>
      <c r="F10" s="3000"/>
      <c r="G10" s="3000"/>
      <c r="H10" s="3000"/>
      <c r="I10" s="3000"/>
    </row>
    <row r="11" spans="1:9" ht="15">
      <c r="A11" s="2998" t="s">
        <v>1641</v>
      </c>
      <c r="B11" s="2998"/>
      <c r="C11" s="2998"/>
      <c r="D11" s="2999" t="e">
        <f>结果表!D125</f>
        <v>#VALUE!</v>
      </c>
      <c r="E11" s="2999"/>
      <c r="F11" s="2999"/>
      <c r="G11" s="2999"/>
      <c r="H11" s="2999"/>
      <c r="I11" s="2999"/>
    </row>
    <row r="12" spans="1:9" ht="15.6">
      <c r="A12" s="3000" t="str">
        <f>结果表!A126</f>
        <v/>
      </c>
      <c r="B12" s="3000"/>
      <c r="C12" s="3000"/>
      <c r="D12" s="3000" t="str">
        <f>结果表!D126</f>
        <v>——</v>
      </c>
      <c r="E12" s="3000"/>
      <c r="F12" s="3000"/>
      <c r="G12" s="3000"/>
      <c r="H12" s="3000"/>
      <c r="I12" s="3000"/>
    </row>
    <row r="13" spans="1:9" ht="15.6" thickBot="1">
      <c r="A13" s="3004" t="s">
        <v>1641</v>
      </c>
      <c r="B13" s="3004"/>
      <c r="C13" s="3004"/>
      <c r="D13" s="3005" t="e">
        <f>结果表!D127</f>
        <v>#VALUE!</v>
      </c>
      <c r="E13" s="3005"/>
      <c r="F13" s="3005"/>
      <c r="G13" s="3005"/>
      <c r="H13" s="3005"/>
      <c r="I13" s="3005"/>
    </row>
    <row r="14" spans="1:9" ht="14.4" thickTop="1">
      <c r="A14" s="3006" t="s">
        <v>1646</v>
      </c>
      <c r="B14" s="3006"/>
      <c r="C14" s="3006"/>
      <c r="D14" s="3006"/>
      <c r="E14" s="3006"/>
      <c r="F14" s="3006"/>
      <c r="G14" s="3006"/>
      <c r="H14" s="3006"/>
      <c r="I14" s="3006"/>
    </row>
    <row r="16" spans="1:9" ht="17.399999999999999">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07" t="s">
        <v>1663</v>
      </c>
      <c r="B1" s="3007"/>
      <c r="C1" s="3007"/>
      <c r="D1" s="3007"/>
    </row>
    <row r="2" spans="1:4" ht="17.399999999999999">
      <c r="A2" s="3008" t="s">
        <v>1647</v>
      </c>
      <c r="B2" s="3008"/>
      <c r="C2" s="3008"/>
      <c r="D2" s="3008"/>
    </row>
    <row r="3" spans="1:4" ht="17.399999999999999">
      <c r="A3" s="1975" t="s">
        <v>1648</v>
      </c>
      <c r="B3" s="1975" t="s">
        <v>1649</v>
      </c>
      <c r="C3" s="1975" t="s">
        <v>1650</v>
      </c>
      <c r="D3" s="1975" t="s">
        <v>1651</v>
      </c>
    </row>
    <row r="4" spans="1:4" ht="56.25" customHeight="1">
      <c r="A4" s="1976" t="str">
        <f>项目基本情况!B4</f>
        <v>郑燚</v>
      </c>
      <c r="B4" s="1977">
        <f ca="1">项目基本情况!C4</f>
        <v>1120070131</v>
      </c>
      <c r="C4" s="1978"/>
      <c r="D4" s="1979" t="s">
        <v>1652</v>
      </c>
    </row>
    <row r="5" spans="1:4" ht="56.25" customHeight="1">
      <c r="A5" s="1976" t="str">
        <f>项目基本情况!D4</f>
        <v>吴薇</v>
      </c>
      <c r="B5" s="1977">
        <f ca="1">项目基本情况!E4</f>
        <v>1419970001</v>
      </c>
      <c r="C5" s="1980"/>
      <c r="D5" s="1979" t="s">
        <v>1652</v>
      </c>
    </row>
    <row r="6" spans="1:4" ht="17.399999999999999">
      <c r="A6" s="3008" t="s">
        <v>1653</v>
      </c>
      <c r="B6" s="3008"/>
      <c r="C6" s="3008"/>
      <c r="D6" s="3008"/>
    </row>
    <row r="7" spans="1:4" ht="17.399999999999999">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7.399999999999999">
      <c r="A10" s="1982" t="s">
        <v>1655</v>
      </c>
      <c r="B10" s="726"/>
      <c r="C10" s="726"/>
      <c r="D10" s="726"/>
    </row>
    <row r="11" spans="1:4" ht="30" customHeight="1">
      <c r="A11" s="3009" t="s">
        <v>1656</v>
      </c>
      <c r="B11" s="3010"/>
      <c r="C11" s="3010"/>
      <c r="D11" s="3010"/>
    </row>
    <row r="12" spans="1:4" ht="15.6">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1657</v>
      </c>
      <c r="B16" s="3013"/>
      <c r="C16" s="3013"/>
      <c r="D16" s="3013"/>
    </row>
    <row r="17" spans="1:4" ht="144" customHeight="1">
      <c r="A17" s="3013" t="s">
        <v>1658</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1659</v>
      </c>
      <c r="B22" s="3015"/>
      <c r="C22" s="3015"/>
      <c r="D22" s="3015"/>
    </row>
    <row r="23" spans="1:4">
      <c r="A23" s="1983"/>
      <c r="B23" s="1955"/>
      <c r="C23" s="1955"/>
      <c r="D23" s="1955"/>
    </row>
    <row r="24" spans="1:4">
      <c r="A24" s="1983"/>
      <c r="B24" s="1955"/>
      <c r="C24" s="1955"/>
      <c r="D24" s="1955"/>
    </row>
    <row r="25" spans="1:4" ht="17.399999999999999">
      <c r="A25" s="1984" t="s">
        <v>1660</v>
      </c>
    </row>
    <row r="26" spans="1:4" ht="17.399999999999999">
      <c r="A26" s="1953"/>
    </row>
    <row r="27" spans="1:4" ht="17.399999999999999">
      <c r="A27" s="1953" t="s">
        <v>1661</v>
      </c>
    </row>
    <row r="30" spans="1:4" ht="17.399999999999999">
      <c r="D30" s="1984" t="s">
        <v>1662</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4.4">
      <c r="A15" s="3021" t="s">
        <v>1670</v>
      </c>
      <c r="B15" s="3016" t="s">
        <v>136</v>
      </c>
      <c r="C15" s="3017"/>
    </row>
    <row r="16" spans="1:7" ht="14.4">
      <c r="A16" s="3022"/>
      <c r="B16" s="3016" t="s">
        <v>69</v>
      </c>
      <c r="C16" s="3017"/>
    </row>
    <row r="17" spans="1:3" ht="14.4">
      <c r="A17" s="3022"/>
      <c r="B17" s="3019" t="s">
        <v>1671</v>
      </c>
      <c r="C17" s="1998" t="s">
        <v>1670</v>
      </c>
    </row>
    <row r="18" spans="1:3" ht="14.4">
      <c r="A18" s="3022"/>
      <c r="B18" s="3019"/>
      <c r="C18" s="1998" t="s">
        <v>1672</v>
      </c>
    </row>
    <row r="19" spans="1:3" ht="14.4">
      <c r="A19" s="3022"/>
      <c r="B19" s="3019"/>
      <c r="C19" s="1998" t="s">
        <v>1673</v>
      </c>
    </row>
    <row r="20" spans="1:3" ht="14.4">
      <c r="A20" s="3023"/>
      <c r="B20" s="3018" t="s">
        <v>1674</v>
      </c>
      <c r="C20" s="3017"/>
    </row>
    <row r="21" spans="1:3" ht="14.4">
      <c r="A21" s="1999" t="s">
        <v>1675</v>
      </c>
      <c r="B21" s="2000"/>
      <c r="C21" s="2001"/>
    </row>
    <row r="22" spans="1:3" ht="14.4">
      <c r="A22" s="3020" t="s">
        <v>1676</v>
      </c>
      <c r="B22" s="3018" t="s">
        <v>1677</v>
      </c>
      <c r="C22" s="3017"/>
    </row>
    <row r="23" spans="1:3" ht="14.4">
      <c r="A23" s="3020"/>
      <c r="B23" s="3018" t="s">
        <v>1678</v>
      </c>
      <c r="C23" s="3017"/>
    </row>
    <row r="24" spans="1:3" ht="14.4">
      <c r="A24" s="3020"/>
      <c r="B24" s="3018" t="s">
        <v>1679</v>
      </c>
      <c r="C24" s="3017"/>
    </row>
    <row r="25" spans="1:3" ht="14.4">
      <c r="A25" s="3020"/>
      <c r="B25" s="3019" t="s">
        <v>1680</v>
      </c>
      <c r="C25" s="1998" t="s">
        <v>1681</v>
      </c>
    </row>
    <row r="26" spans="1:3" ht="14.4">
      <c r="A26" s="3020"/>
      <c r="B26" s="3019"/>
      <c r="C26" s="1998" t="s">
        <v>1682</v>
      </c>
    </row>
    <row r="27" spans="1:3" ht="14.4">
      <c r="A27" s="3020"/>
      <c r="B27" s="3019"/>
      <c r="C27" s="1998" t="s">
        <v>1683</v>
      </c>
    </row>
    <row r="28" spans="1:3" ht="14.4">
      <c r="A28" s="3020"/>
      <c r="B28" s="3019"/>
      <c r="C28" s="1998" t="s">
        <v>1684</v>
      </c>
    </row>
    <row r="29" spans="1:3" ht="14.4">
      <c r="A29" s="3020"/>
      <c r="B29" s="3019"/>
      <c r="C29" s="1998" t="s">
        <v>1685</v>
      </c>
    </row>
    <row r="30" spans="1:3" ht="14.4">
      <c r="A30" s="3020"/>
      <c r="B30" s="3019"/>
      <c r="C30" s="1998" t="s">
        <v>1686</v>
      </c>
    </row>
    <row r="31" spans="1:3" ht="14.4">
      <c r="A31" s="3020"/>
      <c r="B31" s="3019"/>
      <c r="C31" s="1998" t="s">
        <v>1687</v>
      </c>
    </row>
    <row r="32" spans="1:3" ht="14.4">
      <c r="A32" s="3020"/>
      <c r="B32" s="3019"/>
      <c r="C32" s="1998" t="s">
        <v>1688</v>
      </c>
    </row>
    <row r="33" spans="1:3" ht="14.4">
      <c r="A33" s="3020"/>
      <c r="B33" s="3019"/>
      <c r="C33" s="1998" t="s">
        <v>1689</v>
      </c>
    </row>
    <row r="34" spans="1:3">
      <c r="A34" s="2002" t="s">
        <v>76</v>
      </c>
    </row>
    <row r="37" spans="1:3">
      <c r="A37" s="2002" t="s">
        <v>1690</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43350</v>
      </c>
      <c r="C2" s="1019" t="s">
        <v>826</v>
      </c>
      <c r="D2" s="1019"/>
    </row>
    <row r="3" spans="1:6" ht="24" customHeight="1">
      <c r="A3" s="1020" t="s">
        <v>827</v>
      </c>
      <c r="B3" s="1021" t="s">
        <v>828</v>
      </c>
      <c r="C3" s="2345" t="s">
        <v>829</v>
      </c>
      <c r="D3" s="2348" t="s">
        <v>830</v>
      </c>
      <c r="E3" s="1022" t="s">
        <v>831</v>
      </c>
      <c r="F3" s="1021" t="s">
        <v>829</v>
      </c>
    </row>
    <row r="4" spans="1:6" ht="24" customHeight="1">
      <c r="A4" s="1700" t="s">
        <v>832</v>
      </c>
      <c r="B4" s="1022">
        <f ca="1">IF(C4&lt;B2,"已过期",1119970066)</f>
        <v>1119970066</v>
      </c>
      <c r="C4" s="2346">
        <v>43849</v>
      </c>
      <c r="D4" s="2349" t="s">
        <v>832</v>
      </c>
      <c r="E4" s="1022">
        <f ca="1">IF(F4&lt;B2,"已过期",96010014)</f>
        <v>96010014</v>
      </c>
      <c r="F4" s="1030">
        <v>47118</v>
      </c>
    </row>
    <row r="5" spans="1:6" ht="24" customHeight="1">
      <c r="A5" s="1700" t="s">
        <v>833</v>
      </c>
      <c r="B5" s="1022">
        <f ca="1">IF(C5&lt;B2,"已过期",1119970074)</f>
        <v>1119970074</v>
      </c>
      <c r="C5" s="2346">
        <v>43849</v>
      </c>
      <c r="D5" s="2349" t="s">
        <v>833</v>
      </c>
      <c r="E5" s="1022">
        <f ca="1">IF(F5&lt;B2,"已过期",2002110027)</f>
        <v>2002110027</v>
      </c>
      <c r="F5" s="1030">
        <v>46752</v>
      </c>
    </row>
    <row r="6" spans="1:6" ht="24" customHeight="1">
      <c r="A6" s="1700" t="s">
        <v>834</v>
      </c>
      <c r="B6" s="1022">
        <f ca="1">IF(C6&lt;B2,"已过期",1119970111)</f>
        <v>1119970111</v>
      </c>
      <c r="C6" s="2346">
        <v>43849</v>
      </c>
      <c r="D6" s="2349" t="s">
        <v>834</v>
      </c>
      <c r="E6" s="1022">
        <f ca="1">IF(F6&lt;B2,"已过期",94010078)</f>
        <v>94010078</v>
      </c>
      <c r="F6" s="1030">
        <v>46387</v>
      </c>
    </row>
    <row r="7" spans="1:6" ht="24" customHeight="1">
      <c r="A7" s="1700" t="s">
        <v>835</v>
      </c>
      <c r="B7" s="1022">
        <f ca="1">IF(C7&lt;B2,"已过期",1120050019)</f>
        <v>1120050019</v>
      </c>
      <c r="C7" s="2346">
        <v>43359</v>
      </c>
      <c r="D7" s="2349" t="s">
        <v>835</v>
      </c>
      <c r="E7" s="1022">
        <f ca="1">IF(F7&lt;B2,"已过期",2002110030)</f>
        <v>2002110030</v>
      </c>
      <c r="F7" s="1030">
        <v>46387</v>
      </c>
    </row>
    <row r="8" spans="1:6" ht="24" customHeight="1">
      <c r="A8" s="1700" t="s">
        <v>836</v>
      </c>
      <c r="B8" s="1022">
        <f ca="1">IF(C8&lt;B2,"已过期",1120000080)</f>
        <v>1120000080</v>
      </c>
      <c r="C8" s="2346">
        <v>43849</v>
      </c>
      <c r="D8" s="2349" t="s">
        <v>836</v>
      </c>
      <c r="E8" s="1022">
        <f ca="1">IF(F8&lt;B2,"已过期",2000110082)</f>
        <v>2000110082</v>
      </c>
      <c r="F8" s="1030">
        <v>46387</v>
      </c>
    </row>
    <row r="9" spans="1:6" ht="24" customHeight="1">
      <c r="A9" s="1700" t="s">
        <v>837</v>
      </c>
      <c r="B9" s="1022">
        <f ca="1">IF(C9&lt;B2,"已过期",1419970001)</f>
        <v>1419970001</v>
      </c>
      <c r="C9" s="2346">
        <v>43867</v>
      </c>
      <c r="D9" s="2349" t="s">
        <v>837</v>
      </c>
      <c r="E9" s="1022">
        <f ca="1">IF(F9&lt;B2,"已过期",2002110125)</f>
        <v>2002110125</v>
      </c>
      <c r="F9" s="1030">
        <v>47118</v>
      </c>
    </row>
    <row r="10" spans="1:6" ht="24" customHeight="1">
      <c r="A10" s="1700" t="s">
        <v>838</v>
      </c>
      <c r="B10" s="1022">
        <f ca="1">IF(C10&lt;B2,"已过期",1120060040)</f>
        <v>1120060040</v>
      </c>
      <c r="C10" s="2346">
        <v>43483</v>
      </c>
      <c r="D10" s="2349" t="s">
        <v>838</v>
      </c>
      <c r="E10" s="1022">
        <f ca="1">IF(F10&lt;B2,"已过期",2004110096)</f>
        <v>2004110096</v>
      </c>
      <c r="F10" s="1030">
        <v>47118</v>
      </c>
    </row>
    <row r="11" spans="1:6" ht="24" customHeight="1">
      <c r="A11" s="1700" t="s">
        <v>839</v>
      </c>
      <c r="B11" s="1022">
        <f ca="1">IF(C11&lt;B2,"已过期",1120100036)</f>
        <v>1120100036</v>
      </c>
      <c r="C11" s="2346">
        <v>43622</v>
      </c>
      <c r="D11" s="2349" t="s">
        <v>839</v>
      </c>
      <c r="E11" s="1022">
        <f ca="1">IF(F11&lt;B2,"已过期",2010110070)</f>
        <v>2010110070</v>
      </c>
      <c r="F11" s="1030">
        <v>47907</v>
      </c>
    </row>
    <row r="12" spans="1:6" ht="24" customHeight="1">
      <c r="A12" s="1700"/>
      <c r="B12" s="1022"/>
      <c r="C12" s="2346"/>
      <c r="D12" s="2349"/>
      <c r="E12" s="1022"/>
      <c r="F12" s="1022"/>
    </row>
    <row r="13" spans="1:6" ht="24" customHeight="1">
      <c r="A13" s="1700" t="s">
        <v>840</v>
      </c>
      <c r="B13" s="1022">
        <f ca="1">IF(C13&lt;B2,"已过期",1120070131)</f>
        <v>1120070131</v>
      </c>
      <c r="C13" s="2346">
        <v>43814</v>
      </c>
      <c r="D13" s="2349" t="s">
        <v>840</v>
      </c>
      <c r="E13" s="1022">
        <v>2014110011</v>
      </c>
      <c r="F13" s="1030">
        <v>49302</v>
      </c>
    </row>
    <row r="14" spans="1:6" ht="24" customHeight="1">
      <c r="A14" s="1700" t="s">
        <v>841</v>
      </c>
      <c r="B14" s="1022">
        <f ca="1">IF(C14&lt;B2,"已过期",1120130020)</f>
        <v>1120130020</v>
      </c>
      <c r="C14" s="2346">
        <v>43622</v>
      </c>
      <c r="D14" s="2349"/>
      <c r="E14" s="1022"/>
      <c r="F14" s="1022"/>
    </row>
    <row r="15" spans="1:6" ht="24" customHeight="1">
      <c r="A15" s="1701" t="s">
        <v>1149</v>
      </c>
      <c r="B15" s="1022">
        <v>1120070085</v>
      </c>
      <c r="C15" s="2346">
        <v>43814</v>
      </c>
      <c r="D15" s="2350" t="s">
        <v>1149</v>
      </c>
      <c r="E15" s="1022">
        <v>2004110128</v>
      </c>
      <c r="F15" s="1023">
        <v>47118</v>
      </c>
    </row>
    <row r="16" spans="1:6" ht="24" customHeight="1">
      <c r="A16" s="1700" t="s">
        <v>842</v>
      </c>
      <c r="B16" s="1022">
        <f ca="1">IF(C16&lt;B2,"已过期",1120140022)</f>
        <v>1120140022</v>
      </c>
      <c r="C16" s="2346">
        <v>44029</v>
      </c>
      <c r="D16" s="2349" t="s">
        <v>842</v>
      </c>
      <c r="E16" s="1022">
        <f ca="1">IF(F16&lt;B2,"已过期",2008110059)</f>
        <v>2008110059</v>
      </c>
      <c r="F16" s="1030">
        <v>47177</v>
      </c>
    </row>
    <row r="17" spans="1:7" ht="24" customHeight="1">
      <c r="A17" s="1700"/>
      <c r="B17" s="1022"/>
      <c r="C17" s="2346"/>
      <c r="D17" s="2349"/>
      <c r="E17" s="1022"/>
      <c r="F17" s="1030"/>
    </row>
    <row r="18" spans="1:7" ht="24" customHeight="1">
      <c r="A18" s="1700"/>
      <c r="B18" s="1022"/>
      <c r="C18" s="2346"/>
      <c r="D18" s="2349"/>
      <c r="E18" s="1022"/>
      <c r="F18" s="1030"/>
    </row>
    <row r="19" spans="1:7" ht="24" customHeight="1">
      <c r="A19" s="1700"/>
      <c r="B19" s="1022"/>
      <c r="C19" s="2346"/>
      <c r="D19" s="2349"/>
      <c r="E19" s="1022"/>
      <c r="F19" s="1022"/>
    </row>
    <row r="20" spans="1:7" ht="24" customHeight="1">
      <c r="A20" s="1700"/>
      <c r="B20" s="1022"/>
      <c r="C20" s="2346"/>
      <c r="D20" s="2349"/>
      <c r="E20" s="1022"/>
      <c r="F20" s="1022"/>
    </row>
    <row r="21" spans="1:7" ht="24" customHeight="1">
      <c r="A21" s="1700"/>
      <c r="B21" s="1022"/>
      <c r="C21" s="2346"/>
      <c r="D21" s="2349" t="s">
        <v>843</v>
      </c>
      <c r="E21" s="1022">
        <f ca="1">IF(F21&lt;B2,"已过期",2011110090)</f>
        <v>2011110090</v>
      </c>
      <c r="F21" s="1030">
        <v>48302</v>
      </c>
    </row>
    <row r="22" spans="1:7" ht="24" customHeight="1">
      <c r="A22" s="1700" t="s">
        <v>844</v>
      </c>
      <c r="B22" s="1022" t="str">
        <f ca="1">IF(C22&lt;B2,"已过期",1120020033)</f>
        <v>已过期</v>
      </c>
      <c r="C22" s="2346">
        <v>43304</v>
      </c>
      <c r="D22" s="2349" t="s">
        <v>844</v>
      </c>
      <c r="E22" s="1022">
        <f ca="1">IF(F22&lt;B2,"已过期",2000110137)</f>
        <v>2000110137</v>
      </c>
      <c r="F22" s="1030">
        <v>46387</v>
      </c>
    </row>
    <row r="23" spans="1:7" ht="24" customHeight="1">
      <c r="A23" s="1700" t="s">
        <v>845</v>
      </c>
      <c r="B23" s="1022">
        <f ca="1">IF(C23&lt;B2,"已过期",1120130048)</f>
        <v>1120130048</v>
      </c>
      <c r="C23" s="2346">
        <v>43686</v>
      </c>
      <c r="D23" s="2349"/>
      <c r="E23" s="1022"/>
      <c r="F23" s="1022"/>
    </row>
    <row r="24" spans="1:7" s="1024" customFormat="1" ht="24" customHeight="1">
      <c r="A24" s="1701" t="s">
        <v>1333</v>
      </c>
      <c r="B24" s="1701" t="s">
        <v>1333</v>
      </c>
      <c r="C24" s="2347" t="s">
        <v>1333</v>
      </c>
      <c r="D24" s="2350" t="s">
        <v>1333</v>
      </c>
      <c r="E24" s="1701" t="s">
        <v>1333</v>
      </c>
      <c r="F24" s="1701" t="s">
        <v>1333</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典型户型修正</vt:lpstr>
      <vt:lpstr>收益法商业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2018-09-07T09:04:28Z</dcterms:modified>
</cp:coreProperties>
</file>