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codeName="ThisWorkbook" defaultThemeVersion="124226"/>
  <mc:AlternateContent xmlns:mc="http://schemas.openxmlformats.org/markup-compatibility/2006">
    <mc:Choice Requires="x15">
      <x15ac:absPath xmlns:x15ac="http://schemas.microsoft.com/office/spreadsheetml/2010/11/ac" url="C:\Users\xing&amp;han\Desktop\甜水西园\"/>
    </mc:Choice>
  </mc:AlternateContent>
  <xr:revisionPtr revIDLastSave="0" documentId="13_ncr:1_{3768C756-2668-4A3F-9726-3701D531CE79}" xr6:coauthVersionLast="45" xr6:coauthVersionMax="45" xr10:uidLastSave="{00000000-0000-0000-0000-000000000000}"/>
  <bookViews>
    <workbookView xWindow="-110" yWindow="-110" windowWidth="19420" windowHeight="10420"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3)" sheetId="80" state="hidden" r:id="rId18"/>
    <sheet name="结果表" sheetId="9" r:id="rId19"/>
    <sheet name="结果表 (2)" sheetId="79" state="hidden"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Sheet1" sheetId="77" r:id="rId38"/>
    <sheet name="Sheet2" sheetId="78" r:id="rId39"/>
    <sheet name="成本法" sheetId="68" r:id="rId40"/>
    <sheet name="基准地价修正" sheetId="43" r:id="rId41"/>
    <sheet name="比较法-商业" sheetId="33" r:id="rId42"/>
    <sheet name="典型户型修正" sheetId="31"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41"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11" i="80" l="1"/>
  <c r="H111" i="80"/>
  <c r="D126" i="80"/>
  <c r="D127" i="80"/>
  <c r="A126" i="80"/>
  <c r="E109" i="80"/>
  <c r="H109" i="80"/>
  <c r="D124" i="80"/>
  <c r="D125" i="80"/>
  <c r="A124" i="80"/>
  <c r="E107" i="80"/>
  <c r="D2" i="34"/>
  <c r="D3" i="34"/>
  <c r="R49" i="34"/>
  <c r="T49" i="34"/>
  <c r="V49" i="34"/>
  <c r="R50" i="34"/>
  <c r="C50" i="34"/>
  <c r="B2" i="34"/>
  <c r="C19" i="80"/>
  <c r="C17" i="80"/>
  <c r="D17" i="80"/>
  <c r="C18" i="80"/>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80"/>
  <c r="D18" i="80"/>
  <c r="G19" i="80"/>
  <c r="C24" i="80"/>
  <c r="C32" i="80"/>
  <c r="H118" i="80"/>
  <c r="H101" i="80"/>
  <c r="H105" i="80"/>
  <c r="H106" i="80"/>
  <c r="H103" i="80"/>
  <c r="H107" i="80"/>
  <c r="D122" i="80"/>
  <c r="D123" i="80"/>
  <c r="A122" i="80"/>
  <c r="D120" i="80"/>
  <c r="D121" i="80"/>
  <c r="A120" i="80"/>
  <c r="K120" i="80"/>
  <c r="H119" i="80"/>
  <c r="D35" i="80"/>
  <c r="C35" i="80"/>
  <c r="F118" i="80"/>
  <c r="F119" i="80"/>
  <c r="C34" i="80"/>
  <c r="D118" i="80"/>
  <c r="D119" i="80"/>
  <c r="M18" i="80"/>
  <c r="B118" i="80"/>
  <c r="I118" i="80"/>
  <c r="G118" i="80"/>
  <c r="E118" i="80"/>
  <c r="M19" i="80"/>
  <c r="C118" i="80"/>
  <c r="A118" i="80"/>
  <c r="H112" i="80"/>
  <c r="H110" i="80"/>
  <c r="H108" i="80"/>
  <c r="C105" i="80"/>
  <c r="H104" i="80"/>
  <c r="C104" i="80"/>
  <c r="B3" i="15"/>
  <c r="D20" i="80"/>
  <c r="D103" i="80"/>
  <c r="B3" i="34"/>
  <c r="C20" i="80"/>
  <c r="C103" i="80"/>
  <c r="H102" i="80"/>
  <c r="D102" i="80"/>
  <c r="C102" i="80"/>
  <c r="D101" i="80"/>
  <c r="C101" i="80"/>
  <c r="D45" i="80"/>
  <c r="C85" i="80"/>
  <c r="D89" i="80"/>
  <c r="C89" i="80"/>
  <c r="C87" i="80"/>
  <c r="C91" i="80"/>
  <c r="C92" i="80"/>
  <c r="D93" i="80"/>
  <c r="C93" i="80"/>
  <c r="C94" i="80"/>
  <c r="C86" i="80"/>
  <c r="C95" i="80"/>
  <c r="C96" i="80"/>
  <c r="E96" i="80"/>
  <c r="E97" i="80"/>
  <c r="C97" i="80"/>
  <c r="E90" i="80"/>
  <c r="C72" i="80"/>
  <c r="C76" i="80"/>
  <c r="D77" i="80"/>
  <c r="C77" i="80"/>
  <c r="C74" i="80"/>
  <c r="D78" i="80"/>
  <c r="C78" i="80"/>
  <c r="C73" i="80"/>
  <c r="C79" i="80"/>
  <c r="C80" i="80"/>
  <c r="E80" i="80"/>
  <c r="E81" i="80"/>
  <c r="C81" i="80"/>
  <c r="H77" i="80"/>
  <c r="M49" i="80"/>
  <c r="L63" i="80"/>
  <c r="M63" i="80"/>
  <c r="M69" i="80"/>
  <c r="N69" i="80"/>
  <c r="L68" i="80"/>
  <c r="M68" i="80"/>
  <c r="D68" i="80"/>
  <c r="C64" i="80"/>
  <c r="C63" i="80"/>
  <c r="C67" i="80"/>
  <c r="C68" i="80"/>
  <c r="L67" i="80"/>
  <c r="M67" i="80"/>
  <c r="L66" i="80"/>
  <c r="M66" i="80"/>
  <c r="L65" i="80"/>
  <c r="M65" i="80"/>
  <c r="L64" i="80"/>
  <c r="M64" i="80"/>
  <c r="D48" i="80"/>
  <c r="M52" i="80"/>
  <c r="I55" i="80"/>
  <c r="D55" i="80"/>
  <c r="M53" i="80"/>
  <c r="D58" i="80"/>
  <c r="D56" i="80"/>
  <c r="M54" i="80"/>
  <c r="D59" i="80"/>
  <c r="M55" i="80"/>
  <c r="M56" i="80"/>
  <c r="N57" i="80"/>
  <c r="N59" i="80"/>
  <c r="N61" i="80"/>
  <c r="J55" i="80"/>
  <c r="J56" i="80"/>
  <c r="J57" i="80"/>
  <c r="J59" i="80"/>
  <c r="J61" i="80"/>
  <c r="N60" i="80"/>
  <c r="F59" i="80"/>
  <c r="E59" i="80"/>
  <c r="N58" i="80"/>
  <c r="P57" i="80"/>
  <c r="N56" i="80"/>
  <c r="K56" i="80"/>
  <c r="F56" i="80"/>
  <c r="O55" i="80"/>
  <c r="N55" i="80"/>
  <c r="K55" i="80"/>
  <c r="F55" i="80"/>
  <c r="O54" i="80"/>
  <c r="N54" i="80"/>
  <c r="F54" i="80"/>
  <c r="D54" i="80"/>
  <c r="O53" i="80"/>
  <c r="N53" i="80"/>
  <c r="F53" i="80"/>
  <c r="D53" i="80"/>
  <c r="F48" i="80"/>
  <c r="O52" i="80"/>
  <c r="E48" i="80"/>
  <c r="N52" i="80"/>
  <c r="F52" i="80"/>
  <c r="D52" i="80"/>
  <c r="K49" i="80"/>
  <c r="M48" i="80"/>
  <c r="M47" i="80"/>
  <c r="D34" i="80"/>
  <c r="F33" i="80"/>
  <c r="D27" i="80"/>
  <c r="C25" i="80"/>
  <c r="H23" i="80"/>
  <c r="D22" i="80"/>
  <c r="L19" i="80"/>
  <c r="G21" i="80"/>
  <c r="D21" i="80"/>
  <c r="C21" i="80"/>
  <c r="G20" i="80"/>
  <c r="L18" i="80"/>
  <c r="L4" i="80"/>
  <c r="K4" i="80"/>
  <c r="A2" i="80"/>
  <c r="H1" i="80"/>
  <c r="I37" i="34"/>
  <c r="G37" i="34"/>
  <c r="E37" i="34"/>
  <c r="C37" i="34"/>
  <c r="I7" i="34"/>
  <c r="G7" i="34"/>
  <c r="E7" i="34"/>
  <c r="I48" i="34"/>
  <c r="G48" i="34"/>
  <c r="E48" i="34"/>
  <c r="U6" i="1"/>
  <c r="H7" i="77"/>
  <c r="D4" i="73"/>
  <c r="E20" i="43"/>
  <c r="M28" i="43"/>
  <c r="G20" i="43"/>
  <c r="C20" i="43"/>
  <c r="C16" i="43"/>
  <c r="C5" i="43"/>
  <c r="T2" i="43"/>
  <c r="V2" i="43"/>
  <c r="T3" i="43"/>
  <c r="V3" i="43"/>
  <c r="C6" i="68"/>
  <c r="C7" i="68"/>
  <c r="D10" i="68"/>
  <c r="C10" i="68"/>
  <c r="B29" i="1"/>
  <c r="C8" i="68"/>
  <c r="C5" i="68"/>
  <c r="C20" i="68"/>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C19" i="79"/>
  <c r="D19" i="79"/>
  <c r="G19" i="79"/>
  <c r="H23" i="79"/>
  <c r="C19" i="9"/>
  <c r="D19" i="9"/>
  <c r="C17" i="9"/>
  <c r="D17" i="9"/>
  <c r="C18" i="9"/>
  <c r="D18" i="9"/>
  <c r="G19" i="9"/>
  <c r="H23" i="9"/>
  <c r="E111" i="79"/>
  <c r="H111" i="79"/>
  <c r="D126" i="79"/>
  <c r="D127" i="79"/>
  <c r="A126" i="79"/>
  <c r="E109" i="79"/>
  <c r="H109" i="79"/>
  <c r="D124" i="79"/>
  <c r="D125" i="79"/>
  <c r="A124" i="79"/>
  <c r="E107" i="79"/>
  <c r="C17" i="79"/>
  <c r="D17" i="79"/>
  <c r="C18" i="79"/>
  <c r="D18" i="79"/>
  <c r="C24" i="79"/>
  <c r="C32" i="79"/>
  <c r="H118" i="79"/>
  <c r="H101" i="79"/>
  <c r="H105" i="79"/>
  <c r="H106" i="79"/>
  <c r="H103" i="79"/>
  <c r="H107" i="79"/>
  <c r="D122" i="79"/>
  <c r="D123" i="79"/>
  <c r="A122" i="79"/>
  <c r="D120" i="79"/>
  <c r="D121" i="79"/>
  <c r="A120" i="79"/>
  <c r="K120" i="79"/>
  <c r="H119" i="79"/>
  <c r="D35" i="79"/>
  <c r="C35" i="79"/>
  <c r="F118" i="79"/>
  <c r="F119" i="79"/>
  <c r="C34" i="79"/>
  <c r="D118" i="79"/>
  <c r="D119" i="79"/>
  <c r="M18" i="79"/>
  <c r="B118" i="79"/>
  <c r="I118" i="79"/>
  <c r="G118" i="79"/>
  <c r="E118" i="79"/>
  <c r="M19" i="79"/>
  <c r="C118" i="79"/>
  <c r="A118" i="79"/>
  <c r="H112" i="79"/>
  <c r="H110" i="79"/>
  <c r="H108" i="79"/>
  <c r="C105" i="79"/>
  <c r="H104" i="79"/>
  <c r="C104" i="79"/>
  <c r="D20" i="79"/>
  <c r="D103" i="79"/>
  <c r="B3" i="68"/>
  <c r="C20" i="79"/>
  <c r="C103" i="79"/>
  <c r="H102" i="79"/>
  <c r="D102" i="79"/>
  <c r="C102" i="79"/>
  <c r="D101" i="79"/>
  <c r="C101" i="79"/>
  <c r="D45" i="79"/>
  <c r="C85" i="79"/>
  <c r="D89" i="79"/>
  <c r="C89" i="79"/>
  <c r="C87" i="79"/>
  <c r="C91" i="79"/>
  <c r="C92" i="79"/>
  <c r="D93" i="79"/>
  <c r="C93" i="79"/>
  <c r="C94" i="79"/>
  <c r="C86" i="79"/>
  <c r="C95" i="79"/>
  <c r="C96" i="79"/>
  <c r="E96" i="79"/>
  <c r="E97" i="79"/>
  <c r="C97" i="79"/>
  <c r="E90" i="79"/>
  <c r="C72" i="79"/>
  <c r="C76" i="79"/>
  <c r="D77" i="79"/>
  <c r="C77" i="79"/>
  <c r="C74" i="79"/>
  <c r="D78" i="79"/>
  <c r="C78" i="79"/>
  <c r="C73" i="79"/>
  <c r="C79" i="79"/>
  <c r="C80" i="79"/>
  <c r="E80" i="79"/>
  <c r="E81" i="79"/>
  <c r="C81" i="79"/>
  <c r="H77" i="79"/>
  <c r="M49" i="79"/>
  <c r="L63" i="79"/>
  <c r="M63" i="79"/>
  <c r="M69" i="79"/>
  <c r="N69" i="79"/>
  <c r="L68" i="79"/>
  <c r="M68" i="79"/>
  <c r="D68" i="79"/>
  <c r="C64" i="79"/>
  <c r="C63" i="79"/>
  <c r="C67" i="79"/>
  <c r="C68" i="79"/>
  <c r="L67" i="79"/>
  <c r="M67" i="79"/>
  <c r="L66" i="79"/>
  <c r="M66" i="79"/>
  <c r="L65" i="79"/>
  <c r="M65" i="79"/>
  <c r="L64" i="79"/>
  <c r="M64" i="79"/>
  <c r="D48" i="79"/>
  <c r="M52" i="79"/>
  <c r="I55" i="79"/>
  <c r="D55" i="79"/>
  <c r="M53" i="79"/>
  <c r="D58" i="79"/>
  <c r="D56" i="79"/>
  <c r="M54" i="79"/>
  <c r="D59" i="79"/>
  <c r="M55" i="79"/>
  <c r="M56" i="79"/>
  <c r="N57" i="79"/>
  <c r="N59" i="79"/>
  <c r="N61" i="79"/>
  <c r="J55" i="79"/>
  <c r="J56" i="79"/>
  <c r="J57" i="79"/>
  <c r="J59" i="79"/>
  <c r="J61" i="79"/>
  <c r="N60" i="79"/>
  <c r="F59" i="79"/>
  <c r="E59" i="79"/>
  <c r="N58" i="79"/>
  <c r="P57" i="79"/>
  <c r="N56" i="79"/>
  <c r="K56" i="79"/>
  <c r="F56" i="79"/>
  <c r="O55" i="79"/>
  <c r="N55" i="79"/>
  <c r="K55" i="79"/>
  <c r="F55" i="79"/>
  <c r="O54" i="79"/>
  <c r="N54" i="79"/>
  <c r="F54" i="79"/>
  <c r="D54" i="79"/>
  <c r="O53" i="79"/>
  <c r="N53" i="79"/>
  <c r="F53" i="79"/>
  <c r="D53" i="79"/>
  <c r="F48" i="79"/>
  <c r="O52" i="79"/>
  <c r="E48" i="79"/>
  <c r="N52" i="79"/>
  <c r="F52" i="79"/>
  <c r="D52" i="79"/>
  <c r="K49" i="79"/>
  <c r="M48" i="79"/>
  <c r="M47" i="79"/>
  <c r="D34" i="79"/>
  <c r="F33" i="79"/>
  <c r="D27" i="79"/>
  <c r="C25" i="79"/>
  <c r="D22" i="79"/>
  <c r="L19" i="79"/>
  <c r="G21" i="79"/>
  <c r="D21" i="79"/>
  <c r="C21" i="79"/>
  <c r="G20" i="79"/>
  <c r="L18" i="79"/>
  <c r="L4" i="79"/>
  <c r="K4" i="79"/>
  <c r="A2" i="79"/>
  <c r="H1" i="79"/>
  <c r="B25" i="31"/>
  <c r="B24" i="31"/>
  <c r="R47" i="33"/>
  <c r="R48" i="33"/>
  <c r="G47" i="33"/>
  <c r="T47" i="33"/>
  <c r="T48" i="33"/>
  <c r="I47" i="33"/>
  <c r="V47" i="33"/>
  <c r="V48" i="33"/>
  <c r="R49" i="33"/>
  <c r="C48" i="33"/>
  <c r="R24" i="31"/>
  <c r="H2" i="77"/>
  <c r="I36" i="33"/>
  <c r="G36" i="33"/>
  <c r="E36" i="33"/>
  <c r="C36" i="33"/>
  <c r="I7" i="33"/>
  <c r="G7" i="33"/>
  <c r="E7" i="33"/>
  <c r="I2" i="43"/>
  <c r="M2" i="43"/>
  <c r="C6" i="43"/>
  <c r="N2" i="43"/>
  <c r="F48" i="43"/>
  <c r="H48" i="43"/>
  <c r="G48" i="43"/>
  <c r="K48" i="43"/>
  <c r="D48" i="43"/>
  <c r="H49" i="43"/>
  <c r="G49" i="43"/>
  <c r="K49" i="43"/>
  <c r="D49" i="43"/>
  <c r="H50" i="43"/>
  <c r="G50" i="43"/>
  <c r="K50" i="43"/>
  <c r="D50" i="43"/>
  <c r="H51" i="43"/>
  <c r="G51" i="43"/>
  <c r="K51" i="43"/>
  <c r="D51" i="43"/>
  <c r="H52" i="43"/>
  <c r="G52" i="43"/>
  <c r="K52" i="43"/>
  <c r="D52" i="43"/>
  <c r="H53" i="43"/>
  <c r="G53" i="43"/>
  <c r="K53" i="43"/>
  <c r="D53" i="43"/>
  <c r="H54" i="43"/>
  <c r="G54" i="43"/>
  <c r="K54" i="43"/>
  <c r="D54" i="43"/>
  <c r="H55" i="43"/>
  <c r="G55" i="43"/>
  <c r="K55" i="43"/>
  <c r="J55" i="43"/>
  <c r="D55" i="43"/>
  <c r="D56" i="43"/>
  <c r="E48" i="43"/>
  <c r="B46" i="43"/>
  <c r="C24" i="43"/>
  <c r="C18" i="43"/>
  <c r="U3" i="43"/>
  <c r="U2" i="43"/>
  <c r="G41" i="43"/>
  <c r="H56" i="43"/>
  <c r="G56" i="43"/>
  <c r="I2" i="77"/>
  <c r="H3" i="77"/>
  <c r="I3" i="77"/>
  <c r="I4" i="77"/>
  <c r="H4" i="77"/>
  <c r="Y6" i="1"/>
  <c r="N6" i="1"/>
  <c r="B55" i="1"/>
  <c r="B56" i="1"/>
  <c r="B57" i="1"/>
  <c r="B58" i="1"/>
  <c r="B59" i="1"/>
  <c r="B54" i="1"/>
  <c r="F19" i="6"/>
  <c r="I13" i="3"/>
  <c r="F4" i="77"/>
  <c r="F3" i="77"/>
  <c r="F2" i="77"/>
  <c r="C20" i="77"/>
  <c r="Q6" i="71"/>
  <c r="Q7" i="71"/>
  <c r="Q8" i="71"/>
  <c r="Q9" i="71"/>
  <c r="Q10" i="71"/>
  <c r="Q11" i="71"/>
  <c r="Q12" i="71"/>
  <c r="Q13" i="71"/>
  <c r="Q14" i="71"/>
  <c r="Q15" i="71"/>
  <c r="Q16" i="71"/>
  <c r="Q17" i="71"/>
  <c r="Q18" i="71"/>
  <c r="Q19" i="71"/>
  <c r="Q20" i="71"/>
  <c r="Q21" i="71"/>
  <c r="Q22" i="71"/>
  <c r="Q23" i="71"/>
  <c r="Q24" i="71"/>
  <c r="Q25" i="71"/>
  <c r="Q26" i="71"/>
  <c r="Q27" i="71"/>
  <c r="Q28" i="71"/>
  <c r="AB6" i="71"/>
  <c r="Q5" i="71"/>
  <c r="AB5" i="71"/>
  <c r="P6" i="71"/>
  <c r="P7" i="71"/>
  <c r="P8" i="71"/>
  <c r="P9" i="71"/>
  <c r="P10" i="71"/>
  <c r="P11" i="71"/>
  <c r="P12" i="71"/>
  <c r="P13" i="71"/>
  <c r="P14" i="71"/>
  <c r="P15" i="71"/>
  <c r="P16" i="71"/>
  <c r="P17" i="71"/>
  <c r="P18" i="71"/>
  <c r="P19" i="71"/>
  <c r="P20" i="71"/>
  <c r="P21" i="71"/>
  <c r="P22" i="71"/>
  <c r="P23" i="71"/>
  <c r="P24" i="71"/>
  <c r="P25" i="71"/>
  <c r="P26" i="71"/>
  <c r="P27" i="71"/>
  <c r="P28" i="71"/>
  <c r="AA6" i="71"/>
  <c r="P5" i="71"/>
  <c r="AA5" i="71"/>
  <c r="O6" i="71"/>
  <c r="O5" i="71"/>
  <c r="O7" i="71"/>
  <c r="O8" i="71"/>
  <c r="O9" i="71"/>
  <c r="O10" i="71"/>
  <c r="O11" i="71"/>
  <c r="O12" i="71"/>
  <c r="O13" i="71"/>
  <c r="O14" i="71"/>
  <c r="O15" i="71"/>
  <c r="O16" i="71"/>
  <c r="O17" i="71"/>
  <c r="O18" i="71"/>
  <c r="O19" i="71"/>
  <c r="O20" i="71"/>
  <c r="O21" i="71"/>
  <c r="O22" i="71"/>
  <c r="O23" i="71"/>
  <c r="O24" i="71"/>
  <c r="O25" i="71"/>
  <c r="O26" i="71"/>
  <c r="O27" i="71"/>
  <c r="O28" i="71"/>
  <c r="Y5" i="71"/>
  <c r="Y6" i="71"/>
  <c r="N6" i="71"/>
  <c r="N5" i="71"/>
  <c r="N7" i="71"/>
  <c r="N8" i="71"/>
  <c r="N9" i="71"/>
  <c r="N10" i="71"/>
  <c r="N11" i="71"/>
  <c r="N12" i="71"/>
  <c r="N13" i="71"/>
  <c r="N14" i="71"/>
  <c r="N15" i="71"/>
  <c r="N16" i="71"/>
  <c r="N17" i="71"/>
  <c r="N18" i="71"/>
  <c r="N19" i="71"/>
  <c r="N20" i="71"/>
  <c r="N21" i="71"/>
  <c r="N22" i="71"/>
  <c r="N23" i="71"/>
  <c r="N24" i="71"/>
  <c r="N25" i="71"/>
  <c r="N26" i="71"/>
  <c r="N27" i="71"/>
  <c r="N28" i="71"/>
  <c r="X5" i="71"/>
  <c r="X6" i="71"/>
  <c r="AH5" i="71"/>
  <c r="AG5" i="71"/>
  <c r="AE5" i="71"/>
  <c r="AF5" i="71"/>
  <c r="AD5" i="71"/>
  <c r="Z5" i="71"/>
  <c r="F13" i="71"/>
  <c r="F12" i="71"/>
  <c r="F11" i="71"/>
  <c r="F10" i="71"/>
  <c r="F9" i="71"/>
  <c r="F8" i="71"/>
  <c r="F7" i="71"/>
  <c r="F6" i="71"/>
  <c r="F5" i="71"/>
  <c r="E13" i="71"/>
  <c r="E12" i="71"/>
  <c r="E11" i="71"/>
  <c r="E10" i="71"/>
  <c r="E9" i="71"/>
  <c r="E8" i="71"/>
  <c r="E7" i="71"/>
  <c r="E6" i="71"/>
  <c r="E5" i="71"/>
  <c r="C13" i="71"/>
  <c r="C12" i="71"/>
  <c r="C11" i="71"/>
  <c r="C10" i="71"/>
  <c r="C9" i="71"/>
  <c r="C8" i="71"/>
  <c r="C7" i="71"/>
  <c r="C6" i="71"/>
  <c r="C5" i="71"/>
  <c r="D5" i="71"/>
  <c r="B13" i="71"/>
  <c r="B12" i="71"/>
  <c r="B11" i="71"/>
  <c r="B10" i="71"/>
  <c r="B9" i="71"/>
  <c r="B8" i="71"/>
  <c r="B7" i="71"/>
  <c r="B6" i="71"/>
  <c r="B5" i="71"/>
  <c r="AH6" i="71"/>
  <c r="AG6" i="71"/>
  <c r="AE6" i="71"/>
  <c r="AF6" i="71"/>
  <c r="AD6" i="71"/>
  <c r="Z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M54" i="43"/>
  <c r="N54" i="43"/>
  <c r="J54" i="43"/>
  <c r="M53" i="43"/>
  <c r="N53" i="43"/>
  <c r="J53" i="43"/>
  <c r="M52" i="43"/>
  <c r="N52" i="43"/>
  <c r="J52" i="43"/>
  <c r="M51" i="43"/>
  <c r="N51" i="43"/>
  <c r="J51" i="43"/>
  <c r="M50" i="43"/>
  <c r="N50" i="43"/>
  <c r="J50" i="43"/>
  <c r="M49" i="43"/>
  <c r="N49" i="43"/>
  <c r="J49" i="43"/>
  <c r="M48" i="43"/>
  <c r="N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R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N1" i="43"/>
  <c r="F35" i="4"/>
  <c r="J55" i="39"/>
  <c r="H34" i="43"/>
  <c r="H35" i="43"/>
  <c r="H36" i="43"/>
  <c r="H37" i="43"/>
  <c r="H38" i="43"/>
  <c r="H39" i="43"/>
  <c r="H33" i="43"/>
  <c r="J20"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70" i="43"/>
  <c r="H73" i="43"/>
  <c r="M11" i="43"/>
  <c r="D17" i="43"/>
  <c r="F39" i="43"/>
  <c r="I17" i="43"/>
  <c r="F35" i="43"/>
  <c r="J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C42"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D9" i="53"/>
  <c r="B25" i="72"/>
  <c r="B24" i="72"/>
  <c r="G6" i="1"/>
  <c r="H85" i="43"/>
  <c r="H81" i="43"/>
  <c r="H84" i="43"/>
  <c r="H88" i="43"/>
  <c r="H78" i="43"/>
  <c r="H71" i="43"/>
  <c r="C17" i="43"/>
  <c r="F33" i="43"/>
  <c r="K17" i="43"/>
  <c r="F34" i="43"/>
  <c r="N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C24" i="12"/>
  <c r="C29" i="12"/>
  <c r="D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I5" i="6"/>
  <c r="E2" i="70"/>
  <c r="C34" i="69"/>
  <c r="D10" i="69"/>
  <c r="C10" i="69"/>
  <c r="S16" i="1"/>
  <c r="AE7" i="1"/>
  <c r="T16" i="1"/>
  <c r="AE8"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G48" i="33"/>
  <c r="H112" i="9"/>
  <c r="D21" i="53"/>
  <c r="B39" i="72"/>
  <c r="H111" i="9"/>
  <c r="D126" i="9"/>
  <c r="D19" i="53"/>
  <c r="D59" i="9"/>
  <c r="M55" i="9"/>
  <c r="B38" i="72"/>
  <c r="D20" i="53"/>
  <c r="B40" i="72"/>
  <c r="I14" i="74"/>
  <c r="B8" i="74"/>
  <c r="D127" i="9"/>
  <c r="D13" i="52"/>
  <c r="D12" i="52"/>
  <c r="D8" i="74"/>
  <c r="C8" i="74"/>
  <c r="AD3" i="71"/>
  <c r="B4" i="62"/>
  <c r="B71" i="72"/>
  <c r="C65" i="40"/>
  <c r="D63" i="40"/>
  <c r="G16" i="1"/>
  <c r="J1" i="73"/>
  <c r="AA7" i="33"/>
  <c r="C36" i="11"/>
  <c r="C33" i="11"/>
  <c r="C39" i="11"/>
  <c r="C46" i="11"/>
  <c r="C45" i="11"/>
  <c r="C13" i="12"/>
  <c r="C30" i="69"/>
  <c r="C77" i="9"/>
  <c r="C74" i="9"/>
  <c r="C28" i="67"/>
  <c r="C30" i="68"/>
  <c r="H77" i="43"/>
  <c r="H76" i="43"/>
  <c r="H67" i="43"/>
  <c r="H59" i="43"/>
  <c r="H60" i="43"/>
  <c r="H61" i="43"/>
  <c r="M4" i="43"/>
  <c r="M5" i="43"/>
  <c r="N12" i="43"/>
  <c r="N11" i="43"/>
  <c r="M10" i="43"/>
  <c r="M7" i="43"/>
  <c r="H70" i="43"/>
  <c r="N9" i="43"/>
  <c r="M8" i="43"/>
  <c r="N10" i="43"/>
  <c r="H74" i="43"/>
  <c r="M6" i="43"/>
  <c r="N7" i="43"/>
  <c r="N4" i="43"/>
  <c r="N17" i="43"/>
  <c r="L17" i="43"/>
  <c r="O17" i="43"/>
  <c r="M17" i="43"/>
  <c r="E17" i="43"/>
  <c r="E48" i="33"/>
  <c r="G52" i="33"/>
  <c r="H52" i="33"/>
  <c r="AC7"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48" i="68"/>
  <c r="D11" i="71"/>
  <c r="D12" i="71"/>
  <c r="D13" i="71"/>
  <c r="U13" i="71"/>
  <c r="S13" i="71"/>
  <c r="T13" i="71"/>
  <c r="AB11" i="71"/>
  <c r="X9" i="71"/>
  <c r="X8" i="71"/>
  <c r="AA9" i="71"/>
  <c r="AA8" i="71"/>
  <c r="X12" i="71"/>
  <c r="Z7" i="71"/>
  <c r="Y8" i="71"/>
  <c r="Z8" i="71"/>
  <c r="AB9" i="71"/>
  <c r="AB8" i="71"/>
  <c r="S9" i="71"/>
  <c r="C94" i="9"/>
  <c r="C92" i="9"/>
  <c r="C20" i="11"/>
  <c r="C28" i="11"/>
  <c r="C27" i="11"/>
  <c r="Y9" i="71"/>
  <c r="Z9" i="71"/>
  <c r="E7" i="49"/>
  <c r="AB3" i="71"/>
  <c r="X3" i="71"/>
  <c r="E10" i="49"/>
  <c r="E14" i="49"/>
  <c r="AF3" i="71"/>
  <c r="P24" i="43"/>
  <c r="B66" i="40"/>
  <c r="P21" i="43"/>
  <c r="P22" i="43"/>
  <c r="C14" i="12"/>
  <c r="B13" i="49"/>
  <c r="B9" i="49"/>
  <c r="C19" i="68"/>
  <c r="E6" i="49"/>
  <c r="B8" i="49"/>
  <c r="E4" i="49"/>
  <c r="B14" i="49"/>
  <c r="B22" i="49"/>
  <c r="D65" i="40"/>
  <c r="E63" i="40"/>
  <c r="G17" i="43"/>
  <c r="D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9" i="71"/>
  <c r="P23" i="43"/>
  <c r="B71" i="39"/>
  <c r="D10" i="71"/>
  <c r="P25" i="43"/>
  <c r="E65" i="40"/>
  <c r="F63" i="40"/>
  <c r="E41" i="43"/>
  <c r="C41"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7" i="71"/>
  <c r="T9" i="71"/>
  <c r="D8" i="71"/>
  <c r="D9" i="71"/>
  <c r="F65" i="40"/>
  <c r="G63" i="40"/>
  <c r="AC7" i="34"/>
  <c r="I49" i="34"/>
  <c r="W7" i="34"/>
  <c r="E43" i="35"/>
  <c r="F43" i="35"/>
  <c r="E42" i="35"/>
  <c r="F42" i="35"/>
  <c r="C36" i="36"/>
  <c r="C37" i="36"/>
  <c r="C42" i="37"/>
  <c r="C43" i="37"/>
  <c r="G52" i="21"/>
  <c r="H52" i="21"/>
  <c r="G53" i="21"/>
  <c r="H53" i="21"/>
  <c r="I43" i="35"/>
  <c r="J43" i="35"/>
  <c r="H7" i="34"/>
  <c r="E48" i="21"/>
  <c r="R49" i="21"/>
  <c r="C38" i="35"/>
  <c r="C39" i="35"/>
  <c r="S7" i="34"/>
  <c r="AA7" i="34"/>
  <c r="I52" i="21"/>
  <c r="J52" i="21"/>
  <c r="I53" i="21"/>
  <c r="J53" i="21"/>
  <c r="E40" i="36"/>
  <c r="F40" i="36"/>
  <c r="E41" i="36"/>
  <c r="F41" i="36"/>
  <c r="I41" i="36"/>
  <c r="J41" i="36"/>
  <c r="E47" i="37"/>
  <c r="F47" i="37"/>
  <c r="E46" i="37"/>
  <c r="F46" i="37"/>
  <c r="G68" i="39"/>
  <c r="F70" i="39"/>
  <c r="M20" i="43"/>
  <c r="C19" i="43"/>
  <c r="T14" i="43"/>
  <c r="V14" i="43"/>
  <c r="U9" i="71"/>
  <c r="G65" i="40"/>
  <c r="H63" i="40"/>
  <c r="H68" i="39"/>
  <c r="G70" i="39"/>
  <c r="E49" i="34"/>
  <c r="U7" i="34"/>
  <c r="AB7" i="34"/>
  <c r="G49" i="34"/>
  <c r="E52" i="21"/>
  <c r="F52" i="21"/>
  <c r="E53" i="21"/>
  <c r="F53" i="21"/>
  <c r="I53" i="34"/>
  <c r="J53" i="34"/>
  <c r="I54" i="34"/>
  <c r="J54" i="34"/>
  <c r="C48" i="21"/>
  <c r="C49" i="21"/>
  <c r="C39" i="43"/>
  <c r="E39" i="43"/>
  <c r="T6" i="43"/>
  <c r="V6" i="43"/>
  <c r="C38" i="43"/>
  <c r="G38" i="43"/>
  <c r="I38" i="43"/>
  <c r="T5" i="43"/>
  <c r="V5" i="43"/>
  <c r="C29" i="43"/>
  <c r="C30" i="43"/>
  <c r="E30"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49" i="34"/>
  <c r="I68" i="39"/>
  <c r="H70" i="39"/>
  <c r="G53" i="34"/>
  <c r="H53" i="34"/>
  <c r="G54" i="34"/>
  <c r="H54" i="34"/>
  <c r="E54" i="34"/>
  <c r="F54" i="34"/>
  <c r="E53" i="34"/>
  <c r="F53" i="34"/>
  <c r="G39" i="43"/>
  <c r="I39" i="43"/>
  <c r="G34" i="43"/>
  <c r="I34" i="43"/>
  <c r="C27" i="43"/>
  <c r="I65" i="40"/>
  <c r="J63" i="40"/>
  <c r="J68" i="39"/>
  <c r="I70" i="39"/>
  <c r="B3" i="43"/>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L48" i="67"/>
  <c r="F26" i="67"/>
  <c r="D2" i="33"/>
  <c r="M9" i="67"/>
  <c r="B10" i="76"/>
  <c r="M27" i="67"/>
  <c r="B8" i="76"/>
  <c r="M29" i="67"/>
  <c r="AO7" i="1"/>
  <c r="F20" i="31"/>
  <c r="M21" i="15"/>
  <c r="F5" i="73"/>
  <c r="D2" i="21"/>
  <c r="J57" i="15"/>
  <c r="J55" i="15"/>
  <c r="J58" i="15"/>
  <c r="J59" i="15"/>
  <c r="C76" i="15"/>
  <c r="L51" i="15"/>
  <c r="L57" i="15"/>
  <c r="L47" i="15"/>
  <c r="L58" i="15"/>
  <c r="L59" i="15"/>
  <c r="L60" i="15"/>
  <c r="AO6" i="1"/>
  <c r="E11" i="76"/>
  <c r="F7" i="73"/>
  <c r="F36" i="67"/>
  <c r="M6" i="67"/>
  <c r="AO12" i="1"/>
  <c r="F6" i="67"/>
  <c r="D34" i="9"/>
  <c r="D20" i="9"/>
  <c r="E9" i="76"/>
  <c r="F40" i="67"/>
  <c r="F42" i="67"/>
  <c r="M21" i="67"/>
  <c r="E2" i="68"/>
  <c r="F35" i="67"/>
  <c r="J15" i="15"/>
  <c r="F7" i="67"/>
  <c r="D2" i="36"/>
  <c r="M24" i="67"/>
  <c r="F13" i="67"/>
  <c r="AO13" i="1"/>
  <c r="C76" i="67"/>
  <c r="B13" i="76"/>
  <c r="B9" i="76"/>
  <c r="M28" i="67"/>
  <c r="B7" i="76"/>
  <c r="M23" i="15"/>
  <c r="J15" i="67"/>
  <c r="AO8" i="1"/>
  <c r="F3" i="73"/>
  <c r="L47" i="67"/>
  <c r="M26" i="15"/>
  <c r="M29" i="15"/>
  <c r="F16" i="67"/>
  <c r="M22" i="67"/>
  <c r="F6" i="73"/>
  <c r="M8" i="67"/>
  <c r="D2" i="37"/>
  <c r="C20" i="9"/>
  <c r="F9" i="67"/>
  <c r="AO9" i="1"/>
  <c r="B11" i="76"/>
  <c r="F37" i="67"/>
  <c r="AO11" i="1"/>
  <c r="D7" i="73"/>
  <c r="D6" i="73"/>
  <c r="F8" i="67"/>
  <c r="E7" i="76"/>
  <c r="M24" i="15"/>
  <c r="E10" i="76"/>
  <c r="AO10" i="1"/>
  <c r="M23" i="67"/>
  <c r="E2" i="69"/>
  <c r="E12" i="76"/>
  <c r="M22" i="15"/>
  <c r="F38" i="67"/>
  <c r="E8" i="76"/>
  <c r="E13" i="76"/>
  <c r="D2" i="35"/>
  <c r="M28" i="15"/>
  <c r="E6" i="76"/>
  <c r="B6" i="76"/>
  <c r="F43" i="67"/>
  <c r="F41" i="67"/>
  <c r="B12" i="76"/>
  <c r="M26" i="67"/>
  <c r="M27" i="15"/>
  <c r="D35" i="9"/>
  <c r="D3" i="73"/>
  <c r="F31" i="67"/>
  <c r="F31" i="15"/>
  <c r="E9" i="49"/>
  <c r="E13" i="49"/>
  <c r="B11" i="49"/>
  <c r="E21" i="49"/>
  <c r="E8" i="49"/>
  <c r="B10" i="49"/>
  <c r="E11" i="49"/>
  <c r="E22" i="49"/>
  <c r="B4" i="49"/>
  <c r="C29" i="69"/>
  <c r="D27" i="69"/>
  <c r="B6" i="49"/>
  <c r="R16" i="1"/>
  <c r="C12" i="12"/>
  <c r="C8" i="69"/>
  <c r="C5" i="69"/>
  <c r="K1" i="73"/>
  <c r="F69" i="67"/>
  <c r="F71" i="67"/>
  <c r="B2" i="76"/>
  <c r="E2" i="76"/>
  <c r="B2" i="35"/>
  <c r="B3" i="35"/>
  <c r="F66" i="67"/>
  <c r="B10" i="70"/>
  <c r="F51" i="67"/>
  <c r="F69" i="15"/>
  <c r="B11" i="70"/>
  <c r="F65" i="15"/>
  <c r="F65" i="67"/>
  <c r="B9" i="70"/>
  <c r="N59" i="15"/>
  <c r="M59" i="15"/>
  <c r="C103" i="9"/>
  <c r="G20" i="9"/>
  <c r="B2" i="37"/>
  <c r="B3" i="37"/>
  <c r="M59" i="67"/>
  <c r="L58" i="67"/>
  <c r="N59" i="67"/>
  <c r="L59" i="67"/>
  <c r="D22" i="9"/>
  <c r="C21" i="9"/>
  <c r="C102" i="9"/>
  <c r="B8" i="70"/>
  <c r="D21" i="9"/>
  <c r="D102" i="9"/>
  <c r="F66" i="15"/>
  <c r="F50" i="15"/>
  <c r="Q71" i="67"/>
  <c r="B13" i="70"/>
  <c r="B2" i="36"/>
  <c r="B3" i="36"/>
  <c r="M7" i="67"/>
  <c r="J6" i="67"/>
  <c r="F50" i="67"/>
  <c r="Q71" i="15"/>
  <c r="F64" i="15"/>
  <c r="C34" i="67"/>
  <c r="F63" i="67"/>
  <c r="C62" i="67"/>
  <c r="J20" i="67"/>
  <c r="F70" i="67"/>
  <c r="F68" i="67"/>
  <c r="F51" i="15"/>
  <c r="C49" i="15"/>
  <c r="D103" i="9"/>
  <c r="C6" i="67"/>
  <c r="B12" i="70"/>
  <c r="F64" i="67"/>
  <c r="F63" i="15"/>
  <c r="C62" i="15"/>
  <c r="F71" i="15"/>
  <c r="B6" i="70"/>
  <c r="B2" i="21"/>
  <c r="B3" i="21"/>
  <c r="J20" i="15"/>
  <c r="B20" i="31"/>
  <c r="B7" i="70"/>
  <c r="F68" i="15"/>
  <c r="B2" i="33"/>
  <c r="B3" i="33"/>
  <c r="C27" i="67"/>
  <c r="L56" i="15"/>
  <c r="Q50" i="15"/>
  <c r="I54" i="15"/>
  <c r="J53" i="67"/>
  <c r="J57" i="67"/>
  <c r="J55" i="67"/>
  <c r="J58" i="67"/>
  <c r="Q50" i="67"/>
  <c r="L56" i="67"/>
  <c r="I54" i="67"/>
  <c r="C38" i="69"/>
  <c r="C35" i="69"/>
  <c r="C16" i="12"/>
  <c r="D19" i="69"/>
  <c r="C18" i="12"/>
  <c r="C17" i="67"/>
  <c r="C16" i="67"/>
  <c r="F59" i="15"/>
  <c r="F59" i="67"/>
  <c r="C14" i="67"/>
  <c r="M17" i="15"/>
  <c r="M17" i="67"/>
  <c r="C15" i="67"/>
  <c r="C18" i="67"/>
  <c r="C19" i="67"/>
  <c r="C19" i="69"/>
  <c r="D37" i="69"/>
  <c r="C37" i="69"/>
  <c r="C33" i="69"/>
  <c r="G21" i="9"/>
  <c r="C32" i="9"/>
  <c r="Q61" i="67"/>
  <c r="Q74" i="67"/>
  <c r="Q60" i="67"/>
  <c r="Q73" i="67"/>
  <c r="Q74" i="15"/>
  <c r="Q61" i="15"/>
  <c r="C49" i="67"/>
  <c r="F11" i="67"/>
  <c r="M11" i="67"/>
  <c r="J10" i="67"/>
  <c r="O28" i="43"/>
  <c r="P28" i="43"/>
  <c r="N28" i="43"/>
  <c r="B3" i="76"/>
  <c r="C21" i="12"/>
  <c r="Q52" i="67"/>
  <c r="F1" i="67"/>
  <c r="Q52" i="15"/>
  <c r="B2" i="70"/>
  <c r="B3" i="70"/>
  <c r="J18" i="67"/>
  <c r="J5" i="67"/>
  <c r="C32" i="67"/>
  <c r="Q60" i="15"/>
  <c r="Q73" i="15"/>
  <c r="C39" i="69"/>
  <c r="C46" i="69"/>
  <c r="C45" i="69"/>
  <c r="J18" i="15"/>
  <c r="J26" i="67"/>
  <c r="J29" i="67"/>
  <c r="J24" i="67"/>
  <c r="C22" i="12"/>
  <c r="C30" i="12"/>
  <c r="C28" i="12"/>
  <c r="C53" i="15"/>
  <c r="C48" i="15"/>
  <c r="C10" i="67"/>
  <c r="C5" i="67"/>
  <c r="C53" i="67"/>
  <c r="C48" i="67"/>
  <c r="C35" i="9"/>
  <c r="F118" i="9"/>
  <c r="H118" i="9"/>
  <c r="C20" i="69"/>
  <c r="C28" i="69"/>
  <c r="C27" i="69"/>
  <c r="F24" i="67"/>
  <c r="C24" i="67"/>
  <c r="F25" i="12"/>
  <c r="C26" i="12"/>
  <c r="D25" i="12"/>
  <c r="F22" i="69"/>
  <c r="F22" i="11"/>
  <c r="C20" i="67"/>
  <c r="C26" i="67"/>
  <c r="C34" i="9"/>
  <c r="D118" i="9"/>
  <c r="D4" i="52"/>
  <c r="B47" i="72"/>
  <c r="C23" i="67"/>
  <c r="C25" i="69"/>
  <c r="C29" i="67"/>
  <c r="C66" i="67"/>
  <c r="C60" i="67"/>
  <c r="C44" i="69"/>
  <c r="D41" i="69"/>
  <c r="C26" i="69"/>
  <c r="D22" i="69"/>
  <c r="C23" i="69"/>
  <c r="C24" i="69"/>
  <c r="D14" i="74"/>
  <c r="H119" i="9"/>
  <c r="H5" i="52"/>
  <c r="H4" i="52"/>
  <c r="I118" i="9"/>
  <c r="H101" i="9"/>
  <c r="C104" i="9"/>
  <c r="C60" i="15"/>
  <c r="C66" i="15"/>
  <c r="C43" i="69"/>
  <c r="C42" i="69"/>
  <c r="C44" i="11"/>
  <c r="D41" i="11"/>
  <c r="C26" i="11"/>
  <c r="D22" i="11"/>
  <c r="C23" i="11"/>
  <c r="C43" i="11"/>
  <c r="C42" i="11"/>
  <c r="C25" i="11"/>
  <c r="C24" i="11"/>
  <c r="D119" i="9"/>
  <c r="D5" i="52"/>
  <c r="B49" i="72"/>
  <c r="G118" i="9"/>
  <c r="G4" i="52"/>
  <c r="B52" i="72"/>
  <c r="F4" i="52"/>
  <c r="B51" i="72"/>
  <c r="F119" i="9"/>
  <c r="F5" i="52"/>
  <c r="B53" i="72"/>
  <c r="C38" i="67"/>
  <c r="C27" i="12"/>
  <c r="C25" i="12"/>
  <c r="C32" i="12"/>
  <c r="B2" i="12"/>
  <c r="B3" i="12"/>
  <c r="J24" i="15"/>
  <c r="C41" i="11"/>
  <c r="C49" i="11"/>
  <c r="C51" i="11"/>
  <c r="Q49" i="15"/>
  <c r="J14" i="15"/>
  <c r="C57" i="15"/>
  <c r="J19" i="15"/>
  <c r="J17" i="15"/>
  <c r="C41" i="69"/>
  <c r="C49" i="69"/>
  <c r="C51" i="69"/>
  <c r="H107" i="9"/>
  <c r="D5" i="53"/>
  <c r="M48" i="9"/>
  <c r="D45" i="9"/>
  <c r="E14" i="74"/>
  <c r="F14" i="74"/>
  <c r="B5" i="74"/>
  <c r="C22" i="69"/>
  <c r="C31" i="69"/>
  <c r="C52" i="69"/>
  <c r="B2" i="69"/>
  <c r="B3" i="69"/>
  <c r="J19" i="67"/>
  <c r="J17" i="67"/>
  <c r="C33" i="67"/>
  <c r="C31" i="67"/>
  <c r="C13" i="67"/>
  <c r="C57" i="67"/>
  <c r="Q49" i="67"/>
  <c r="C36" i="67"/>
  <c r="J14" i="67"/>
  <c r="J59" i="67"/>
  <c r="J60" i="67"/>
  <c r="C22" i="11"/>
  <c r="C31" i="11"/>
  <c r="C52" i="11"/>
  <c r="B2" i="11"/>
  <c r="B3" i="11"/>
  <c r="C105" i="9"/>
  <c r="H102" i="9"/>
  <c r="D7" i="53"/>
  <c r="B21" i="72"/>
  <c r="E118" i="9"/>
  <c r="E4" i="52"/>
  <c r="B48" i="72"/>
  <c r="I4" i="52"/>
  <c r="D55" i="9"/>
  <c r="M53" i="9"/>
  <c r="C64" i="9"/>
  <c r="C63" i="9"/>
  <c r="C67" i="9"/>
  <c r="C68" i="9"/>
  <c r="D54" i="9"/>
  <c r="C78" i="9"/>
  <c r="C73" i="9"/>
  <c r="C85" i="9"/>
  <c r="C72" i="9"/>
  <c r="C79" i="9"/>
  <c r="C93" i="9"/>
  <c r="C86" i="9"/>
  <c r="D52" i="9"/>
  <c r="D53" i="9"/>
  <c r="B20" i="72"/>
  <c r="D6" i="53"/>
  <c r="B22" i="72"/>
  <c r="Q48" i="15"/>
  <c r="J22" i="15"/>
  <c r="J13" i="15"/>
  <c r="J23" i="15"/>
  <c r="Q48" i="67"/>
  <c r="L46" i="67"/>
  <c r="C64" i="67"/>
  <c r="C61" i="67"/>
  <c r="C59" i="67"/>
  <c r="C56" i="11"/>
  <c r="C57" i="11"/>
  <c r="J13" i="67"/>
  <c r="J23" i="67"/>
  <c r="J22" i="67"/>
  <c r="C75" i="67"/>
  <c r="C56" i="67"/>
  <c r="C65" i="67"/>
  <c r="C37" i="67"/>
  <c r="C30" i="67"/>
  <c r="C39" i="67"/>
  <c r="Q70" i="67"/>
  <c r="D5" i="74"/>
  <c r="C5" i="74"/>
  <c r="D13" i="53"/>
  <c r="H108" i="9"/>
  <c r="D15" i="53"/>
  <c r="B31" i="72"/>
  <c r="D122" i="9"/>
  <c r="C57" i="69"/>
  <c r="C56" i="69"/>
  <c r="Q70" i="15"/>
  <c r="C75" i="15"/>
  <c r="C56" i="15"/>
  <c r="C65" i="15"/>
  <c r="C64" i="15"/>
  <c r="C61" i="15"/>
  <c r="C59" i="15"/>
  <c r="C58" i="15"/>
  <c r="C67" i="15"/>
  <c r="C68" i="15"/>
  <c r="C57" i="68"/>
  <c r="C56" i="68"/>
  <c r="J16" i="67"/>
  <c r="J25" i="67"/>
  <c r="J16" i="15"/>
  <c r="J25" i="15"/>
  <c r="Q69" i="15"/>
  <c r="Q68" i="15"/>
  <c r="Q69" i="67"/>
  <c r="Q68" i="67"/>
  <c r="C40" i="67"/>
  <c r="C71" i="15"/>
  <c r="G14" i="74"/>
  <c r="B6" i="74"/>
  <c r="D123" i="9"/>
  <c r="D9" i="52"/>
  <c r="D8" i="52"/>
  <c r="D14" i="53"/>
  <c r="B32" i="72"/>
  <c r="B30" i="72"/>
  <c r="C80" i="67"/>
  <c r="C79" i="67"/>
  <c r="C80" i="9"/>
  <c r="C81" i="9"/>
  <c r="E80" i="9"/>
  <c r="E81" i="9"/>
  <c r="C80" i="15"/>
  <c r="C79" i="15"/>
  <c r="C58" i="67"/>
  <c r="C67" i="67"/>
  <c r="C68" i="67"/>
  <c r="C95" i="9"/>
  <c r="L51" i="67"/>
  <c r="Q67" i="67"/>
  <c r="L57" i="67"/>
  <c r="L60" i="67"/>
  <c r="Q67" i="15"/>
  <c r="C96" i="9"/>
  <c r="E96" i="9"/>
  <c r="E97" i="9"/>
  <c r="C97" i="9"/>
  <c r="D58" i="9"/>
  <c r="D56" i="9"/>
  <c r="M54" i="9"/>
  <c r="N57" i="9"/>
  <c r="Q65" i="15"/>
  <c r="Q47" i="15"/>
  <c r="Q53" i="15"/>
  <c r="Q56" i="15"/>
  <c r="C43" i="15"/>
  <c r="C83" i="15"/>
  <c r="C82" i="15"/>
  <c r="C45" i="67"/>
  <c r="C46" i="67"/>
  <c r="C71" i="67"/>
  <c r="D6" i="74"/>
  <c r="C6" i="74"/>
  <c r="C46" i="15"/>
  <c r="Q56" i="67"/>
  <c r="C43" i="67"/>
  <c r="Q47" i="67"/>
  <c r="Q53" i="67"/>
  <c r="Q65" i="67"/>
  <c r="D2" i="67"/>
  <c r="C83" i="67"/>
  <c r="C82" i="67"/>
  <c r="B3" i="67"/>
  <c r="B2" i="67"/>
  <c r="N58" i="9"/>
  <c r="P57" i="9"/>
  <c r="N59" i="9"/>
  <c r="Q66" i="15"/>
  <c r="Q75" i="15"/>
  <c r="Q57" i="15"/>
  <c r="Q62" i="15"/>
  <c r="Q66" i="67"/>
  <c r="Q57" i="67"/>
  <c r="Q62" i="67"/>
  <c r="Q75" i="67"/>
  <c r="N61" i="9"/>
  <c r="N60" i="9"/>
  <c r="D113" i="43"/>
  <c r="AB7"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5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500-000005000000}">
      <text>
        <r>
          <rPr>
            <sz val="11"/>
            <color indexed="81"/>
            <rFont val="宋体"/>
            <family val="3"/>
            <charset val="134"/>
          </rPr>
          <t>在建项目均选择“是”</t>
        </r>
      </text>
    </comment>
    <comment ref="F59" authorId="0"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500-000007000000}">
      <text>
        <r>
          <rPr>
            <sz val="10"/>
            <color indexed="81"/>
            <rFont val="宋体"/>
            <family val="3"/>
            <charset val="134"/>
          </rPr>
          <t xml:space="preserve">在建
</t>
        </r>
      </text>
    </comment>
    <comment ref="N59" authorId="1" shapeId="0" xr:uid="{00000000-0006-0000-15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6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6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600-000005000000}">
      <text>
        <r>
          <rPr>
            <sz val="11"/>
            <color indexed="81"/>
            <rFont val="宋体"/>
            <family val="3"/>
            <charset val="134"/>
          </rPr>
          <t xml:space="preserve">在建项目均选择“是”
</t>
        </r>
      </text>
    </comment>
    <comment ref="F59" authorId="0"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9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9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B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B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3000000}">
      <text>
        <r>
          <rPr>
            <b/>
            <sz val="12"/>
            <color indexed="81"/>
            <rFont val="宋体"/>
            <family val="3"/>
            <charset val="134"/>
          </rPr>
          <t>所属项目品质或
物业管理</t>
        </r>
      </text>
    </comment>
    <comment ref="B90" authorId="0" shapeId="0" xr:uid="{00000000-0006-0000-1D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3000000}">
      <text>
        <r>
          <rPr>
            <b/>
            <sz val="12"/>
            <color indexed="81"/>
            <rFont val="宋体"/>
            <family val="3"/>
            <charset val="134"/>
          </rPr>
          <t>所属项目品质或
物业管理</t>
        </r>
      </text>
    </comment>
    <comment ref="B86" authorId="0" shapeId="0" xr:uid="{00000000-0006-0000-1E00-000004000000}">
      <text>
        <r>
          <rPr>
            <b/>
            <sz val="12"/>
            <color indexed="81"/>
            <rFont val="宋体"/>
            <family val="3"/>
            <charset val="134"/>
          </rPr>
          <t>所属项目品质</t>
        </r>
      </text>
    </comment>
    <comment ref="B89"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F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F00-000002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0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0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1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A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A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FE36A5A2-DC60-4F44-BB3D-9D1A9250DAA3}">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28389E5C-054F-4ABA-8B16-8FC9E245A2B9}">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7C76B392-03DD-4783-9411-4C9A93D4F03E}">
      <text>
        <r>
          <rPr>
            <sz val="11"/>
            <color indexed="81"/>
            <rFont val="宋体"/>
            <family val="3"/>
            <charset val="134"/>
          </rPr>
          <t>需在下方列示计算过程</t>
        </r>
        <r>
          <rPr>
            <sz val="9"/>
            <color indexed="81"/>
            <rFont val="宋体"/>
            <family val="3"/>
            <charset val="134"/>
          </rPr>
          <t xml:space="preserve">
</t>
        </r>
      </text>
    </comment>
    <comment ref="H75" authorId="2" shapeId="0" xr:uid="{0994AAEF-2E82-41D5-B615-2051B07D0DED}">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6F38F574-0316-423A-9155-D401929F2B87}">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26454CAD-9EA5-41D7-8B2F-FBBFC7BDE60C}">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E8B67C3-0416-42E5-9739-299D4C39291B}">
      <text>
        <r>
          <rPr>
            <sz val="11"/>
            <color indexed="81"/>
            <rFont val="宋体"/>
            <family val="3"/>
            <charset val="134"/>
          </rPr>
          <t>需在下方列示计算过程</t>
        </r>
        <r>
          <rPr>
            <sz val="9"/>
            <color indexed="81"/>
            <rFont val="宋体"/>
            <family val="3"/>
            <charset val="134"/>
          </rPr>
          <t xml:space="preserve">
</t>
        </r>
      </text>
    </comment>
    <comment ref="H75" authorId="2" shapeId="0" xr:uid="{0457E2E7-8DC1-42F3-9C51-48747DAEA983}">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<sst xmlns="http://schemas.openxmlformats.org/spreadsheetml/2006/main" count="7951" uniqueCount="3116">
  <si>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</si>
  <si>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</si>
  <si>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</si>
  <si>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</si>
  <si>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</si>
  <si>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</si>
  <si>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</si>
  <si>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</si>
  <si>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</si>
  <si>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</si>
  <si>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</si>
  <si>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</si>
  <si>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</si>
  <si>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</si>
  <si>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</si>
  <si>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</si>
  <si>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</si>
  <si>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</si>
  <si>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</si>
  <si>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</si>
  <si>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</si>
  <si>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</si>
  <si>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</si>
  <si>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</si>
  <si>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</si>
  <si>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</si>
  <si>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</si>
  <si>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</si>
  <si>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</si>
  <si>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</si>
  <si>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</si>
  <si>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</si>
  <si>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</si>
  <si>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</si>
  <si>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</si>
  <si>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</si>
  <si>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</si>
  <si>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</si>
  <si>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</si>
  <si>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</si>
  <si>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</si>
  <si>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</si>
  <si>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</si>
  <si>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</si>
  <si>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</si>
  <si>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</si>
  <si>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</si>
  <si>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</si>
  <si>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</si>
  <si>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</si>
  <si>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</si>
  <si>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</si>
  <si>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</si>
  <si>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</si>
  <si>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</si>
  <si>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</si>
  <si>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</si>
  <si>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</si>
  <si>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</si>
  <si>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</si>
  <si>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</si>
  <si>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</si>
  <si>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</si>
  <si>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</si>
  <si>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</si>
  <si>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</si>
  <si>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</si>
  <si>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</si>
  <si>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</si>
  <si>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</si>
  <si>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</si>
  <si>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</si>
  <si>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</si>
  <si>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</si>
  <si>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</si>
  <si>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</si>
  <si>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</si>
  <si>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</si>
  <si>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</si>
  <si>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</si>
  <si>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</si>
  <si>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</si>
  <si>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</si>
  <si>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</si>
  <si>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</si>
  <si>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</si>
  <si>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</si>
  <si>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</si>
  <si>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</si>
  <si>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</si>
  <si>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</si>
  <si>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</si>
  <si>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</si>
  <si>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</si>
  <si>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</si>
  <si>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</si>
  <si>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</si>
  <si>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</si>
  <si>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</si>
  <si>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</si>
  <si>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</si>
  <si>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</si>
  <si>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</si>
  <si>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</si>
  <si>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</si>
  <si>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</si>
  <si>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</si>
  <si>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</si>
  <si>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</si>
  <si>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</si>
  <si>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</si>
  <si>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</si>
  <si>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</si>
  <si>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</si>
  <si>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</si>
  <si>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</si>
  <si>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</si>
  <si>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</si>
  <si>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</si>
  <si>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</si>
  <si>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</si>
  <si>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</si>
  <si>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</si>
  <si>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</si>
  <si>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</si>
  <si>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</si>
  <si>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</si>
  <si>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</si>
  <si>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</si>
  <si>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</si>
  <si>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</si>
  <si>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</si>
  <si>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</si>
  <si>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</si>
  <si>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</si>
  <si>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</si>
  <si>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</si>
  <si>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</si>
  <si>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</si>
  <si>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</si>
  <si>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</si>
  <si>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</si>
  <si>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</si>
  <si>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</si>
  <si>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</si>
  <si>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</si>
  <si>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</si>
  <si>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</si>
  <si>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</si>
  <si>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</si>
  <si>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</si>
  <si>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</si>
  <si>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</si>
  <si>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</si>
  <si>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</si>
  <si>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</si>
  <si>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</si>
  <si>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</si>
  <si>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</si>
  <si>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</si>
  <si>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</si>
  <si>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</si>
  <si>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</si>
  <si>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</si>
  <si>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</si>
  <si>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</si>
  <si>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</si>
  <si>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</si>
  <si>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</si>
  <si>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</si>
  <si>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</si>
  <si>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</si>
  <si>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</si>
  <si>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</si>
  <si>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</si>
  <si>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</si>
  <si>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</si>
  <si>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</si>
  <si>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</si>
  <si>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</si>
  <si>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</si>
  <si>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</si>
  <si>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</si>
  <si>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</si>
  <si>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</si>
  <si>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</si>
  <si>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</si>
  <si>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</si>
  <si>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</si>
  <si>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</si>
  <si>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</si>
  <si>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</si>
  <si>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</si>
  <si>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</si>
  <si>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</si>
  <si>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</si>
  <si>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</si>
  <si>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</si>
  <si>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</si>
  <si>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</si>
  <si>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</si>
  <si>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</si>
  <si>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</si>
  <si>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</si>
  <si>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</si>
  <si>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</si>
  <si>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</si>
  <si>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</si>
  <si>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</si>
  <si>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</si>
  <si>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</si>
  <si>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</si>
  <si>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</si>
  <si>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</si>
  <si>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</si>
  <si>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</si>
  <si>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</si>
  <si>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</si>
  <si>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</si>
  <si>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</si>
  <si>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</si>
  <si>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</si>
  <si>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</si>
  <si>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</si>
  <si>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</si>
  <si>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</si>
  <si>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</si>
  <si>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</si>
  <si>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</si>
  <si>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</si>
  <si>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</si>
  <si>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</si>
  <si>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</si>
  <si>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</si>
  <si>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</si>
  <si>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</si>
  <si>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</si>
  <si>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</si>
  <si>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</si>
  <si>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</si>
  <si>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</si>
  <si>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</si>
  <si>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</si>
  <si>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</si>
  <si>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</si>
  <si>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</si>
  <si>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</si>
  <si>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</si>
  <si>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</si>
  <si>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</si>
  <si>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</si>
  <si>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</si>
  <si>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</si>
  <si>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</si>
  <si>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</si>
  <si>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</si>
  <si>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</si>
  <si>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</si>
  <si>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</si>
  <si>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</si>
  <si>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</si>
  <si>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</si>
  <si>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</si>
  <si>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</si>
  <si>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</si>
  <si>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</si>
  <si>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</si>
  <si>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</si>
  <si>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</si>
  <si>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</si>
  <si>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</si>
  <si>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</si>
  <si>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</si>
  <si>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</si>
  <si>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</si>
  <si>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</si>
  <si>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</si>
  <si>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</si>
  <si>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</si>
  <si>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</si>
  <si>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</si>
  <si>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</si>
  <si>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</si>
  <si>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</si>
  <si>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</si>
  <si>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</si>
  <si>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</si>
  <si>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</si>
  <si>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</si>
  <si>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</si>
  <si>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</si>
  <si>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</si>
  <si>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</si>
  <si>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</si>
  <si>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</si>
  <si>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</si>
  <si>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</si>
  <si>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</si>
  <si>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</si>
  <si>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</si>
  <si>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</si>
  <si>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</si>
  <si>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</si>
  <si>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</si>
  <si>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</si>
  <si>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</si>
  <si>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</si>
  <si>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</si>
  <si>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</si>
  <si>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</si>
  <si>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</si>
  <si>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</si>
  <si>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</si>
  <si>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</si>
  <si>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</si>
  <si>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</si>
  <si>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</si>
  <si>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</si>
  <si>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</si>
  <si>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</si>
  <si>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</si>
  <si>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</si>
  <si>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</si>
  <si>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</si>
  <si>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</si>
  <si>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</si>
  <si>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</si>
  <si>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</si>
  <si>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</si>
  <si>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</si>
  <si>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</si>
  <si>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</si>
  <si>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</si>
  <si>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</si>
  <si>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</si>
  <si>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</si>
  <si>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</si>
  <si>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</si>
  <si>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</si>
  <si>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</si>
  <si>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</si>
  <si>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</si>
  <si>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</si>
  <si>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</si>
  <si>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</si>
  <si>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</si>
  <si>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</si>
  <si>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</si>
  <si>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</si>
  <si>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</si>
  <si>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</si>
  <si>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</si>
  <si>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</si>
  <si>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</si>
  <si>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</si>
  <si>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</si>
  <si>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</si>
  <si>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</si>
  <si>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</si>
  <si>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</si>
  <si>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</si>
  <si>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</si>
  <si>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</si>
  <si>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</si>
  <si>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</si>
  <si>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</si>
  <si>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</si>
  <si>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</si>
  <si>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</si>
  <si>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</si>
  <si>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</si>
  <si>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</si>
  <si>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</si>
  <si>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</si>
  <si>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</si>
  <si>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</si>
  <si>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</si>
  <si>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</si>
  <si>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</si>
  <si>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</si>
  <si>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</si>
  <si>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</si>
  <si>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</si>
  <si>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</si>
  <si>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</si>
  <si>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</si>
  <si>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</si>
  <si>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</si>
  <si>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</si>
  <si>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</si>
  <si>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</si>
  <si>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</si>
  <si>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</si>
  <si>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</si>
  <si>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</si>
  <si>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</si>
  <si>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</si>
  <si>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</si>
  <si>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</si>
  <si>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</si>
  <si>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</si>
  <si>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</si>
  <si>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</si>
  <si>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</si>
  <si>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</si>
  <si>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</si>
  <si>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</si>
  <si>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</si>
  <si>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</si>
  <si>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</si>
  <si>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</si>
  <si>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</si>
  <si>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</si>
  <si>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</si>
  <si>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</si>
  <si>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</si>
  <si>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</si>
  <si>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</si>
  <si>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</si>
  <si>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</si>
  <si>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</si>
  <si>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</si>
  <si>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</si>
  <si>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</si>
  <si>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</si>
  <si>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</si>
  <si>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</si>
  <si>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</si>
  <si>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</si>
  <si>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</si>
  <si>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</si>
  <si>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</si>
  <si>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</si>
  <si>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</si>
  <si>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</si>
  <si>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</si>
  <si>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</si>
  <si>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</si>
  <si>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</si>
  <si>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</si>
  <si>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</si>
  <si>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</si>
  <si>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</si>
  <si>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</si>
  <si>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</si>
  <si>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</si>
  <si>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</si>
  <si>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</si>
  <si>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</si>
  <si>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</si>
  <si>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</si>
  <si>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</si>
  <si>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</si>
  <si>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</si>
  <si>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</si>
  <si>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</si>
  <si>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</si>
  <si>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</si>
  <si>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</si>
  <si>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</si>
  <si>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</si>
  <si>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</si>
  <si>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</si>
  <si>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</si>
  <si>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</si>
  <si>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</si>
  <si>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</si>
  <si>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</si>
  <si>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</si>
  <si>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</si>
  <si>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</si>
  <si>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</si>
  <si>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</si>
  <si>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</si>
  <si>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</si>
  <si>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</si>
  <si>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</si>
  <si>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</si>
  <si>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</si>
  <si>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</si>
  <si>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</si>
  <si>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</si>
  <si>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</si>
  <si>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</si>
  <si>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</si>
  <si>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</si>
  <si>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</si>
  <si>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</si>
  <si>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</si>
  <si>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</si>
  <si>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</si>
  <si>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</si>
  <si>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</si>
  <si>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</si>
  <si>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</si>
  <si>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</si>
  <si>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</si>
  <si>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</si>
  <si>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</si>
  <si>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</si>
  <si>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</si>
  <si>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</si>
  <si>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</si>
  <si>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</si>
  <si>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</si>
  <si>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</si>
  <si>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</si>
  <si>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</si>
  <si>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</si>
  <si>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</si>
  <si>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</si>
  <si>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</si>
  <si>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</si>
  <si>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</si>
  <si>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</si>
  <si>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</si>
  <si>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</si>
  <si>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</si>
  <si>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</si>
  <si>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</si>
  <si>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</si>
  <si>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</si>
  <si>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</si>
  <si>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</si>
  <si>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</si>
  <si>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</si>
  <si>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</si>
  <si>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</si>
  <si>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</si>
  <si>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</si>
  <si>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</si>
  <si>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</si>
  <si>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</si>
  <si>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</si>
  <si>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</si>
  <si>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</si>
  <si>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</si>
  <si>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</si>
  <si>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</si>
  <si>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</si>
  <si>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</si>
  <si>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</si>
  <si>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</si>
  <si>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</si>
  <si>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</si>
  <si>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</si>
  <si>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</si>
  <si>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</si>
  <si>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</si>
  <si>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</si>
  <si>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</si>
  <si>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</si>
  <si>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</si>
  <si>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</si>
  <si>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</si>
  <si>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</si>
  <si>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</si>
  <si>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</si>
  <si>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</si>
  <si>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</si>
  <si>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</si>
  <si>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</si>
  <si>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</si>
  <si>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</si>
  <si>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</si>
  <si>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</si>
  <si>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</si>
  <si>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</si>
  <si>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</si>
  <si>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</si>
  <si>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</si>
  <si>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</si>
  <si>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</si>
  <si>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</si>
  <si>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</si>
  <si>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</si>
  <si>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</si>
  <si>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</si>
  <si>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</si>
  <si>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</si>
  <si>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</si>
  <si>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</si>
  <si>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</si>
  <si>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</si>
  <si>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</si>
  <si>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</si>
  <si>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</si>
  <si>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</si>
  <si>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</si>
  <si>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</si>
  <si>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</si>
  <si>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</si>
  <si>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</si>
  <si>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</si>
  <si>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</si>
  <si>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</si>
  <si>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</si>
  <si>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</si>
  <si>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</si>
  <si>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</si>
  <si>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</si>
  <si>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</si>
  <si>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</si>
  <si>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</si>
  <si>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</si>
  <si>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</si>
  <si>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</si>
  <si>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</si>
  <si>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</si>
  <si>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</si>
  <si>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</si>
  <si>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</si>
  <si>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</si>
  <si>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</si>
  <si>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</si>
  <si>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</si>
  <si>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</si>
  <si>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</si>
  <si>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</si>
  <si>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</si>
  <si>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</si>
  <si>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</si>
  <si>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</si>
  <si>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</si>
  <si>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</si>
  <si>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</si>
  <si>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</si>
  <si>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</si>
  <si>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</si>
  <si>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</si>
  <si>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</si>
  <si>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</si>
  <si>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</si>
  <si>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</si>
  <si>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</si>
  <si>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</si>
  <si>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</si>
  <si>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</si>
  <si>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</si>
  <si>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</si>
  <si>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</si>
  <si>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</si>
  <si>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</si>
  <si>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</si>
  <si>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</si>
  <si>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</si>
  <si>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</si>
  <si>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</si>
  <si>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</si>
  <si>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</si>
  <si>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</si>
  <si>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</si>
  <si>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</si>
  <si>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</si>
  <si>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</si>
  <si>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</si>
  <si>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</si>
  <si>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</si>
  <si>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</si>
  <si>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</si>
  <si>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</si>
  <si>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</si>
  <si>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</si>
  <si>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</si>
  <si>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</si>
  <si>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</si>
  <si>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</si>
  <si>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</si>
  <si>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</si>
  <si>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</si>
  <si>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</si>
  <si>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</si>
  <si>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</si>
  <si>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</si>
  <si>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</si>
  <si>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</si>
  <si>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</si>
  <si>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</si>
  <si>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</si>
  <si>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</si>
  <si>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</si>
  <si>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</si>
  <si>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</si>
  <si>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</si>
  <si>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</si>
  <si>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</si>
  <si>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</si>
  <si>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</si>
  <si>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</si>
  <si>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</si>
  <si>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</si>
  <si>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</si>
  <si>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</si>
  <si>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</si>
  <si>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</si>
  <si>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</si>
  <si>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</si>
  <si>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</si>
  <si>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</si>
  <si>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</si>
  <si>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</si>
  <si>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</si>
  <si>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</si>
  <si>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</si>
  <si>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</si>
  <si>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</si>
  <si>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</si>
  <si>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</si>
  <si>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</si>
  <si>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</si>
  <si>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</si>
  <si>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</si>
  <si>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</si>
  <si>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</si>
  <si>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</si>
  <si>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</si>
  <si>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</si>
  <si>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</si>
  <si>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</si>
  <si>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</si>
  <si>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</si>
  <si>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</si>
  <si>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</si>
  <si>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</si>
  <si>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</si>
  <si>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</si>
  <si>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</si>
  <si>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</si>
  <si>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</si>
  <si>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</si>
  <si>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</si>
  <si>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</si>
  <si>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</si>
  <si>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</si>
  <si>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</si>
  <si>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</si>
  <si>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</si>
  <si>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</si>
  <si>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</si>
  <si>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</si>
  <si>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</si>
  <si>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</si>
  <si>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</si>
  <si>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</si>
  <si>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</si>
  <si>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</si>
  <si>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</si>
  <si>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</si>
  <si>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</si>
  <si>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</si>
  <si>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</si>
  <si>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</si>
  <si>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</si>
  <si>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</si>
  <si>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</si>
  <si>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</si>
  <si>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</si>
  <si>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</si>
  <si>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</si>
  <si>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</si>
  <si>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</si>
  <si>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</si>
  <si>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</si>
  <si>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</si>
  <si>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</si>
  <si>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</si>
  <si>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</si>
  <si>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</si>
  <si>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</si>
  <si>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</si>
  <si>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</si>
  <si>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</si>
  <si>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</si>
  <si>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</si>
  <si>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</si>
  <si>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</si>
  <si>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</si>
  <si>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</si>
  <si>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</si>
  <si>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</si>
  <si>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</si>
  <si>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</si>
  <si>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</si>
  <si>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</si>
  <si>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</si>
  <si>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</si>
  <si>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</si>
  <si>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</si>
  <si>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</si>
  <si>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</si>
  <si>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</si>
  <si>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</si>
  <si>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</si>
  <si>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</si>
  <si>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</si>
  <si>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</si>
  <si>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</si>
  <si>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</si>
  <si>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</si>
  <si>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</si>
  <si>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</si>
  <si>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</si>
  <si>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</si>
  <si>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</si>
  <si>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</si>
  <si>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</si>
  <si>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</si>
  <si>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</si>
  <si>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</si>
  <si>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</si>
  <si>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</si>
  <si>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</si>
  <si>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</si>
  <si>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</si>
  <si>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</si>
  <si>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</si>
  <si>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</si>
  <si>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</si>
  <si>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</si>
  <si>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</si>
  <si>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</si>
  <si>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</si>
  <si>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</si>
  <si>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</si>
  <si>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</si>
  <si>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</si>
  <si>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</si>
  <si>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</si>
  <si>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</si>
  <si>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</si>
  <si>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</si>
  <si>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</si>
  <si>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</si>
  <si>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</si>
  <si>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</si>
  <si>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</si>
  <si>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</si>
  <si>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</si>
  <si>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</si>
  <si>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</si>
  <si>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赵雯</t>
    <phoneticPr fontId="86" type="noConversion"/>
  </si>
  <si>
    <t>刘敬东</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</si>
  <si>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</si>
  <si>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</si>
  <si>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</si>
  <si>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</si>
  <si>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</si>
  <si>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</si>
  <si>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</si>
  <si>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</si>
  <si>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</si>
  <si>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</si>
  <si>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</si>
  <si>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</si>
  <si>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</si>
  <si>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</si>
  <si>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</si>
  <si>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</si>
  <si>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</si>
  <si>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</si>
  <si>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</si>
  <si>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</si>
  <si>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</si>
  <si>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</si>
  <si>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</si>
  <si>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</si>
  <si>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</si>
  <si>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</si>
  <si>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</si>
  <si>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</si>
  <si>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</si>
  <si>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</si>
  <si>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</si>
  <si>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</si>
  <si>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</si>
  <si>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</si>
  <si>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</si>
  <si>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</si>
  <si>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</si>
  <si>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</si>
  <si>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</si>
  <si>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</si>
  <si>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</si>
  <si>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</si>
  <si>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</si>
  <si>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</si>
  <si>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</si>
  <si>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</si>
  <si>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</si>
  <si>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</si>
  <si>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</si>
  <si>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</si>
  <si>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</si>
  <si>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</si>
  <si>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</si>
  <si>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</si>
  <si>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</si>
  <si>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</si>
  <si>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</si>
  <si>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</si>
  <si>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</si>
  <si>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</si>
  <si>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</si>
  <si>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</si>
  <si>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</si>
  <si>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</si>
  <si>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</si>
  <si>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</si>
  <si>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</si>
  <si>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</si>
  <si>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</si>
  <si>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</si>
  <si>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</si>
  <si>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</si>
  <si>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</si>
  <si>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</si>
  <si>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</si>
  <si>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</si>
  <si>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</si>
  <si>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</si>
  <si>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</si>
  <si>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</si>
  <si>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</si>
  <si>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</si>
  <si>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</si>
  <si>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</si>
  <si>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</si>
  <si>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</si>
  <si>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</si>
  <si>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</si>
  <si>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</si>
  <si>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</si>
  <si>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</si>
  <si>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</si>
  <si>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</si>
  <si>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</si>
  <si>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</si>
  <si>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</si>
  <si>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</si>
  <si>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</si>
  <si>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</si>
  <si>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</si>
  <si>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</si>
  <si>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</si>
  <si>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</si>
  <si>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</si>
  <si>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</si>
  <si>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</si>
  <si>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</si>
  <si>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</si>
  <si>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</si>
  <si>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</si>
  <si>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</si>
  <si>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</si>
  <si>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</si>
  <si>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</si>
  <si>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</si>
  <si>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</si>
  <si>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</si>
  <si>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</si>
  <si>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</si>
  <si>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</si>
  <si>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</si>
  <si>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</si>
  <si>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</si>
  <si>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</si>
  <si>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</si>
  <si>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</si>
  <si>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</si>
  <si>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</si>
  <si>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</si>
  <si>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</si>
  <si>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</si>
  <si>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</si>
  <si>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</si>
  <si>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</si>
  <si>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</si>
  <si>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</si>
  <si>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</si>
  <si>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</si>
  <si>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</si>
  <si>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</si>
  <si>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</si>
  <si>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</si>
  <si>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</si>
  <si>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</si>
  <si>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</si>
  <si>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</si>
  <si>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</si>
  <si>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</si>
  <si>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</si>
  <si>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</si>
  <si>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</si>
  <si>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</si>
  <si>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</si>
  <si>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</si>
  <si>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</si>
  <si>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</si>
  <si>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</si>
  <si>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</si>
  <si>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</si>
  <si>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</si>
  <si>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</si>
  <si>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</si>
  <si>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</si>
  <si>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</si>
  <si>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</si>
  <si>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</si>
  <si>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</si>
  <si>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</si>
  <si>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</si>
  <si>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</si>
  <si>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</si>
  <si>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</si>
  <si>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</si>
  <si>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</si>
  <si>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</si>
  <si>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</si>
  <si>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</si>
  <si>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</si>
  <si>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</si>
  <si>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</si>
  <si>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</si>
  <si>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</si>
  <si>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</si>
  <si>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</si>
  <si>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</si>
  <si>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</si>
  <si>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</si>
  <si>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</si>
  <si>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</si>
  <si>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</si>
  <si>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</si>
  <si>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</si>
  <si>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</si>
  <si>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</si>
  <si>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</si>
  <si>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</si>
  <si>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</si>
  <si>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</si>
  <si>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</si>
  <si>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</si>
  <si>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</si>
  <si>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</si>
  <si>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</si>
  <si>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</si>
  <si>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</si>
  <si>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</si>
  <si>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</si>
  <si>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</si>
  <si>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</si>
  <si>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</si>
  <si>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</si>
  <si>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</si>
  <si>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</si>
  <si>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</si>
  <si>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</si>
  <si>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</si>
  <si>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</si>
  <si>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</si>
  <si>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</si>
  <si>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</si>
  <si>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</si>
  <si>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</si>
  <si>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</si>
  <si>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</si>
  <si>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</si>
  <si>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</si>
  <si>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</si>
  <si>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</si>
  <si>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</si>
  <si>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</si>
  <si>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</si>
  <si>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</si>
  <si>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</si>
  <si>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</si>
  <si>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</si>
  <si>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</si>
  <si>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</si>
  <si>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</si>
  <si>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</si>
  <si>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</si>
  <si>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</si>
  <si>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</si>
  <si>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</si>
  <si>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</si>
  <si>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</si>
  <si>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</si>
  <si>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</si>
  <si>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</si>
  <si>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</si>
  <si>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</si>
  <si>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</si>
  <si>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</si>
  <si>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</si>
  <si>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</si>
  <si>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</si>
  <si>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</si>
  <si>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</si>
  <si>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</si>
  <si>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</si>
  <si>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</si>
  <si>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</si>
  <si>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</si>
  <si>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</si>
  <si>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</si>
  <si>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</si>
  <si>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</si>
  <si>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</si>
  <si>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</si>
  <si>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</si>
  <si>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</si>
  <si>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</si>
  <si>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</si>
  <si>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</si>
  <si>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</si>
  <si>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</si>
  <si>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</si>
  <si>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</si>
  <si>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</si>
  <si>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</si>
  <si>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</si>
  <si>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</si>
  <si>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</si>
  <si>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</si>
  <si>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</si>
  <si>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</si>
  <si>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</si>
  <si>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</si>
  <si>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</si>
  <si>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</si>
  <si>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</si>
  <si>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</si>
  <si>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</si>
  <si>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</si>
  <si>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</si>
  <si>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</si>
  <si>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</si>
  <si>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</si>
  <si>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</si>
  <si>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</si>
  <si>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</si>
  <si>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</si>
  <si>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</si>
  <si>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</si>
  <si>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</si>
  <si>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</si>
  <si>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</si>
  <si>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</si>
  <si>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</si>
  <si>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</si>
  <si>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</si>
  <si>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</si>
  <si>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</si>
  <si>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</si>
  <si>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</si>
  <si>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</si>
  <si>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</si>
  <si>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</si>
  <si>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</si>
  <si>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</si>
  <si>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</si>
  <si>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</si>
  <si>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</si>
  <si>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</si>
  <si>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</si>
  <si>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</si>
  <si>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</si>
  <si>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</si>
  <si>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</si>
  <si>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</si>
  <si>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</si>
  <si>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</si>
  <si>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</si>
  <si>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</si>
  <si>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</si>
  <si>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</si>
  <si>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</si>
  <si>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</si>
  <si>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</si>
  <si>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</si>
  <si>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</si>
  <si>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</si>
  <si>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</si>
  <si>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</si>
  <si>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</si>
  <si>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</si>
  <si>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</si>
  <si>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</si>
  <si>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</si>
  <si>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</si>
  <si>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</si>
  <si>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</si>
  <si>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</si>
  <si>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</si>
  <si>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</si>
  <si>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</si>
  <si>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</si>
  <si>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</si>
  <si>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</si>
  <si>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</si>
  <si>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</si>
  <si>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</si>
  <si>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</si>
  <si>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</si>
  <si>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</si>
  <si>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</si>
  <si>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</si>
  <si>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</si>
  <si>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</si>
  <si>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</si>
  <si>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</si>
  <si>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</si>
  <si>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</si>
  <si>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</si>
  <si>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</si>
  <si>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</si>
  <si>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</si>
  <si>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</si>
  <si>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</si>
  <si>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</si>
  <si>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</si>
  <si>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</si>
  <si>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</si>
  <si>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</si>
  <si>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</si>
  <si>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</si>
  <si>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</si>
  <si>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</si>
  <si>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</si>
  <si>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</si>
  <si>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</si>
  <si>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</si>
  <si>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</si>
  <si>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</si>
  <si>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</si>
  <si>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</si>
  <si>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</si>
  <si>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</si>
  <si>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</si>
  <si>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</si>
  <si>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</si>
  <si>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</si>
  <si>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</si>
  <si>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</si>
  <si>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</si>
  <si>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</si>
  <si>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</si>
  <si>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</si>
  <si>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</si>
  <si>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</si>
  <si>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</si>
  <si>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</si>
  <si>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</si>
  <si>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</si>
  <si>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</si>
  <si>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</si>
  <si>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</si>
  <si>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</si>
  <si>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</si>
  <si>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</si>
  <si>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</si>
  <si>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</si>
  <si>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</si>
  <si>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</si>
  <si>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</si>
  <si>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</si>
  <si>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</si>
  <si>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</si>
  <si>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</si>
  <si>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</si>
  <si>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</si>
  <si>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</si>
  <si>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</si>
  <si>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</si>
  <si>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</si>
  <si>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</si>
  <si>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</si>
  <si>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</si>
  <si>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</si>
  <si>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</si>
  <si>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</si>
  <si>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</si>
  <si>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</si>
  <si>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</si>
  <si>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</si>
  <si>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</si>
  <si>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</si>
  <si>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</si>
  <si>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</si>
  <si>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</si>
  <si>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</si>
  <si>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</si>
  <si>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</si>
  <si>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</si>
  <si>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</si>
  <si>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</si>
  <si>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</si>
  <si>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</si>
  <si>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</si>
  <si>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</si>
  <si>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</si>
  <si>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</si>
  <si>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</si>
  <si>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</si>
  <si>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</si>
  <si>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</si>
  <si>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</si>
  <si>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</si>
  <si>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</si>
  <si>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</si>
  <si>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</si>
  <si>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</si>
  <si>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</si>
  <si>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</si>
  <si>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</si>
  <si>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</si>
  <si>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</si>
  <si>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</si>
  <si>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</si>
  <si>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</si>
  <si>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</si>
  <si>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</si>
  <si>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</si>
  <si>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</si>
  <si>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</si>
  <si>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</si>
  <si>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</si>
  <si>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</si>
  <si>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</si>
  <si>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</si>
  <si>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</si>
  <si>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</si>
  <si>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</si>
  <si>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</si>
  <si>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</si>
  <si>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</si>
  <si>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</si>
  <si>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</si>
  <si>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</si>
  <si>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</si>
  <si>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</si>
  <si>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</si>
  <si>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</si>
  <si>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</si>
  <si>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</si>
  <si>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</si>
  <si>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</si>
  <si>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</si>
  <si>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</si>
  <si>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</si>
  <si>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</si>
  <si>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</si>
  <si>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</si>
  <si>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</si>
  <si>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</si>
  <si>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</si>
  <si>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</si>
  <si>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</si>
  <si>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</si>
  <si>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</si>
  <si>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</si>
  <si>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</si>
  <si>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</si>
  <si>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</si>
  <si>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</si>
  <si>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</si>
  <si>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</si>
  <si>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</si>
  <si>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</si>
  <si>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</si>
  <si>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</si>
  <si>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</si>
  <si>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</si>
  <si>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</si>
  <si>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</si>
  <si>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</si>
  <si>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</si>
  <si>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</si>
  <si>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</si>
  <si>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</si>
  <si>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</si>
  <si>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</si>
  <si>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</si>
  <si>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</si>
  <si>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</si>
  <si>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</si>
  <si>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</si>
  <si>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</si>
  <si>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</si>
  <si>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</si>
  <si>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</si>
  <si>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</si>
  <si>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</si>
  <si>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</si>
  <si>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</si>
  <si>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</si>
  <si>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</si>
  <si>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</si>
  <si>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</si>
  <si>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</si>
  <si>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</si>
  <si>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</si>
  <si>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</si>
  <si>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</si>
  <si>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</si>
  <si>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</si>
  <si>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</si>
  <si>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</si>
  <si>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</si>
  <si>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</si>
  <si>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</si>
  <si>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</si>
  <si>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</si>
  <si>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</si>
  <si>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</si>
  <si>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</si>
  <si>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</si>
  <si>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</si>
  <si>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</si>
  <si>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</si>
  <si>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</si>
  <si>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</si>
  <si>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</si>
  <si>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</si>
  <si>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</si>
  <si>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</si>
  <si>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</si>
  <si>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</si>
  <si>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</si>
  <si>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</si>
  <si>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</si>
  <si>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</si>
  <si>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</si>
  <si>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</si>
  <si>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</si>
  <si>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</si>
  <si>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</si>
  <si>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</si>
  <si>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</si>
  <si>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</si>
  <si>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</si>
  <si>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</si>
  <si>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</si>
  <si>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</si>
  <si>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</si>
  <si>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</si>
  <si>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</si>
  <si>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</si>
  <si>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</si>
  <si>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</si>
  <si>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</si>
  <si>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</si>
  <si>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</si>
  <si>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</si>
  <si>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</si>
  <si>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</si>
  <si>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</si>
  <si>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</si>
  <si>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</si>
  <si>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</si>
  <si>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</si>
  <si>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</si>
  <si>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</si>
  <si>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</si>
  <si>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</si>
  <si>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</si>
  <si>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</si>
  <si>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</si>
  <si>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</si>
  <si>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</si>
  <si>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</si>
  <si>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</si>
  <si>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</si>
  <si>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</si>
  <si>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</si>
  <si>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</si>
  <si>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</si>
  <si>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</si>
  <si>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</si>
  <si>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</si>
  <si>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</si>
  <si>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</si>
  <si>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</si>
  <si>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</si>
  <si>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</si>
  <si>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</si>
  <si>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</si>
  <si>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</si>
  <si>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</si>
  <si>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</si>
  <si>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</si>
  <si>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</si>
  <si>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</si>
  <si>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</si>
  <si>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</si>
  <si>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</si>
  <si>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</si>
  <si>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</si>
  <si>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</si>
  <si>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</si>
  <si>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</si>
  <si>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</si>
  <si>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</si>
  <si>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</si>
  <si>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</si>
  <si>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</si>
  <si>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</si>
  <si>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</si>
  <si>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</si>
  <si>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</si>
  <si>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</si>
  <si>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</si>
  <si>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</si>
  <si>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</si>
  <si>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</si>
  <si>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</si>
  <si>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</si>
  <si>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</si>
  <si>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</si>
  <si>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</si>
  <si>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</si>
  <si>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</si>
  <si>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</si>
  <si>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</si>
  <si>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</si>
  <si>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</si>
  <si>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</si>
  <si>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</si>
  <si>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</si>
  <si>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</si>
  <si>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</si>
  <si>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</si>
  <si>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</si>
  <si>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</si>
  <si>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</si>
  <si>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</si>
  <si>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</si>
  <si>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</si>
  <si>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</si>
  <si>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</si>
  <si>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</si>
  <si>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</si>
  <si>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</si>
  <si>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</si>
  <si>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</si>
  <si>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</si>
  <si>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</si>
  <si>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</si>
  <si>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</si>
  <si>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</si>
  <si>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</si>
  <si>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</si>
  <si>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</si>
  <si>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</si>
  <si>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</si>
  <si>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</si>
  <si>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</si>
  <si>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</si>
  <si>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</si>
  <si>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</si>
  <si>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</si>
  <si>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</si>
  <si>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</si>
  <si>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</si>
  <si>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</si>
  <si>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</si>
  <si>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</si>
  <si>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</si>
  <si>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</si>
  <si>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</si>
  <si>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</si>
  <si>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</si>
  <si>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</si>
  <si>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</si>
  <si>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</si>
  <si>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</si>
  <si>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</si>
  <si>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</si>
  <si>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</si>
  <si>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</si>
  <si>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</si>
  <si>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</si>
  <si>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</si>
  <si>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</si>
  <si>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</si>
  <si>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</si>
  <si>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</si>
  <si>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</si>
  <si>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</si>
  <si>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</si>
  <si>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</si>
  <si>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</si>
  <si>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</si>
  <si>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</si>
  <si>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</si>
  <si>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</si>
  <si>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</si>
  <si>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</si>
  <si>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</si>
  <si>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</si>
  <si>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</si>
  <si>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</si>
  <si>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</si>
  <si>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</si>
  <si>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</si>
  <si>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</si>
  <si>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</si>
  <si>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</si>
  <si>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</si>
  <si>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</si>
  <si>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</si>
  <si>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</si>
  <si>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</si>
  <si>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</si>
  <si>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</si>
  <si>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</si>
  <si>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</si>
  <si>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</si>
  <si>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</si>
  <si>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</si>
  <si>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</si>
  <si>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</si>
  <si>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</si>
  <si>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</si>
  <si>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</si>
  <si>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</si>
  <si>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</si>
  <si>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</si>
  <si>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</si>
  <si>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</si>
  <si>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</si>
  <si>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</si>
  <si>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</si>
  <si>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</si>
  <si>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</si>
  <si>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</si>
  <si>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</si>
  <si>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</si>
  <si>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</si>
  <si>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</si>
  <si>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</si>
  <si>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</si>
  <si>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</si>
  <si>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</si>
  <si>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</si>
  <si>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</si>
  <si>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</si>
  <si>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</si>
  <si>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</si>
  <si>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</si>
  <si>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</si>
  <si>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</si>
  <si>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</si>
  <si>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</si>
  <si>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</si>
  <si>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</si>
  <si>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</si>
  <si>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</si>
  <si>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</si>
  <si>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</si>
  <si>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</si>
  <si>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</si>
  <si>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</si>
  <si>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</si>
  <si>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</si>
  <si>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</si>
  <si>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</si>
  <si>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</si>
  <si>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</si>
  <si>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</si>
  <si>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</si>
  <si>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</si>
  <si>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</si>
  <si>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</si>
  <si>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</si>
  <si>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</si>
  <si>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</si>
  <si>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</si>
  <si>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</si>
  <si>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</si>
  <si>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</si>
  <si>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</si>
  <si>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</si>
  <si>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</si>
  <si>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</si>
  <si>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</si>
  <si>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</si>
  <si>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</si>
  <si>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</si>
  <si>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</si>
  <si>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</si>
  <si>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</si>
  <si>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</si>
  <si>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</si>
  <si>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</si>
  <si>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</si>
  <si>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</si>
  <si>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</si>
  <si>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</si>
  <si>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</si>
  <si>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</si>
  <si>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</si>
  <si>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</si>
  <si>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</si>
  <si>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</si>
  <si>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</si>
  <si>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</si>
  <si>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</si>
  <si>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</si>
  <si>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</si>
  <si>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</si>
  <si>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</si>
  <si>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</si>
  <si>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</si>
  <si>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</si>
  <si>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</si>
  <si>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</si>
  <si>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</si>
  <si>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</si>
  <si>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</si>
  <si>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</si>
  <si>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</si>
  <si>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</si>
  <si>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</si>
  <si>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</si>
  <si>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</si>
  <si>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</si>
  <si>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</si>
  <si>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</si>
  <si>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</si>
  <si>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</si>
  <si>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</si>
  <si>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</si>
  <si>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</si>
  <si>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</si>
  <si>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</si>
  <si>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</si>
  <si>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</si>
  <si>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</si>
  <si>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</si>
  <si>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</si>
  <si>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</si>
  <si>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</si>
  <si>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</si>
  <si>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</si>
  <si>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</si>
  <si>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</si>
  <si>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</si>
  <si>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</si>
  <si>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</si>
  <si>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</si>
  <si>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</si>
  <si>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</si>
  <si>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</si>
  <si>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</si>
  <si>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</si>
  <si>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</si>
  <si>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</si>
  <si>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</si>
  <si>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</si>
  <si>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</si>
  <si>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</si>
  <si>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</si>
  <si>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</si>
  <si>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</si>
  <si>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</si>
  <si>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</si>
  <si>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</si>
  <si>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</si>
  <si>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</si>
  <si>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</si>
  <si>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</si>
  <si>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</si>
  <si>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</si>
  <si>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</si>
  <si>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</si>
  <si>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</si>
  <si>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</si>
  <si>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</si>
  <si>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</si>
  <si>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</si>
  <si>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</si>
  <si>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</si>
  <si>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</si>
  <si>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</si>
  <si>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</si>
  <si>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</si>
  <si>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</si>
  <si>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</si>
  <si>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</si>
  <si>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</si>
  <si>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</si>
  <si>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</si>
  <si>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</si>
  <si>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</si>
  <si>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</si>
  <si>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</si>
  <si>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</si>
  <si>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</si>
  <si>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</si>
  <si>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</si>
  <si>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</si>
  <si>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</si>
  <si>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</si>
  <si>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</si>
  <si>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</si>
  <si>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</si>
  <si>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</si>
  <si>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</si>
  <si>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</si>
  <si>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</si>
  <si>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</si>
  <si>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</si>
  <si>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</si>
  <si>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</si>
  <si>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</si>
  <si>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</si>
  <si>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</si>
  <si>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</si>
  <si>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</si>
  <si>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</si>
  <si>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</si>
  <si>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</si>
  <si>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</si>
  <si>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</si>
  <si>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</si>
  <si>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</si>
  <si>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</si>
  <si>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</si>
  <si>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</si>
  <si>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</si>
  <si>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</si>
  <si>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</si>
  <si>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</si>
  <si>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</si>
  <si>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</si>
  <si>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</si>
  <si>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</si>
  <si>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</si>
  <si>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</si>
  <si>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</si>
  <si>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</si>
  <si>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</si>
  <si>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</si>
  <si>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</si>
  <si>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</si>
  <si>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</si>
  <si>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</si>
  <si>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</si>
  <si>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</si>
  <si>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</si>
  <si>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</si>
  <si>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</si>
  <si>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</si>
  <si>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</si>
  <si>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</si>
  <si>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</si>
  <si>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</si>
  <si>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</si>
  <si>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</si>
  <si>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</si>
  <si>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</si>
  <si>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</si>
  <si>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</si>
  <si>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</si>
  <si>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</si>
  <si>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</si>
  <si>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</si>
  <si>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</si>
  <si>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</si>
  <si>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</si>
  <si>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</si>
  <si>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</si>
  <si>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</si>
  <si>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</si>
  <si>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</si>
  <si>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</si>
  <si>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</si>
  <si>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</si>
  <si>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</si>
  <si>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</si>
  <si>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</si>
  <si>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</si>
  <si>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</si>
  <si>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</si>
  <si>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</si>
  <si>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</si>
  <si>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</si>
  <si>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</si>
  <si>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</si>
  <si>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</si>
  <si>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</si>
  <si>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</si>
  <si>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</si>
  <si>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</si>
  <si>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</si>
  <si>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</si>
  <si>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</si>
  <si>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</si>
  <si>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</si>
  <si>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</si>
  <si>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</si>
  <si>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</si>
  <si>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</si>
  <si>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</si>
  <si>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</si>
  <si>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</si>
  <si>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</si>
  <si>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</si>
  <si>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</si>
  <si>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</si>
  <si>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</si>
  <si>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</si>
  <si>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</si>
  <si>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</si>
  <si>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</si>
  <si>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</si>
  <si>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</si>
  <si>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</si>
  <si>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</si>
  <si>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</si>
  <si>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</si>
  <si>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</si>
  <si>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</si>
  <si>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</si>
  <si>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</si>
  <si>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</si>
  <si>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</si>
  <si>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</si>
  <si>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</si>
  <si>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</si>
  <si>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</si>
  <si>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</si>
  <si>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</si>
  <si>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</si>
  <si>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</si>
  <si>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</si>
  <si>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</si>
  <si>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</si>
  <si>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</si>
  <si>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</si>
  <si>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</si>
  <si>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</si>
  <si>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</si>
  <si>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</si>
  <si>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</si>
  <si>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</si>
  <si>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</si>
  <si>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</si>
  <si>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</si>
  <si>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</si>
  <si>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</si>
  <si>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</si>
  <si>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</si>
  <si>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</si>
  <si>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</si>
  <si>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</si>
  <si>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</si>
  <si>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</si>
  <si>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</si>
  <si>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</si>
  <si>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</si>
  <si>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</si>
  <si>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</si>
  <si>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</si>
  <si>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</si>
  <si>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</si>
  <si>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</si>
  <si>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</si>
  <si>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</si>
  <si>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</si>
  <si>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</si>
  <si>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</si>
  <si>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</si>
  <si>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</si>
  <si>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</si>
  <si>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</si>
  <si>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</si>
  <si>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</si>
  <si>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</si>
  <si>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</si>
  <si>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</si>
  <si>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</si>
  <si>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</si>
  <si>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</si>
  <si>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</si>
  <si>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</si>
  <si>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</si>
  <si>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</si>
  <si>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</si>
  <si>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</si>
  <si>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</si>
  <si>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</si>
  <si>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</si>
  <si>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</si>
  <si>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</si>
  <si>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</si>
  <si>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</si>
  <si>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</si>
  <si>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</si>
  <si>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</si>
  <si>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</si>
  <si>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</si>
  <si>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</si>
  <si>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</si>
  <si>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</si>
  <si>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</si>
  <si>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</si>
  <si>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</si>
  <si>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</si>
  <si>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</si>
  <si>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</si>
  <si>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</si>
  <si>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</si>
  <si>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</si>
  <si>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</si>
  <si>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</si>
  <si>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</si>
  <si>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</si>
  <si>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</si>
  <si>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</si>
  <si>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</si>
  <si>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</si>
  <si>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</si>
  <si>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</si>
  <si>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</si>
  <si>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</si>
  <si>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</si>
  <si>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</si>
  <si>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</si>
  <si>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</si>
  <si>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</si>
  <si>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</si>
  <si>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</si>
  <si>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</si>
  <si>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</si>
  <si>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</si>
  <si>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</si>
  <si>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</si>
  <si>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</si>
  <si>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</si>
  <si>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</si>
  <si>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</si>
  <si>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</si>
  <si>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</si>
  <si>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</si>
  <si>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</si>
  <si>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</si>
  <si>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</si>
  <si>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</si>
  <si>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</si>
  <si>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</si>
  <si>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</si>
  <si>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</si>
  <si>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</si>
  <si>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</si>
  <si>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</si>
  <si>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</si>
  <si>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</si>
  <si>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</si>
  <si>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</si>
  <si>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</si>
  <si>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</si>
  <si>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</si>
  <si>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</si>
  <si>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</si>
  <si>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</si>
  <si>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</si>
  <si>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</si>
  <si>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</si>
  <si>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</si>
  <si>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</si>
  <si>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</si>
  <si>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</si>
  <si>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</si>
  <si>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</si>
  <si>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</si>
  <si>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</si>
  <si>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</si>
  <si>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</si>
  <si>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</si>
  <si>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</si>
  <si>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</si>
  <si>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</si>
  <si>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</si>
  <si>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</si>
  <si>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</si>
  <si>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</si>
  <si>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</si>
  <si>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</si>
  <si>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</si>
  <si>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</si>
  <si>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</si>
  <si>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</si>
  <si>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</si>
  <si>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</si>
  <si>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</si>
  <si>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</si>
  <si>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</si>
  <si>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</si>
  <si>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</si>
  <si>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</si>
  <si>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</si>
  <si>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</si>
  <si>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</si>
  <si>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</si>
  <si>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</si>
  <si>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</si>
  <si>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</si>
  <si>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</si>
  <si>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</si>
  <si>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</si>
  <si>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</si>
  <si>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</si>
  <si>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</si>
  <si>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</si>
  <si>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</si>
  <si>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</si>
  <si>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</si>
  <si>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</si>
  <si>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</si>
  <si>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</si>
  <si>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</si>
  <si>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</si>
  <si>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</si>
  <si>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</si>
  <si>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</si>
  <si>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</si>
  <si>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</si>
  <si>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</si>
  <si>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</si>
  <si>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</si>
  <si>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</si>
  <si>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</si>
  <si>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</si>
  <si>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</si>
  <si>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</si>
  <si>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</si>
  <si>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</si>
  <si>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</si>
  <si>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</si>
  <si>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</si>
  <si>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</si>
  <si>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</si>
  <si>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</si>
  <si>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</si>
  <si>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</si>
  <si>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</si>
  <si>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</si>
  <si>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</si>
  <si>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</si>
  <si>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</si>
  <si>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</si>
  <si>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</si>
  <si>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</si>
  <si>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</si>
  <si>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</si>
  <si>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</si>
  <si>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</si>
  <si>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</si>
  <si>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</si>
  <si>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</si>
  <si>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</si>
  <si>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</si>
  <si>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</si>
  <si>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</si>
  <si>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</si>
  <si>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</si>
  <si>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</si>
  <si>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</si>
  <si>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</si>
  <si>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</si>
  <si>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</si>
  <si>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</si>
  <si>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</si>
  <si>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</si>
  <si>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</si>
  <si>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</si>
  <si>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</si>
  <si>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</si>
  <si>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</si>
  <si>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</si>
  <si>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</si>
  <si>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</si>
  <si>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</si>
  <si>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</si>
  <si>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</si>
  <si>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</si>
  <si>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</si>
  <si>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</si>
  <si>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</si>
  <si>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</si>
  <si>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</si>
  <si>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</si>
  <si>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</si>
  <si>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</si>
  <si>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</si>
  <si>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</si>
  <si>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</si>
  <si>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</si>
  <si>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</si>
  <si>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</si>
  <si>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</si>
  <si>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</si>
  <si>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</si>
  <si>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</si>
  <si>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</si>
  <si>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</si>
  <si>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</si>
  <si>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</si>
  <si>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</si>
  <si>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</si>
  <si>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</si>
  <si>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</si>
  <si>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</si>
  <si>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</si>
  <si>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</si>
  <si>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</si>
  <si>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</si>
  <si>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</si>
  <si>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</si>
  <si>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</si>
  <si>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</si>
  <si>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</si>
  <si>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</si>
  <si>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</si>
  <si>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</si>
  <si>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</si>
  <si>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</si>
  <si>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</si>
  <si>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</si>
  <si>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</si>
  <si>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</si>
  <si>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</si>
  <si>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</si>
  <si>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</si>
  <si>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</si>
  <si>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</si>
  <si>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</si>
  <si>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</si>
  <si>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</si>
  <si>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</si>
  <si>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</si>
  <si>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</si>
  <si>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</si>
  <si>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</si>
  <si>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</si>
  <si>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</si>
  <si>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</si>
  <si>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</si>
  <si>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</si>
  <si>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</si>
  <si>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</si>
  <si>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</si>
  <si>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</si>
  <si>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</si>
  <si>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</si>
  <si>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</si>
  <si>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</si>
  <si>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</si>
  <si>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</si>
  <si>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</si>
  <si>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</si>
  <si>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</si>
  <si>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</si>
  <si>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</si>
  <si>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</si>
  <si>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</si>
  <si>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</si>
  <si>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</si>
  <si>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</si>
  <si>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</si>
  <si>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</si>
  <si>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</si>
  <si>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</si>
  <si>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</si>
  <si>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</si>
  <si>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</si>
  <si>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</si>
  <si>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</si>
  <si>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</si>
  <si>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</si>
  <si>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</si>
  <si>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</si>
  <si>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</si>
  <si>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</si>
  <si>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</si>
  <si>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</si>
  <si>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</si>
  <si>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</si>
  <si>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</si>
  <si>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</si>
  <si>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</si>
  <si>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</si>
  <si>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</si>
  <si>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</si>
  <si>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</si>
  <si>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</si>
  <si>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</si>
  <si>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</si>
  <si>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</si>
  <si>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</si>
  <si>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</si>
  <si>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</si>
  <si>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</si>
  <si>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</si>
  <si>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</si>
  <si>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</si>
  <si>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</si>
  <si>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</si>
  <si>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</si>
  <si>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</si>
  <si>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</si>
  <si>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</si>
  <si>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</si>
  <si>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</si>
  <si>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</si>
  <si>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</si>
  <si>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</si>
  <si>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</si>
  <si>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</si>
  <si>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</si>
  <si>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</si>
  <si>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</si>
  <si>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</si>
  <si>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</si>
  <si>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</si>
  <si>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</si>
  <si>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</si>
  <si>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</si>
  <si>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</si>
  <si>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</si>
  <si>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</si>
  <si>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</si>
  <si>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</si>
  <si>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</si>
  <si>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</si>
  <si>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</si>
  <si>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</si>
  <si>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</si>
  <si>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</si>
  <si>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</si>
  <si>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</si>
  <si>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</si>
  <si>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</si>
  <si>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</si>
  <si>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</si>
  <si>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</si>
  <si>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</si>
  <si>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</si>
  <si>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</si>
  <si>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</si>
  <si>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</si>
  <si>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</si>
  <si>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</si>
  <si>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</si>
  <si>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</si>
  <si>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</si>
  <si>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</si>
  <si>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</si>
  <si>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</si>
  <si>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</si>
  <si>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</si>
  <si>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</si>
  <si>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</si>
  <si>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</si>
  <si>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</si>
  <si>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</si>
  <si>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</si>
  <si>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</si>
  <si>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</si>
  <si>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</si>
  <si>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</si>
  <si>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</si>
  <si>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</si>
  <si>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</si>
  <si>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</si>
  <si>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</si>
  <si>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</si>
  <si>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</si>
  <si>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</si>
  <si>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</si>
  <si>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</si>
  <si>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</si>
  <si>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</si>
  <si>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</si>
  <si>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</si>
  <si>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</si>
  <si>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</si>
  <si>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</si>
  <si>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</si>
  <si>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</si>
  <si>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</si>
  <si>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</si>
  <si>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</si>
  <si>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</si>
  <si>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</si>
  <si>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</si>
  <si>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</si>
  <si>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</si>
  <si>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</si>
  <si>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</si>
  <si>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</si>
  <si>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</si>
  <si>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</si>
  <si>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</si>
  <si>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</si>
  <si>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</si>
  <si>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</si>
  <si>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</si>
  <si>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</si>
  <si>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</si>
  <si>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</si>
  <si>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</si>
  <si>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</si>
  <si>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</si>
  <si>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</si>
  <si>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</si>
  <si>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</si>
  <si>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</si>
  <si>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</si>
  <si>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</si>
  <si>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</si>
  <si>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</si>
  <si>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</si>
  <si>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</si>
  <si>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</si>
  <si>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</si>
  <si>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</si>
  <si>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</si>
  <si>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</si>
  <si>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</si>
  <si>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</si>
  <si>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</si>
  <si>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</si>
  <si>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</si>
  <si>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</si>
  <si>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</si>
  <si>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</si>
  <si>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</si>
  <si>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</si>
  <si>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</si>
  <si>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</si>
  <si>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</si>
  <si>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</si>
  <si>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</si>
  <si>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</si>
  <si>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</si>
  <si>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</si>
  <si>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</si>
  <si>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</si>
  <si>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</si>
  <si>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</si>
  <si>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</si>
  <si>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</si>
  <si>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</si>
  <si>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</si>
  <si>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</si>
  <si>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</si>
  <si>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</si>
  <si>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</si>
  <si>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</si>
  <si>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</si>
  <si>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</si>
  <si>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</si>
  <si>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</si>
  <si>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</si>
  <si>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</si>
  <si>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</si>
  <si>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</si>
  <si>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</si>
  <si>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</si>
  <si>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</si>
  <si>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</si>
  <si>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</si>
  <si>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</si>
  <si>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</si>
  <si>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</si>
  <si>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</si>
  <si>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</si>
  <si>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</si>
  <si>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</si>
  <si>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</si>
  <si>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</si>
  <si>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</si>
  <si>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</si>
  <si>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</si>
  <si>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</si>
  <si>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</si>
  <si>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</si>
  <si>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</si>
  <si>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</si>
  <si>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</si>
  <si>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</si>
  <si>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</si>
  <si>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</si>
  <si>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</si>
  <si>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</si>
  <si>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</si>
  <si>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</si>
  <si>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</si>
  <si>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</si>
  <si>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</si>
  <si>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</si>
  <si>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</si>
  <si>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</si>
  <si>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</si>
  <si>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</si>
  <si>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</si>
  <si>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</si>
  <si>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</si>
  <si>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</si>
  <si>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</si>
  <si>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</si>
  <si>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</si>
  <si>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</si>
  <si>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</si>
  <si>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</si>
  <si>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</si>
  <si>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</si>
  <si>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</si>
  <si>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</si>
  <si>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</si>
  <si>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</si>
  <si>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</si>
  <si>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</si>
  <si>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</si>
  <si>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</si>
  <si>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</si>
  <si>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</si>
  <si>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</si>
  <si>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</si>
  <si>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</si>
  <si>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</si>
  <si>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</si>
  <si>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</si>
  <si>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</si>
  <si>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</si>
  <si>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</si>
  <si>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</si>
  <si>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</si>
  <si>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</si>
  <si>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</si>
  <si>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</si>
  <si>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</si>
  <si>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</si>
  <si>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</si>
  <si>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</si>
  <si>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</si>
  <si>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</si>
  <si>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</si>
  <si>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</si>
  <si>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</si>
  <si>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</si>
  <si>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</si>
  <si>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</si>
  <si>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</si>
  <si>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</si>
  <si>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</si>
  <si>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</si>
  <si>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</si>
  <si>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</si>
  <si>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</si>
  <si>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</si>
  <si>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</si>
  <si>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</si>
  <si>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</si>
  <si>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</si>
  <si>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</si>
  <si>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</si>
  <si>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</si>
  <si>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</si>
  <si>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</si>
  <si>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</si>
  <si>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</si>
  <si>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</si>
  <si>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</si>
  <si>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</si>
  <si>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</si>
  <si>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</si>
  <si>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</si>
  <si>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</si>
  <si>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</si>
  <si>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</si>
  <si>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</si>
  <si>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</si>
  <si>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</si>
  <si>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</si>
  <si>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</si>
  <si>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</si>
  <si>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</si>
  <si>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</si>
  <si>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</si>
  <si>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</si>
  <si>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</si>
  <si>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</si>
  <si>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</si>
  <si>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</si>
  <si>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</si>
  <si>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</si>
  <si>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</si>
  <si>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</si>
  <si>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</si>
  <si>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</si>
  <si>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</si>
  <si>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</si>
  <si>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</si>
  <si>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</si>
  <si>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</si>
  <si>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</si>
  <si>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</si>
  <si>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</si>
  <si>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</si>
  <si>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</si>
  <si>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</si>
  <si>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</si>
  <si>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</si>
  <si>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</si>
  <si>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</si>
  <si>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</si>
  <si>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</si>
  <si>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</si>
  <si>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</si>
  <si>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</si>
  <si>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</si>
  <si>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</si>
  <si>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</si>
  <si>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</si>
  <si>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</si>
  <si>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</si>
  <si>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</si>
  <si>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</si>
  <si>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</si>
  <si>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</si>
  <si>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</si>
  <si>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</si>
  <si>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</si>
  <si>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</si>
  <si>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</si>
  <si>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</si>
  <si>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</si>
  <si>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</si>
  <si>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</si>
  <si>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</si>
  <si>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</si>
  <si>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</si>
  <si>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</si>
  <si>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</si>
  <si>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</si>
  <si>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</si>
  <si>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</si>
  <si>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</si>
  <si>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</si>
  <si>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</si>
  <si>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</si>
  <si>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</si>
  <si>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</si>
  <si>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</si>
  <si>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</si>
  <si>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</si>
  <si>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</si>
  <si>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</si>
  <si>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</si>
  <si>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</si>
  <si>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</si>
  <si>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</si>
  <si>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</si>
  <si>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</si>
  <si>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</si>
  <si>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</si>
  <si>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</si>
  <si>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</si>
  <si>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</si>
  <si>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</si>
  <si>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</si>
  <si>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</si>
  <si>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</si>
  <si>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</si>
  <si>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</si>
  <si>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</si>
  <si>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</si>
  <si>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</si>
  <si>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</si>
  <si>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</si>
  <si>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</si>
  <si>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</si>
  <si>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</si>
  <si>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</si>
  <si>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</si>
  <si>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</si>
  <si>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</si>
  <si>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</si>
  <si>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</si>
  <si>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</si>
  <si>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</si>
  <si>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</si>
  <si>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</si>
  <si>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</si>
  <si>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</si>
  <si>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</si>
  <si>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</si>
  <si>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</si>
  <si>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</si>
  <si>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</si>
  <si>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</si>
  <si>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</si>
  <si>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</si>
  <si>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</si>
  <si>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</si>
  <si>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</si>
  <si>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</si>
  <si>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</si>
  <si>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</si>
  <si>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</si>
  <si>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</si>
  <si>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</si>
  <si>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</si>
  <si>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</si>
  <si>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</si>
  <si>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</si>
  <si>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</si>
  <si>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</si>
  <si>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</si>
  <si>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</si>
  <si>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</si>
  <si>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</si>
  <si>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</si>
  <si>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</si>
  <si>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</si>
  <si>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</si>
  <si>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</si>
  <si>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</si>
  <si>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</si>
  <si>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</si>
  <si>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</si>
  <si>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</si>
  <si>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</si>
  <si>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</si>
  <si>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</si>
  <si>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</si>
  <si>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</si>
  <si>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</si>
  <si>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</si>
  <si>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</si>
  <si>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</si>
  <si>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</si>
  <si>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</si>
  <si>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</si>
  <si>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</si>
  <si>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</si>
  <si>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</si>
  <si>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</si>
  <si>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</si>
  <si>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</si>
  <si>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</si>
  <si>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</si>
  <si>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</si>
  <si>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</si>
  <si>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</si>
  <si>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</si>
  <si>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</si>
  <si>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</si>
  <si>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</si>
  <si>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</si>
  <si>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</si>
  <si>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</si>
  <si>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</si>
  <si>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</si>
  <si>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</si>
  <si>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</si>
  <si>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</si>
  <si>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</si>
  <si>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</si>
  <si>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</si>
  <si>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</si>
  <si>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</si>
  <si>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</si>
  <si>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</si>
  <si>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</si>
  <si>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</si>
  <si>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</si>
  <si>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</si>
  <si>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</si>
  <si>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</si>
  <si>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</si>
  <si>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</si>
  <si>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</si>
  <si>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</si>
  <si>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</si>
  <si>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</si>
  <si>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</si>
  <si>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</si>
  <si>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</si>
  <si>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</si>
  <si>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</si>
  <si>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</si>
  <si>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</si>
  <si>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</si>
  <si>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</si>
  <si>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</si>
  <si>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</si>
  <si>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</si>
  <si>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</si>
  <si>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</si>
  <si>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</si>
  <si>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</si>
  <si>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</si>
  <si>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</si>
  <si>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</si>
  <si>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</si>
  <si>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</si>
  <si>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</si>
  <si>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</si>
  <si>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</si>
  <si>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</si>
  <si>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</si>
  <si>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</si>
  <si>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</si>
  <si>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</si>
  <si>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</si>
  <si>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</si>
  <si>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</si>
  <si>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</si>
  <si>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</si>
  <si>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</si>
  <si>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</si>
  <si>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</si>
  <si>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</si>
  <si>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</si>
  <si>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</si>
  <si>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</si>
  <si>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</si>
  <si>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</si>
  <si>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</si>
  <si>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</si>
  <si>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</si>
  <si>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</si>
  <si>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</si>
  <si>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</si>
  <si>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</si>
  <si>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</si>
  <si>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</si>
  <si>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</si>
  <si>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</si>
  <si>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</si>
  <si>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</si>
  <si>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</si>
  <si>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</si>
  <si>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</si>
  <si>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</si>
  <si>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</si>
  <si>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</si>
  <si>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</si>
  <si>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</si>
  <si>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</si>
  <si>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</si>
  <si>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</si>
  <si>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</si>
  <si>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</si>
  <si>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</si>
  <si>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</si>
  <si>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</si>
  <si>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</si>
  <si>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</si>
  <si>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</si>
  <si>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</si>
  <si>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</si>
  <si>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</si>
  <si>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</si>
  <si>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</si>
  <si>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</si>
  <si>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</si>
  <si>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</si>
  <si>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</si>
  <si>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</si>
  <si>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</si>
  <si>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</si>
  <si>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</si>
  <si>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</si>
  <si>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</si>
  <si>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</si>
  <si>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</si>
  <si>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</si>
  <si>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</si>
  <si>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</si>
  <si>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</si>
  <si>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</si>
  <si>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</si>
  <si>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</si>
  <si>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</si>
  <si>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</si>
  <si>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</si>
  <si>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</si>
  <si>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</si>
  <si>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</si>
  <si>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</si>
  <si>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</si>
  <si>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</si>
  <si>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</si>
  <si>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</si>
  <si>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</si>
  <si>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</si>
  <si>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</si>
  <si>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</si>
  <si>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</si>
  <si>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</si>
  <si>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</si>
  <si>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</si>
  <si>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</si>
  <si>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</si>
  <si>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</si>
  <si>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</si>
  <si>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</si>
  <si>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</si>
  <si>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</si>
  <si>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</si>
  <si>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</si>
  <si>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</si>
  <si>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</si>
  <si>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</si>
  <si>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</si>
  <si>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</si>
  <si>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</si>
  <si>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</si>
  <si>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</si>
  <si>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</si>
  <si>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</si>
  <si>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</si>
  <si>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</si>
  <si>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</si>
  <si>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</si>
  <si>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</si>
  <si>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</si>
  <si>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</si>
  <si>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</si>
  <si>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</si>
  <si>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</si>
  <si>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</si>
  <si>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</si>
  <si>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</si>
  <si>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</si>
  <si>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</si>
  <si>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</si>
  <si>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</si>
  <si>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</si>
  <si>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</si>
  <si>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</si>
  <si>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</si>
  <si>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</si>
  <si>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</si>
  <si>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</si>
  <si>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</si>
  <si>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</si>
  <si>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</si>
  <si>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</si>
  <si>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</si>
  <si>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</si>
  <si>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</si>
  <si>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</si>
  <si>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</si>
  <si>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</si>
  <si>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</si>
  <si>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</si>
  <si>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</si>
  <si>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</si>
  <si>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</si>
  <si>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</si>
  <si>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</si>
  <si>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</si>
  <si>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</si>
  <si>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</si>
  <si>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</si>
  <si>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</si>
  <si>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</si>
  <si>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</si>
  <si>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</si>
  <si>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</si>
  <si>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</si>
  <si>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</si>
  <si>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</si>
  <si>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</si>
  <si>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</si>
  <si>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</si>
  <si>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</si>
  <si>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</si>
  <si>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</si>
  <si>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</si>
  <si>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</si>
  <si>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</si>
  <si>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</si>
  <si>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</si>
  <si>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</si>
  <si>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</si>
  <si>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</si>
  <si>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</si>
  <si>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</si>
  <si>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</si>
  <si>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</si>
  <si>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</si>
  <si>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</si>
  <si>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</si>
  <si>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</si>
  <si>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</si>
  <si>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</si>
  <si>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</si>
  <si>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</si>
  <si>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</si>
  <si>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</si>
  <si>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</si>
  <si>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</si>
  <si>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</si>
  <si>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</si>
  <si>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</si>
  <si>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</si>
  <si>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</si>
  <si>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</si>
  <si>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</si>
  <si>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</si>
  <si>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</si>
  <si>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</si>
  <si>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</si>
  <si>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</si>
  <si>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</si>
  <si>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</si>
  <si>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</si>
  <si>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</si>
  <si>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</si>
  <si>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</si>
  <si>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</si>
  <si>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</si>
  <si>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</si>
  <si>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</si>
  <si>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</si>
  <si>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</si>
  <si>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</si>
  <si>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</si>
  <si>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</si>
  <si>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</si>
  <si>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</si>
  <si>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</si>
  <si>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</si>
  <si>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苏海</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</si>
  <si>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</si>
  <si>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</si>
  <si>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</si>
  <si>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</si>
  <si>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</si>
  <si>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</si>
  <si>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赵璠</t>
    <phoneticPr fontId="4" type="noConversion"/>
  </si>
  <si>
    <t>2019A-027</t>
    <phoneticPr fontId="137" type="noConversion"/>
  </si>
  <si>
    <t>刘俊财</t>
    <phoneticPr fontId="87" type="noConversion"/>
  </si>
  <si>
    <t>2019-4</t>
    <phoneticPr fontId="4" type="noConversion"/>
  </si>
  <si>
    <t>2020-1</t>
    <phoneticPr fontId="144" type="noConversion"/>
  </si>
  <si>
    <t>出让</t>
  </si>
  <si>
    <t>地上</t>
  </si>
  <si>
    <r>
      <t>甜水西园2</t>
    </r>
    <r>
      <rPr>
        <sz val="11"/>
        <color theme="1"/>
        <rFont val="宋体"/>
        <family val="3"/>
        <charset val="134"/>
        <scheme val="minor"/>
      </rPr>
      <t>0号楼1层110</t>
    </r>
    <phoneticPr fontId="144" type="noConversion"/>
  </si>
  <si>
    <t>面积</t>
    <phoneticPr fontId="144" type="noConversion"/>
  </si>
  <si>
    <r>
      <t>甜水西园2</t>
    </r>
    <r>
      <rPr>
        <sz val="11"/>
        <color theme="1"/>
        <rFont val="宋体"/>
        <family val="3"/>
        <charset val="134"/>
        <scheme val="minor"/>
      </rPr>
      <t>0号楼1层111</t>
    </r>
    <r>
      <rPr>
        <sz val="11"/>
        <color theme="1"/>
        <rFont val="宋体"/>
        <family val="2"/>
        <scheme val="minor"/>
      </rPr>
      <t/>
    </r>
  </si>
  <si>
    <t>甜水西园20号楼2层201</t>
    <phoneticPr fontId="144" type="noConversion"/>
  </si>
  <si>
    <t>甜水西园20号楼2层202</t>
  </si>
  <si>
    <t>甜水西园20号楼2层203</t>
  </si>
  <si>
    <t>甜水西园20号楼2层205</t>
    <phoneticPr fontId="144" type="noConversion"/>
  </si>
  <si>
    <t>甜水西园20号楼2层206</t>
  </si>
  <si>
    <t>甜水西园20号楼2层207</t>
  </si>
  <si>
    <t>甜水西园20号楼2层208</t>
  </si>
  <si>
    <t>甜水西园20号楼2层209</t>
  </si>
  <si>
    <t>甜水西园20号楼2层210</t>
  </si>
  <si>
    <t>甜水西园20号楼2层211</t>
  </si>
  <si>
    <t>甜水西园20号楼2层212</t>
  </si>
  <si>
    <t>甜水西园20号楼2层215</t>
    <phoneticPr fontId="144" type="noConversion"/>
  </si>
  <si>
    <t>甜水西园20号楼2层216</t>
  </si>
  <si>
    <t>甜水西园20号楼2层217</t>
  </si>
  <si>
    <t>甜水西园20号楼2层218</t>
  </si>
  <si>
    <t>甜水西园20号楼2层219</t>
  </si>
  <si>
    <t>1层</t>
  </si>
  <si>
    <t>1层</t>
    <phoneticPr fontId="144" type="noConversion"/>
  </si>
  <si>
    <t>2层</t>
  </si>
  <si>
    <t>2层</t>
    <phoneticPr fontId="144" type="noConversion"/>
  </si>
  <si>
    <t>是</t>
  </si>
  <si>
    <t>商业</t>
    <phoneticPr fontId="4" type="noConversion"/>
  </si>
  <si>
    <t>商业</t>
    <phoneticPr fontId="8" type="noConversion"/>
  </si>
  <si>
    <t>成新度</t>
  </si>
  <si>
    <t>收益法</t>
  </si>
  <si>
    <t>押一</t>
  </si>
  <si>
    <t>按租金收入计税</t>
  </si>
  <si>
    <t>钢混</t>
  </si>
  <si>
    <t>非生产用房</t>
  </si>
  <si>
    <t>自定义容积率</t>
  </si>
  <si>
    <t>不临58条商业街</t>
  </si>
  <si>
    <t>通路</t>
  </si>
  <si>
    <t>通电</t>
  </si>
  <si>
    <t>通讯</t>
  </si>
  <si>
    <t>通上水</t>
  </si>
  <si>
    <t>通下水</t>
  </si>
  <si>
    <t>通热</t>
  </si>
  <si>
    <t>平整</t>
  </si>
  <si>
    <t>与级别开发程度一致</t>
  </si>
  <si>
    <t>按公示增长率计算</t>
  </si>
  <si>
    <t>较好</t>
  </si>
  <si>
    <t>好</t>
  </si>
  <si>
    <t>一般</t>
  </si>
  <si>
    <t>未包含在土地购买价格中</t>
  </si>
  <si>
    <t>全部缴纳</t>
  </si>
  <si>
    <t>已包含在土地取得成本中</t>
  </si>
  <si>
    <t>售价</t>
  </si>
  <si>
    <t>商务金融用地（商业类）</t>
  </si>
  <si>
    <t>1层</t>
    <phoneticPr fontId="26" type="noConversion"/>
  </si>
  <si>
    <r>
      <t>2</t>
    </r>
    <r>
      <rPr>
        <sz val="10"/>
        <color indexed="8"/>
        <rFont val="宋体"/>
        <family val="3"/>
        <charset val="134"/>
      </rPr>
      <t>层</t>
    </r>
    <phoneticPr fontId="26" type="noConversion"/>
  </si>
  <si>
    <r>
      <t>1</t>
    </r>
    <r>
      <rPr>
        <sz val="10"/>
        <color indexed="8"/>
        <rFont val="宋体"/>
        <family val="3"/>
        <charset val="134"/>
      </rPr>
      <t>层</t>
    </r>
    <phoneticPr fontId="26" type="noConversion"/>
  </si>
  <si>
    <t>成本法</t>
  </si>
  <si>
    <t>典型户型修正</t>
    <phoneticPr fontId="17" type="noConversion"/>
  </si>
  <si>
    <t>现房</t>
  </si>
  <si>
    <t>商业</t>
    <phoneticPr fontId="144" type="noConversion"/>
  </si>
  <si>
    <t>办公</t>
    <phoneticPr fontId="144" type="noConversion"/>
  </si>
  <si>
    <t>比较法-办公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</si>
</sst>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cellStyleXfs>
  <cellXfs count="33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151" xfId="0" applyFont="1" applyFill="1" applyBorder="1" applyAlignment="1" applyProtection="1">
      <alignment vertical="center" wrapText="1"/>
      <protection locked="0"/>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 xfId="0" applyFont="1" applyFill="1" applyBorder="1" applyAlignment="1" applyProtection="1">
      <alignment vertical="center"/>
      <protection locked="0"/>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64" xfId="0" applyFont="1" applyFill="1" applyBorder="1" applyAlignment="1" applyProtection="1">
      <alignment vertical="center"/>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192" fontId="127" fillId="0" borderId="1" xfId="5" applyNumberFormat="1" applyFont="1" applyFill="1" applyBorder="1" applyAlignment="1">
      <alignment horizontal="right" vertical="center"/>
    </xf>
    <xf numFmtId="181" fontId="106"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153" fillId="12" borderId="126" xfId="9"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7" fillId="6" borderId="33" xfId="0" applyFont="1" applyFill="1" applyBorder="1" applyAlignment="1" applyProtection="1">
      <alignment horizontal="center" vertical="center" wrapText="1"/>
    </xf>
    <xf numFmtId="0" fontId="57" fillId="5" borderId="32" xfId="0" applyFont="1" applyFill="1" applyBorder="1" applyAlignment="1" applyProtection="1">
      <alignment horizontal="right" vertical="center" wrapText="1"/>
      <protection locked="0"/>
    </xf>
    <xf numFmtId="0" fontId="57" fillId="6" borderId="66" xfId="0" applyFont="1" applyFill="1" applyBorder="1" applyAlignment="1" applyProtection="1">
      <alignment horizontal="center" vertical="center" wrapText="1"/>
    </xf>
    <xf numFmtId="0" fontId="57" fillId="5" borderId="28" xfId="0" applyFont="1" applyFill="1" applyBorder="1" applyAlignment="1" applyProtection="1">
      <alignment horizontal="center" vertical="center" wrapText="1"/>
      <protection locked="0"/>
    </xf>
    <xf numFmtId="49" fontId="54" fillId="6" borderId="12" xfId="0" applyNumberFormat="1" applyFont="1" applyFill="1" applyBorder="1" applyAlignment="1" applyProtection="1">
      <alignment horizontal="left" vertical="center" wrapText="1"/>
    </xf>
    <xf numFmtId="0" fontId="54" fillId="6" borderId="74" xfId="0" applyFont="1" applyFill="1" applyBorder="1" applyAlignment="1" applyProtection="1">
      <alignment horizontal="left" vertical="center" wrapText="1"/>
    </xf>
    <xf numFmtId="0" fontId="54" fillId="6" borderId="75" xfId="0" applyFont="1" applyFill="1" applyBorder="1" applyAlignment="1" applyProtection="1">
      <alignment horizontal="center" vertical="center" wrapText="1"/>
    </xf>
    <xf numFmtId="0" fontId="57" fillId="6" borderId="75" xfId="0" applyFont="1" applyFill="1" applyBorder="1" applyAlignment="1" applyProtection="1">
      <alignment vertical="center"/>
    </xf>
    <xf numFmtId="0" fontId="54" fillId="6" borderId="47" xfId="0" applyFont="1" applyFill="1" applyBorder="1" applyAlignment="1" applyProtection="1">
      <alignment horizontal="center" vertical="center" wrapText="1"/>
    </xf>
    <xf numFmtId="0" fontId="55" fillId="6" borderId="43" xfId="0" applyFont="1" applyFill="1" applyBorder="1" applyAlignment="1" applyProtection="1">
      <alignment vertical="center" wrapText="1"/>
    </xf>
    <xf numFmtId="0" fontId="57" fillId="6" borderId="32" xfId="0" applyFont="1" applyFill="1" applyBorder="1" applyAlignment="1" applyProtection="1">
      <alignment horizontal="left" vertical="center"/>
    </xf>
    <xf numFmtId="0" fontId="57" fillId="6" borderId="74" xfId="0" applyFont="1" applyFill="1" applyBorder="1" applyAlignment="1" applyProtection="1">
      <alignment horizontal="center" vertical="center" wrapText="1"/>
    </xf>
    <xf numFmtId="0" fontId="57" fillId="6" borderId="75" xfId="0" applyFont="1" applyFill="1" applyBorder="1" applyAlignment="1" applyProtection="1">
      <alignment horizontal="center" vertical="center" wrapText="1"/>
    </xf>
    <xf numFmtId="0" fontId="57" fillId="6" borderId="76" xfId="0"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186" fontId="109" fillId="12" borderId="124" xfId="9" applyNumberFormat="1" applyFont="1" applyFill="1" applyBorder="1" applyAlignment="1" applyProtection="1">
      <alignment horizontal="center" vertical="center" wrapText="1"/>
    </xf>
    <xf numFmtId="186" fontId="109" fillId="12" borderId="130" xfId="9" applyNumberFormat="1" applyFont="1" applyFill="1" applyBorder="1" applyAlignment="1" applyProtection="1">
      <alignment horizontal="center" vertical="center" wrapText="1"/>
    </xf>
    <xf numFmtId="0" fontId="57" fillId="6" borderId="84" xfId="0" applyFont="1" applyFill="1" applyBorder="1" applyAlignment="1" applyProtection="1">
      <alignment horizontal="center" vertical="center"/>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48"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0" fillId="0" borderId="0" xfId="0" applyFont="1">
      <alignment vertical="center"/>
    </xf>
    <xf numFmtId="0" fontId="81" fillId="0" borderId="1" xfId="0" applyFont="1" applyBorder="1" applyAlignment="1" applyProtection="1">
      <alignment horizontal="center" vertical="center" wrapText="1"/>
      <protection locked="0"/>
    </xf>
    <xf numFmtId="177" fontId="81" fillId="0" borderId="1" xfId="1" applyNumberFormat="1" applyFont="1" applyFill="1" applyBorder="1" applyAlignment="1" applyProtection="1">
      <alignment vertical="center"/>
      <protection locked="0" hidden="1"/>
    </xf>
    <xf numFmtId="183" fontId="255" fillId="0" borderId="1" xfId="0" applyNumberFormat="1" applyFont="1" applyBorder="1" applyAlignment="1" applyProtection="1">
      <alignment horizontal="center" vertical="center"/>
      <protection locked="0"/>
    </xf>
    <xf numFmtId="0" fontId="193" fillId="0" borderId="1" xfId="0" applyFont="1" applyFill="1" applyBorder="1" applyAlignment="1" applyProtection="1">
      <alignment horizontal="center" vertical="center"/>
      <protection locked="0"/>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3" xfId="0" applyFont="1" applyFill="1" applyBorder="1" applyAlignment="1" applyProtection="1">
      <alignment horizontal="lef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6" fillId="6" borderId="47" xfId="0" applyFont="1" applyFill="1" applyBorder="1" applyAlignment="1" applyProtection="1">
      <alignment horizontal="center" vertical="center"/>
    </xf>
    <xf numFmtId="0" fontId="106" fillId="6" borderId="1"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09" fillId="6" borderId="1" xfId="0" applyFont="1" applyFill="1" applyBorder="1" applyAlignment="1" applyProtection="1">
      <alignment horizontal="center" vertical="center" wrapText="1"/>
    </xf>
    <xf numFmtId="192" fontId="135" fillId="6" borderId="1" xfId="0" applyNumberFormat="1"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53" fillId="12" borderId="155" xfId="9"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29" xfId="0" applyFont="1" applyFill="1" applyBorder="1" applyAlignment="1" applyProtection="1">
      <alignment horizontal="center" vertical="center" wrapText="1"/>
    </xf>
    <xf numFmtId="0" fontId="57" fillId="6" borderId="39" xfId="0" applyFont="1" applyFill="1" applyBorder="1" applyAlignment="1" applyProtection="1">
      <alignment horizontal="center"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196850</xdr:colOff>
      <xdr:row>0</xdr:row>
      <xdr:rowOff>139700</xdr:rowOff>
    </xdr:from>
    <xdr:to>
      <xdr:col>9</xdr:col>
      <xdr:colOff>82550</xdr:colOff>
      <xdr:row>11</xdr:row>
      <xdr:rowOff>38162</xdr:rowOff>
    </xdr:to>
    <xdr:pic>
      <xdr:nvPicPr>
        <xdr:cNvPr id="2" name="图片 1">
          <a:extLst>
            <a:ext uri="{FF2B5EF4-FFF2-40B4-BE49-F238E27FC236}">
              <a16:creationId xmlns:a16="http://schemas.microsoft.com/office/drawing/2014/main" id="{04905269-5771-48BC-9D76-926D9E86D97D}"/>
            </a:ext>
          </a:extLst>
        </xdr:cNvPr>
        <xdr:cNvPicPr>
          <a:picLocks noChangeAspect="1"/>
        </xdr:cNvPicPr>
      </xdr:nvPicPr>
      <xdr:blipFill>
        <a:blip xmlns:r="http://schemas.openxmlformats.org/officeDocument/2006/relationships" r:embed="rId1"/>
        <a:stretch>
          <a:fillRect/>
        </a:stretch>
      </xdr:blipFill>
      <xdr:spPr>
        <a:xfrm>
          <a:off x="196850" y="139700"/>
          <a:ext cx="5372100" cy="1854262"/>
        </a:xfrm>
        <a:prstGeom prst="rect">
          <a:avLst/>
        </a:prstGeom>
      </xdr:spPr>
    </xdr:pic>
    <xdr:clientData/>
  </xdr:twoCellAnchor>
  <xdr:twoCellAnchor editAs="oneCell">
    <xdr:from>
      <xdr:col>0</xdr:col>
      <xdr:colOff>158751</xdr:colOff>
      <xdr:row>11</xdr:row>
      <xdr:rowOff>69850</xdr:rowOff>
    </xdr:from>
    <xdr:to>
      <xdr:col>9</xdr:col>
      <xdr:colOff>171451</xdr:colOff>
      <xdr:row>22</xdr:row>
      <xdr:rowOff>66433</xdr:rowOff>
    </xdr:to>
    <xdr:pic>
      <xdr:nvPicPr>
        <xdr:cNvPr id="3" name="图片 2">
          <a:extLst>
            <a:ext uri="{FF2B5EF4-FFF2-40B4-BE49-F238E27FC236}">
              <a16:creationId xmlns:a16="http://schemas.microsoft.com/office/drawing/2014/main" id="{CB4725FE-1D23-4D6B-9894-CBC142E62EE8}"/>
            </a:ext>
          </a:extLst>
        </xdr:cNvPr>
        <xdr:cNvPicPr>
          <a:picLocks noChangeAspect="1"/>
        </xdr:cNvPicPr>
      </xdr:nvPicPr>
      <xdr:blipFill>
        <a:blip xmlns:r="http://schemas.openxmlformats.org/officeDocument/2006/relationships" r:embed="rId2"/>
        <a:stretch>
          <a:fillRect/>
        </a:stretch>
      </xdr:blipFill>
      <xdr:spPr>
        <a:xfrm>
          <a:off x="158751" y="2025650"/>
          <a:ext cx="5499100" cy="1952383"/>
        </a:xfrm>
        <a:prstGeom prst="rect">
          <a:avLst/>
        </a:prstGeom>
      </xdr:spPr>
    </xdr:pic>
    <xdr:clientData/>
  </xdr:twoCellAnchor>
  <xdr:twoCellAnchor editAs="oneCell">
    <xdr:from>
      <xdr:col>9</xdr:col>
      <xdr:colOff>171450</xdr:colOff>
      <xdr:row>6</xdr:row>
      <xdr:rowOff>95250</xdr:rowOff>
    </xdr:from>
    <xdr:to>
      <xdr:col>17</xdr:col>
      <xdr:colOff>586409</xdr:colOff>
      <xdr:row>20</xdr:row>
      <xdr:rowOff>59442</xdr:rowOff>
    </xdr:to>
    <xdr:pic>
      <xdr:nvPicPr>
        <xdr:cNvPr id="4" name="图片 3">
          <a:extLst>
            <a:ext uri="{FF2B5EF4-FFF2-40B4-BE49-F238E27FC236}">
              <a16:creationId xmlns:a16="http://schemas.microsoft.com/office/drawing/2014/main" id="{6387A23B-ED12-48B8-8AC6-83DFE7581302}"/>
            </a:ext>
          </a:extLst>
        </xdr:cNvPr>
        <xdr:cNvPicPr>
          <a:picLocks noChangeAspect="1"/>
        </xdr:cNvPicPr>
      </xdr:nvPicPr>
      <xdr:blipFill>
        <a:blip xmlns:r="http://schemas.openxmlformats.org/officeDocument/2006/relationships" r:embed="rId3"/>
        <a:stretch>
          <a:fillRect/>
        </a:stretch>
      </xdr:blipFill>
      <xdr:spPr>
        <a:xfrm>
          <a:off x="5657850" y="1162050"/>
          <a:ext cx="5291759" cy="2453392"/>
        </a:xfrm>
        <a:prstGeom prst="rect">
          <a:avLst/>
        </a:prstGeom>
      </xdr:spPr>
    </xdr:pic>
    <xdr:clientData/>
  </xdr:twoCellAnchor>
  <xdr:twoCellAnchor editAs="oneCell">
    <xdr:from>
      <xdr:col>0</xdr:col>
      <xdr:colOff>215901</xdr:colOff>
      <xdr:row>22</xdr:row>
      <xdr:rowOff>76200</xdr:rowOff>
    </xdr:from>
    <xdr:to>
      <xdr:col>10</xdr:col>
      <xdr:colOff>476251</xdr:colOff>
      <xdr:row>45</xdr:row>
      <xdr:rowOff>73025</xdr:rowOff>
    </xdr:to>
    <xdr:pic>
      <xdr:nvPicPr>
        <xdr:cNvPr id="5" name="图片 4">
          <a:extLst>
            <a:ext uri="{FF2B5EF4-FFF2-40B4-BE49-F238E27FC236}">
              <a16:creationId xmlns:a16="http://schemas.microsoft.com/office/drawing/2014/main" id="{7DB539AB-FE3D-47A2-AA2D-A471287AD74F}"/>
            </a:ext>
          </a:extLst>
        </xdr:cNvPr>
        <xdr:cNvPicPr>
          <a:picLocks noChangeAspect="1"/>
        </xdr:cNvPicPr>
      </xdr:nvPicPr>
      <xdr:blipFill>
        <a:blip xmlns:r="http://schemas.openxmlformats.org/officeDocument/2006/relationships" r:embed="rId4"/>
        <a:stretch>
          <a:fillRect/>
        </a:stretch>
      </xdr:blipFill>
      <xdr:spPr>
        <a:xfrm>
          <a:off x="215901" y="3987800"/>
          <a:ext cx="6356350" cy="4086225"/>
        </a:xfrm>
        <a:prstGeom prst="rect">
          <a:avLst/>
        </a:prstGeom>
      </xdr:spPr>
    </xdr:pic>
    <xdr:clientData/>
  </xdr:twoCellAnchor>
  <xdr:twoCellAnchor editAs="oneCell">
    <xdr:from>
      <xdr:col>10</xdr:col>
      <xdr:colOff>412750</xdr:colOff>
      <xdr:row>20</xdr:row>
      <xdr:rowOff>95250</xdr:rowOff>
    </xdr:from>
    <xdr:to>
      <xdr:col>20</xdr:col>
      <xdr:colOff>192688</xdr:colOff>
      <xdr:row>44</xdr:row>
      <xdr:rowOff>80840</xdr:rowOff>
    </xdr:to>
    <xdr:pic>
      <xdr:nvPicPr>
        <xdr:cNvPr id="6" name="图片 5">
          <a:extLst>
            <a:ext uri="{FF2B5EF4-FFF2-40B4-BE49-F238E27FC236}">
              <a16:creationId xmlns:a16="http://schemas.microsoft.com/office/drawing/2014/main" id="{75EECCB2-0BCC-4E1F-83C0-5A193DB737A9}"/>
            </a:ext>
          </a:extLst>
        </xdr:cNvPr>
        <xdr:cNvPicPr>
          <a:picLocks noChangeAspect="1"/>
        </xdr:cNvPicPr>
      </xdr:nvPicPr>
      <xdr:blipFill>
        <a:blip xmlns:r="http://schemas.openxmlformats.org/officeDocument/2006/relationships" r:embed="rId5"/>
        <a:stretch>
          <a:fillRect/>
        </a:stretch>
      </xdr:blipFill>
      <xdr:spPr>
        <a:xfrm>
          <a:off x="6508750" y="3651250"/>
          <a:ext cx="5875938" cy="4252790"/>
        </a:xfrm>
        <a:prstGeom prst="rect">
          <a:avLst/>
        </a:prstGeom>
      </xdr:spPr>
    </xdr:pic>
    <xdr:clientData/>
  </xdr:twoCellAnchor>
  <xdr:twoCellAnchor editAs="oneCell">
    <xdr:from>
      <xdr:col>0</xdr:col>
      <xdr:colOff>196850</xdr:colOff>
      <xdr:row>45</xdr:row>
      <xdr:rowOff>88900</xdr:rowOff>
    </xdr:from>
    <xdr:to>
      <xdr:col>14</xdr:col>
      <xdr:colOff>214088</xdr:colOff>
      <xdr:row>60</xdr:row>
      <xdr:rowOff>68300</xdr:rowOff>
    </xdr:to>
    <xdr:pic>
      <xdr:nvPicPr>
        <xdr:cNvPr id="7" name="图片 6">
          <a:extLst>
            <a:ext uri="{FF2B5EF4-FFF2-40B4-BE49-F238E27FC236}">
              <a16:creationId xmlns:a16="http://schemas.microsoft.com/office/drawing/2014/main" id="{465BFAC2-F666-4DF9-9DBC-80660957F2D9}"/>
            </a:ext>
          </a:extLst>
        </xdr:cNvPr>
        <xdr:cNvPicPr>
          <a:picLocks noChangeAspect="1"/>
        </xdr:cNvPicPr>
      </xdr:nvPicPr>
      <xdr:blipFill>
        <a:blip xmlns:r="http://schemas.openxmlformats.org/officeDocument/2006/relationships" r:embed="rId6"/>
        <a:stretch>
          <a:fillRect/>
        </a:stretch>
      </xdr:blipFill>
      <xdr:spPr>
        <a:xfrm>
          <a:off x="196850" y="8089900"/>
          <a:ext cx="8551638" cy="2646400"/>
        </a:xfrm>
        <a:prstGeom prst="rect">
          <a:avLst/>
        </a:prstGeom>
      </xdr:spPr>
    </xdr:pic>
    <xdr:clientData/>
  </xdr:twoCellAnchor>
  <xdr:twoCellAnchor editAs="oneCell">
    <xdr:from>
      <xdr:col>0</xdr:col>
      <xdr:colOff>304800</xdr:colOff>
      <xdr:row>60</xdr:row>
      <xdr:rowOff>101600</xdr:rowOff>
    </xdr:from>
    <xdr:to>
      <xdr:col>14</xdr:col>
      <xdr:colOff>417371</xdr:colOff>
      <xdr:row>85</xdr:row>
      <xdr:rowOff>21772</xdr:rowOff>
    </xdr:to>
    <xdr:pic>
      <xdr:nvPicPr>
        <xdr:cNvPr id="8" name="图片 7">
          <a:extLst>
            <a:ext uri="{FF2B5EF4-FFF2-40B4-BE49-F238E27FC236}">
              <a16:creationId xmlns:a16="http://schemas.microsoft.com/office/drawing/2014/main" id="{A82A731D-93C3-4196-AF47-FFA490C57567}"/>
            </a:ext>
          </a:extLst>
        </xdr:cNvPr>
        <xdr:cNvPicPr>
          <a:picLocks noChangeAspect="1"/>
        </xdr:cNvPicPr>
      </xdr:nvPicPr>
      <xdr:blipFill>
        <a:blip xmlns:r="http://schemas.openxmlformats.org/officeDocument/2006/relationships" r:embed="rId7"/>
        <a:stretch>
          <a:fillRect/>
        </a:stretch>
      </xdr:blipFill>
      <xdr:spPr>
        <a:xfrm>
          <a:off x="304800" y="10769600"/>
          <a:ext cx="8646971" cy="4365172"/>
        </a:xfrm>
        <a:prstGeom prst="rect">
          <a:avLst/>
        </a:prstGeom>
      </xdr:spPr>
    </xdr:pic>
    <xdr:clientData/>
  </xdr:twoCellAnchor>
  <xdr:twoCellAnchor editAs="oneCell">
    <xdr:from>
      <xdr:col>0</xdr:col>
      <xdr:colOff>273050</xdr:colOff>
      <xdr:row>85</xdr:row>
      <xdr:rowOff>19050</xdr:rowOff>
    </xdr:from>
    <xdr:to>
      <xdr:col>14</xdr:col>
      <xdr:colOff>425450</xdr:colOff>
      <xdr:row>101</xdr:row>
      <xdr:rowOff>3598</xdr:rowOff>
    </xdr:to>
    <xdr:pic>
      <xdr:nvPicPr>
        <xdr:cNvPr id="9" name="图片 8">
          <a:extLst>
            <a:ext uri="{FF2B5EF4-FFF2-40B4-BE49-F238E27FC236}">
              <a16:creationId xmlns:a16="http://schemas.microsoft.com/office/drawing/2014/main" id="{19642474-C90F-4463-A190-DF41CA438441}"/>
            </a:ext>
          </a:extLst>
        </xdr:cNvPr>
        <xdr:cNvPicPr>
          <a:picLocks noChangeAspect="1"/>
        </xdr:cNvPicPr>
      </xdr:nvPicPr>
      <xdr:blipFill>
        <a:blip xmlns:r="http://schemas.openxmlformats.org/officeDocument/2006/relationships" r:embed="rId8"/>
        <a:stretch>
          <a:fillRect/>
        </a:stretch>
      </xdr:blipFill>
      <xdr:spPr>
        <a:xfrm>
          <a:off x="273050" y="15132050"/>
          <a:ext cx="8686800" cy="2829348"/>
        </a:xfrm>
        <a:prstGeom prst="rect">
          <a:avLst/>
        </a:prstGeom>
      </xdr:spPr>
    </xdr:pic>
    <xdr:clientData/>
  </xdr:twoCellAnchor>
  <xdr:twoCellAnchor editAs="oneCell">
    <xdr:from>
      <xdr:col>1</xdr:col>
      <xdr:colOff>0</xdr:colOff>
      <xdr:row>102</xdr:row>
      <xdr:rowOff>0</xdr:rowOff>
    </xdr:from>
    <xdr:to>
      <xdr:col>8</xdr:col>
      <xdr:colOff>466133</xdr:colOff>
      <xdr:row>110</xdr:row>
      <xdr:rowOff>72838</xdr:rowOff>
    </xdr:to>
    <xdr:pic>
      <xdr:nvPicPr>
        <xdr:cNvPr id="10" name="图片 9">
          <a:extLst>
            <a:ext uri="{FF2B5EF4-FFF2-40B4-BE49-F238E27FC236}">
              <a16:creationId xmlns:a16="http://schemas.microsoft.com/office/drawing/2014/main" id="{CA93DB37-9A12-4572-A927-AE466948D448}"/>
            </a:ext>
          </a:extLst>
        </xdr:cNvPr>
        <xdr:cNvPicPr>
          <a:picLocks noChangeAspect="1"/>
        </xdr:cNvPicPr>
      </xdr:nvPicPr>
      <xdr:blipFill>
        <a:blip xmlns:r="http://schemas.openxmlformats.org/officeDocument/2006/relationships" r:embed="rId9"/>
        <a:stretch>
          <a:fillRect/>
        </a:stretch>
      </xdr:blipFill>
      <xdr:spPr>
        <a:xfrm>
          <a:off x="609600" y="18135600"/>
          <a:ext cx="4733333" cy="1495238"/>
        </a:xfrm>
        <a:prstGeom prst="rect">
          <a:avLst/>
        </a:prstGeom>
      </xdr:spPr>
    </xdr:pic>
    <xdr:clientData/>
  </xdr:twoCellAnchor>
  <xdr:twoCellAnchor editAs="oneCell">
    <xdr:from>
      <xdr:col>9</xdr:col>
      <xdr:colOff>0</xdr:colOff>
      <xdr:row>102</xdr:row>
      <xdr:rowOff>0</xdr:rowOff>
    </xdr:from>
    <xdr:to>
      <xdr:col>16</xdr:col>
      <xdr:colOff>170895</xdr:colOff>
      <xdr:row>111</xdr:row>
      <xdr:rowOff>56943</xdr:rowOff>
    </xdr:to>
    <xdr:pic>
      <xdr:nvPicPr>
        <xdr:cNvPr id="11" name="图片 10">
          <a:extLst>
            <a:ext uri="{FF2B5EF4-FFF2-40B4-BE49-F238E27FC236}">
              <a16:creationId xmlns:a16="http://schemas.microsoft.com/office/drawing/2014/main" id="{257AEA28-296B-4FF0-BF74-4C524FC5D806}"/>
            </a:ext>
          </a:extLst>
        </xdr:cNvPr>
        <xdr:cNvPicPr>
          <a:picLocks noChangeAspect="1"/>
        </xdr:cNvPicPr>
      </xdr:nvPicPr>
      <xdr:blipFill>
        <a:blip xmlns:r="http://schemas.openxmlformats.org/officeDocument/2006/relationships" r:embed="rId10"/>
        <a:stretch>
          <a:fillRect/>
        </a:stretch>
      </xdr:blipFill>
      <xdr:spPr>
        <a:xfrm>
          <a:off x="5486400" y="18135600"/>
          <a:ext cx="4438095" cy="1657143"/>
        </a:xfrm>
        <a:prstGeom prst="rect">
          <a:avLst/>
        </a:prstGeom>
      </xdr:spPr>
    </xdr:pic>
    <xdr:clientData/>
  </xdr:twoCellAnchor>
  <xdr:twoCellAnchor editAs="oneCell">
    <xdr:from>
      <xdr:col>1</xdr:col>
      <xdr:colOff>18730</xdr:colOff>
      <xdr:row>111</xdr:row>
      <xdr:rowOff>38100</xdr:rowOff>
    </xdr:from>
    <xdr:to>
      <xdr:col>13</xdr:col>
      <xdr:colOff>553441</xdr:colOff>
      <xdr:row>127</xdr:row>
      <xdr:rowOff>50799</xdr:rowOff>
    </xdr:to>
    <xdr:pic>
      <xdr:nvPicPr>
        <xdr:cNvPr id="12" name="图片 11">
          <a:extLst>
            <a:ext uri="{FF2B5EF4-FFF2-40B4-BE49-F238E27FC236}">
              <a16:creationId xmlns:a16="http://schemas.microsoft.com/office/drawing/2014/main" id="{B6091706-8FE7-4E10-B928-A5875FFA08EE}"/>
            </a:ext>
          </a:extLst>
        </xdr:cNvPr>
        <xdr:cNvPicPr>
          <a:picLocks noChangeAspect="1"/>
        </xdr:cNvPicPr>
      </xdr:nvPicPr>
      <xdr:blipFill>
        <a:blip xmlns:r="http://schemas.openxmlformats.org/officeDocument/2006/relationships" r:embed="rId11"/>
        <a:stretch>
          <a:fillRect/>
        </a:stretch>
      </xdr:blipFill>
      <xdr:spPr>
        <a:xfrm>
          <a:off x="628330" y="19773900"/>
          <a:ext cx="7849911" cy="2857499"/>
        </a:xfrm>
        <a:prstGeom prst="rect">
          <a:avLst/>
        </a:prstGeom>
      </xdr:spPr>
    </xdr:pic>
    <xdr:clientData/>
  </xdr:twoCellAnchor>
  <xdr:twoCellAnchor editAs="oneCell">
    <xdr:from>
      <xdr:col>1</xdr:col>
      <xdr:colOff>5233</xdr:colOff>
      <xdr:row>127</xdr:row>
      <xdr:rowOff>120651</xdr:rowOff>
    </xdr:from>
    <xdr:to>
      <xdr:col>14</xdr:col>
      <xdr:colOff>353921</xdr:colOff>
      <xdr:row>153</xdr:row>
      <xdr:rowOff>133351</xdr:rowOff>
    </xdr:to>
    <xdr:pic>
      <xdr:nvPicPr>
        <xdr:cNvPr id="13" name="图片 12">
          <a:extLst>
            <a:ext uri="{FF2B5EF4-FFF2-40B4-BE49-F238E27FC236}">
              <a16:creationId xmlns:a16="http://schemas.microsoft.com/office/drawing/2014/main" id="{74BB2721-AFF0-4CF8-9E7D-A5E8AAE6B4A8}"/>
            </a:ext>
          </a:extLst>
        </xdr:cNvPr>
        <xdr:cNvPicPr>
          <a:picLocks noChangeAspect="1"/>
        </xdr:cNvPicPr>
      </xdr:nvPicPr>
      <xdr:blipFill>
        <a:blip xmlns:r="http://schemas.openxmlformats.org/officeDocument/2006/relationships" r:embed="rId12"/>
        <a:stretch>
          <a:fillRect/>
        </a:stretch>
      </xdr:blipFill>
      <xdr:spPr>
        <a:xfrm>
          <a:off x="614833" y="22701251"/>
          <a:ext cx="8273488" cy="46355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584" customWidth="1"/>
    <col min="2" max="2" width="81" style="1601" customWidth="1"/>
    <col min="3" max="16384" width="9" style="1599"/>
  </cols>
  <sheetData>
    <row r="1" spans="1:2" s="1587" customFormat="1" ht="16" thickBot="1">
      <c r="A1" s="1586" t="s">
        <v>1214</v>
      </c>
      <c r="B1" s="1585" t="s">
        <v>1293</v>
      </c>
    </row>
    <row r="2" spans="1:2" s="1590" customFormat="1" ht="15.5" thickTop="1">
      <c r="A2" s="1588" t="s">
        <v>1215</v>
      </c>
      <c r="B2" s="1589" t="str">
        <f>'预评函-封皮'!B37:I37</f>
        <v>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5" thickBot="1">
      <c r="A5" s="1594" t="s">
        <v>1218</v>
      </c>
      <c r="B5" s="1595" t="str">
        <f>'预评函-封皮'!B49</f>
        <v>康正预评字号</v>
      </c>
    </row>
    <row r="6" spans="1:2" s="1590" customFormat="1" ht="15.5" thickTop="1">
      <c r="A6" s="1588" t="s">
        <v>1219</v>
      </c>
      <c r="B6" s="1589" t="str">
        <f>'预评函-1'!A4</f>
        <v>受贵公司委托，我公司对进行了预评估。</v>
      </c>
    </row>
    <row r="7" spans="1:2" s="1593" customFormat="1">
      <c r="A7" s="1591" t="s">
        <v>1259</v>
      </c>
      <c r="B7" s="1592" t="str">
        <f>'预评函-1'!A7</f>
        <v>估价对象为房地产，为所有。根据《国有土地使用证》[]，估价对象（分摊）出让国有建设用地使用权面积为0平方米，建筑面积为3000.73平方米。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估价对象为房地产,属开发建设的，该项目尚在开发建设中。根据《国有土地使用证》[]，估价对象（分摊）出让国有建设用地使用权面积为0平方米，规划建筑面积为3000.73平方米。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2020年2月11日</v>
      </c>
    </row>
    <row r="13" spans="1:2" s="1593" customFormat="1">
      <c r="A13" s="1591" t="s">
        <v>1222</v>
      </c>
      <c r="B13" s="1592" t="str">
        <f>'预评函-1'!A18</f>
        <v>本次估价的“房地产价值”是指在正常市场情况下，在价值时点2020年2月11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5" thickBot="1">
      <c r="A18" s="1594" t="s">
        <v>1227</v>
      </c>
      <c r="B18" s="1595" t="str">
        <f>'预评函-1'!A24</f>
        <v>本次评估采用的主估价方法为比较法和收益法。</v>
      </c>
    </row>
    <row r="19" spans="1:2" s="1590" customFormat="1" ht="15.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22407</v>
      </c>
    </row>
    <row r="21" spans="1:2" s="1593" customFormat="1">
      <c r="A21" s="1591" t="s">
        <v>1230</v>
      </c>
      <c r="B21" s="1592">
        <f ca="1">'预评函-2'!D7</f>
        <v>74672</v>
      </c>
    </row>
    <row r="22" spans="1:2" s="1593" customFormat="1">
      <c r="A22" s="1591" t="s">
        <v>1231</v>
      </c>
      <c r="B22" s="1592" t="str">
        <f ca="1">'预评函-2'!D6</f>
        <v>贰亿贰仟肆佰零柒万元整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22407</v>
      </c>
    </row>
    <row r="31" spans="1:2" s="1593" customFormat="1">
      <c r="A31" s="1591" t="s">
        <v>1269</v>
      </c>
      <c r="B31" s="1592">
        <f ca="1">'预评函-2'!D15</f>
        <v>74672</v>
      </c>
    </row>
    <row r="32" spans="1:2" s="1593" customFormat="1">
      <c r="A32" s="1591" t="s">
        <v>1236</v>
      </c>
      <c r="B32" s="1592" t="str">
        <f ca="1">'预评函-2'!D14</f>
        <v>贰亿贰仟肆佰零柒万元整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房地产</v>
      </c>
    </row>
    <row r="42" spans="1:2" s="1593" customFormat="1" ht="30">
      <c r="A42" s="1591" t="s">
        <v>1283</v>
      </c>
      <c r="B42" s="1592" t="str">
        <f>'预评函-3'!B2</f>
        <v>建筑面积</v>
      </c>
    </row>
    <row r="43" spans="1:2" s="1593" customFormat="1">
      <c r="A43" s="1591" t="s">
        <v>1284</v>
      </c>
      <c r="B43" s="1592">
        <f>'预评函-3'!B4</f>
        <v>3000.7300000000005</v>
      </c>
    </row>
    <row r="44" spans="1:2" s="1593" customFormat="1" ht="30">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5" thickBot="1">
      <c r="A57" s="1594" t="s">
        <v>1292</v>
      </c>
      <c r="B57" s="1595" t="str">
        <f>'预评函-3'!A6</f>
        <v>估价师知悉的法定优先受偿款</v>
      </c>
    </row>
    <row r="58" spans="1:2" s="1590" customFormat="1" ht="15.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5" thickBot="1">
      <c r="A69" s="1594" t="s">
        <v>1254</v>
      </c>
      <c r="B69" s="1596">
        <f>'预评函-4'!C31</f>
        <v>42551</v>
      </c>
    </row>
    <row r="70" spans="1:2" ht="15.5" thickTop="1">
      <c r="A70" s="1597" t="s">
        <v>1255</v>
      </c>
      <c r="B70" s="1598">
        <f>'预评函-4'!A4</f>
        <v>0</v>
      </c>
    </row>
    <row r="71" spans="1:2">
      <c r="A71" s="1591" t="s">
        <v>1256</v>
      </c>
      <c r="B71" s="1592">
        <f>'预评函-4'!B4</f>
        <v>0</v>
      </c>
    </row>
    <row r="72" spans="1:2">
      <c r="A72" s="1591" t="s">
        <v>1257</v>
      </c>
      <c r="B72" s="1600">
        <f>'预评函-4'!A5</f>
        <v>0</v>
      </c>
    </row>
    <row r="73" spans="1:2" s="1587" customFormat="1" ht="15.5" thickBot="1">
      <c r="A73" s="1594" t="s">
        <v>1258</v>
      </c>
      <c r="B73" s="1595">
        <f>'预评函-4'!B5</f>
        <v>0</v>
      </c>
    </row>
    <row r="74" spans="1:2" ht="15.5" thickTop="1">
      <c r="A74" s="1584" t="s">
        <v>1294</v>
      </c>
      <c r="B74" s="1601"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17" sqref="D17"/>
    </sheetView>
  </sheetViews>
  <sheetFormatPr defaultColWidth="9" defaultRowHeight="14"/>
  <cols>
    <col min="1" max="1" width="13.453125" style="2023" customWidth="1"/>
    <col min="2" max="2" width="23.1796875" style="1974" customWidth="1"/>
    <col min="3" max="3" width="13" style="2018" customWidth="1"/>
    <col min="4" max="4" width="5.81640625" style="2015" customWidth="1"/>
    <col min="5" max="5" width="7.08984375" style="2015" customWidth="1"/>
    <col min="6" max="6" width="10.6328125" style="2015" customWidth="1"/>
    <col min="7" max="7" width="7.453125" style="2015" customWidth="1"/>
    <col min="8" max="8" width="9" style="2018" customWidth="1"/>
    <col min="9" max="9" width="11.6328125" style="2018" customWidth="1"/>
    <col min="10" max="10" width="9" style="2018" customWidth="1"/>
    <col min="11" max="19" width="9" style="2015" customWidth="1"/>
    <col min="20" max="23" width="9" style="2018" customWidth="1"/>
    <col min="24" max="24" width="21.08984375" style="1974" customWidth="1"/>
    <col min="25" max="16384" width="9" style="1974"/>
  </cols>
  <sheetData>
    <row r="1" spans="1:23" s="2012" customFormat="1" ht="28">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3111</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33"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3"/>
      <c r="B54" s="2021" t="s">
        <v>860</v>
      </c>
      <c r="C54" s="2018" t="s">
        <v>1276</v>
      </c>
    </row>
    <row r="55" spans="1:4">
      <c r="A55" s="3033"/>
      <c r="B55" s="2021" t="s">
        <v>861</v>
      </c>
      <c r="C55" s="2018" t="s">
        <v>1277</v>
      </c>
    </row>
    <row r="56" spans="1:4">
      <c r="A56" s="3033"/>
      <c r="B56" s="2021" t="s">
        <v>862</v>
      </c>
      <c r="C56" s="2018" t="s">
        <v>1281</v>
      </c>
    </row>
    <row r="57" spans="1:4">
      <c r="A57" s="3033"/>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Normal="100" zoomScaleSheetLayoutView="100" workbookViewId="0">
      <selection activeCell="B38" sqref="B38"/>
    </sheetView>
  </sheetViews>
  <sheetFormatPr defaultColWidth="10" defaultRowHeight="18" customHeight="1"/>
  <cols>
    <col min="1" max="1" width="14.90625" style="2031" customWidth="1"/>
    <col min="2" max="2" width="10" style="2031" customWidth="1"/>
    <col min="3" max="3" width="11.453125" style="2031" customWidth="1"/>
    <col min="4" max="4" width="11.54296875" style="2031" customWidth="1"/>
    <col min="5" max="6" width="10" style="2031" customWidth="1"/>
    <col min="7" max="7" width="10.81640625" style="2031" customWidth="1"/>
    <col min="8" max="8" width="10" style="2031" customWidth="1"/>
    <col min="9" max="9" width="11.0898437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34" t="str">
        <f>IF(B10="北京市","北京市",C10)&amp;F10&amp;IF(结果表!G1="在建","出让国有建设用地使用权及在建建筑物",IF(结果表!G1="土地","出让国有建设用地使用权",))&amp;B9&amp;"预评估"</f>
        <v>预评估</v>
      </c>
      <c r="C1" s="3035"/>
      <c r="D1" s="3035"/>
      <c r="E1" s="3035"/>
      <c r="F1" s="3035"/>
      <c r="G1" s="3035"/>
      <c r="H1" s="3035"/>
      <c r="I1" s="3036"/>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房地产</v>
      </c>
    </row>
    <row r="3" spans="1:19" ht="18" customHeight="1">
      <c r="A3" s="2034" t="s">
        <v>1772</v>
      </c>
      <c r="B3" s="2035"/>
      <c r="C3" s="2036" t="s">
        <v>1773</v>
      </c>
      <c r="D3" s="2035">
        <v>43872</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c r="C8" s="2055"/>
      <c r="D8" s="3037" t="s">
        <v>1779</v>
      </c>
      <c r="E8" s="2056"/>
      <c r="F8" s="2057"/>
      <c r="G8" s="2025"/>
      <c r="H8" s="2025"/>
      <c r="I8" s="2025"/>
      <c r="J8" s="2041"/>
      <c r="K8" s="2042"/>
      <c r="L8" s="2027"/>
      <c r="M8" s="2027"/>
      <c r="N8" s="2028"/>
      <c r="O8" s="2029"/>
      <c r="P8" s="2028"/>
      <c r="Q8" s="2028"/>
      <c r="R8" s="2028"/>
    </row>
    <row r="9" spans="1:19" ht="18" customHeight="1" thickBot="1">
      <c r="A9" s="2039" t="s">
        <v>1780</v>
      </c>
      <c r="B9" s="2058"/>
      <c r="C9" s="2059"/>
      <c r="D9" s="3038"/>
      <c r="E9" s="2058"/>
      <c r="F9" s="2060"/>
      <c r="G9" s="2061"/>
      <c r="H9" s="2061"/>
      <c r="I9" s="2061"/>
      <c r="J9" s="2041"/>
      <c r="K9" s="2053"/>
      <c r="L9" s="2027"/>
      <c r="M9" s="2027"/>
      <c r="N9" s="2028"/>
      <c r="O9" s="2029"/>
      <c r="P9" s="2028"/>
      <c r="Q9" s="2028"/>
      <c r="R9" s="2028"/>
    </row>
    <row r="10" spans="1:19" ht="18" customHeight="1" thickTop="1">
      <c r="A10" s="2062" t="s">
        <v>1781</v>
      </c>
      <c r="B10" s="2063"/>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3054</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v>54459</v>
      </c>
      <c r="F13" s="2079"/>
      <c r="G13" s="2079"/>
      <c r="H13" s="2079"/>
      <c r="I13" s="1047"/>
      <c r="J13" s="2041"/>
      <c r="K13" s="2053"/>
      <c r="L13" s="2027"/>
      <c r="M13" s="2027"/>
      <c r="N13" s="2028"/>
      <c r="O13" s="2029"/>
      <c r="P13" s="2028"/>
      <c r="Q13" s="2028"/>
      <c r="R13" s="2028"/>
    </row>
    <row r="14" spans="1:19" ht="18" customHeight="1">
      <c r="A14" s="2076"/>
      <c r="B14" s="2077"/>
      <c r="C14" s="2078" t="s">
        <v>1793</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f>IF(B12="出让",IF(E13="","",ROUNDDOWN(MIN((E13-$D$3)/365,E14),2)),E14)</f>
        <v>29</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1795</v>
      </c>
      <c r="B16" s="3044"/>
      <c r="C16" s="3045"/>
      <c r="D16" s="3046"/>
      <c r="E16" s="2085" t="s">
        <v>1796</v>
      </c>
      <c r="F16" s="3047"/>
      <c r="G16" s="3048"/>
      <c r="H16" s="3048"/>
      <c r="I16" s="3049"/>
      <c r="J16" s="2028"/>
      <c r="K16" s="2082"/>
      <c r="L16" s="2083"/>
      <c r="M16" s="2083"/>
      <c r="N16" s="2084"/>
      <c r="O16" s="2083"/>
      <c r="P16" s="2084"/>
      <c r="Q16" s="2028"/>
      <c r="R16" s="2028"/>
    </row>
    <row r="17" spans="1:22" ht="18" customHeight="1">
      <c r="A17" s="2086" t="s">
        <v>1797</v>
      </c>
      <c r="B17" s="2034" t="s">
        <v>1798</v>
      </c>
      <c r="C17" s="1054">
        <f>'数据-汇总表'!E3</f>
        <v>3000.7300000000005</v>
      </c>
      <c r="D17" s="2087" t="s">
        <v>1799</v>
      </c>
      <c r="E17" s="3050" t="s">
        <v>1800</v>
      </c>
      <c r="F17" s="3051"/>
      <c r="G17" s="3051"/>
      <c r="H17" s="3051"/>
      <c r="I17" s="3052"/>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53" t="s">
        <v>1803</v>
      </c>
      <c r="F18" s="3054"/>
      <c r="G18" s="3054"/>
      <c r="H18" s="3054"/>
      <c r="I18" s="3055"/>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40" t="s">
        <v>1808</v>
      </c>
      <c r="C20" s="3041"/>
      <c r="D20" s="3042" t="s">
        <v>1809</v>
      </c>
      <c r="E20" s="3043"/>
      <c r="F20" s="2097" t="s">
        <v>1810</v>
      </c>
      <c r="G20" s="2041"/>
      <c r="H20" s="2041"/>
      <c r="I20" s="2041"/>
      <c r="J20" s="2041"/>
      <c r="K20" s="3039"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3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3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57"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57"/>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57"/>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58"/>
      <c r="B30" s="2034" t="s">
        <v>1827</v>
      </c>
      <c r="C30" s="3059"/>
      <c r="D30" s="3060"/>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61"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62"/>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62"/>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56" t="s">
        <v>1837</v>
      </c>
      <c r="T34" s="2134" t="str">
        <f>NUMBERSTRING(7-K34,1)&amp;"通"</f>
        <v>七通</v>
      </c>
      <c r="U34" s="2028"/>
      <c r="V34" s="2028"/>
    </row>
    <row r="35" spans="1:22" ht="18" customHeight="1">
      <c r="A35" s="2135"/>
      <c r="B35" s="3063" t="s">
        <v>1838</v>
      </c>
      <c r="C35" s="3063"/>
      <c r="D35" s="3063"/>
      <c r="E35" s="3063"/>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6"/>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t="s">
        <v>269</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t="s">
        <v>301</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4" sqref="J14"/>
    </sheetView>
  </sheetViews>
  <sheetFormatPr defaultColWidth="8.90625" defaultRowHeight="14"/>
  <cols>
    <col min="1" max="1" width="10.6328125" style="2159" customWidth="1"/>
    <col min="2" max="2" width="11" style="2159" customWidth="1"/>
    <col min="3" max="3" width="10.36328125" style="2159" customWidth="1"/>
    <col min="4" max="4" width="9.08984375" style="2159" customWidth="1"/>
    <col min="5" max="6" width="10" style="2222" customWidth="1"/>
    <col min="7" max="8" width="10" style="2159" customWidth="1"/>
    <col min="9" max="9" width="10.6328125" style="2159" customWidth="1"/>
    <col min="10" max="10" width="9.453125" style="2159" customWidth="1"/>
    <col min="11" max="11" width="11" style="2159" customWidth="1"/>
    <col min="12" max="14" width="9.453125" style="2159" customWidth="1"/>
    <col min="15" max="15" width="9.90625" style="2159" customWidth="1"/>
    <col min="16" max="16" width="9.81640625" style="2159" customWidth="1"/>
    <col min="17" max="17" width="9.36328125" style="2159" customWidth="1"/>
    <col min="18" max="18" width="9.1796875" style="2159" customWidth="1"/>
    <col min="19" max="19" width="10.90625" style="2159" customWidth="1"/>
    <col min="20" max="21" width="10.81640625" style="2159" customWidth="1"/>
    <col min="22" max="22" width="10.90625" style="2159" customWidth="1"/>
    <col min="23" max="27" width="10.81640625" style="2159" customWidth="1"/>
    <col min="28" max="28" width="10.90625" style="2159" customWidth="1"/>
    <col min="29" max="29" width="11" style="2159" bestFit="1" customWidth="1"/>
    <col min="30" max="30" width="10" style="2159" bestFit="1" customWidth="1"/>
    <col min="31" max="31" width="9.81640625" style="2159" customWidth="1"/>
    <col min="32" max="46" width="9.453125" style="2159" customWidth="1"/>
    <col min="47" max="47" width="18.08984375" style="2159" customWidth="1"/>
    <col min="48" max="50" width="9.81640625" style="2159" customWidth="1"/>
    <col min="51" max="55" width="10.453125" style="2159" bestFit="1" customWidth="1"/>
    <col min="56" max="56" width="9.453125" style="2159" bestFit="1" customWidth="1"/>
    <col min="57" max="63" width="9.08984375" style="2159" bestFit="1" customWidth="1"/>
    <col min="64" max="64" width="9.453125" style="2159" bestFit="1" customWidth="1"/>
    <col min="65" max="65" width="9.08984375" style="2159" bestFit="1" customWidth="1"/>
    <col min="66" max="66" width="9.453125" style="2159" bestFit="1" customWidth="1"/>
    <col min="67" max="69" width="9.08984375" style="2159" bestFit="1" customWidth="1"/>
    <col min="70" max="70" width="9.453125" style="2159" bestFit="1" customWidth="1"/>
    <col min="71" max="71" width="9" style="2159" customWidth="1"/>
    <col min="72" max="72" width="9.08984375" style="2159" bestFit="1" customWidth="1"/>
    <col min="73" max="16384" width="8.90625" style="2159"/>
  </cols>
  <sheetData>
    <row r="1" spans="1:72" ht="21">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6">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
      <c r="A3" s="13"/>
      <c r="B3" s="14">
        <f>IF(C3="否",G5-AT5,G5)</f>
        <v>3000.7300000000005</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
      <c r="A5" s="15" t="s">
        <v>1874</v>
      </c>
      <c r="B5" s="1803"/>
      <c r="C5" s="1803"/>
      <c r="D5" s="1806"/>
      <c r="E5" s="16" t="s">
        <v>1</v>
      </c>
      <c r="F5" s="16">
        <f>SUM(F13:F587)</f>
        <v>0</v>
      </c>
      <c r="G5" s="16">
        <f>SUM(G13:G587)</f>
        <v>3000.7300000000005</v>
      </c>
      <c r="H5" s="16">
        <f t="shared" ref="H5:AT5" si="0">SUM(H13:H656)</f>
        <v>3000.7300000000005</v>
      </c>
      <c r="I5" s="16">
        <f t="shared" si="0"/>
        <v>3000.7300000000005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3000.7300000000005</v>
      </c>
      <c r="BA5" s="18">
        <f t="shared" si="1"/>
        <v>3000.7300000000005</v>
      </c>
      <c r="BB5" s="18">
        <f t="shared" si="1"/>
        <v>3000.7300000000005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3">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6">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6">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3">
      <c r="A9" s="2182"/>
      <c r="B9" s="2182"/>
      <c r="C9" s="2182"/>
      <c r="D9" s="2182"/>
      <c r="E9" s="2182"/>
      <c r="F9" s="2182"/>
      <c r="G9" s="1292"/>
      <c r="H9" s="2190" t="s">
        <v>1894</v>
      </c>
      <c r="I9" s="2191" t="s">
        <v>3055</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3">
      <c r="A10" s="2182"/>
      <c r="B10" s="2182"/>
      <c r="C10" s="2182"/>
      <c r="D10" s="2182"/>
      <c r="E10" s="2182"/>
      <c r="F10" s="2182"/>
      <c r="G10" s="1292"/>
      <c r="H10" s="28"/>
      <c r="I10" s="2191" t="s">
        <v>1372</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3">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3">
      <c r="A13" s="1272"/>
      <c r="B13" s="1272"/>
      <c r="C13" s="2971" t="s">
        <v>3080</v>
      </c>
      <c r="D13" s="2213" t="s">
        <v>3079</v>
      </c>
      <c r="E13" s="16">
        <f>IF($C$3="是",ROUND($A$3*G13/$B$3,2),ROUND($A$3*(G13-AT13)/$B$3,2))</f>
        <v>0</v>
      </c>
      <c r="F13" s="32"/>
      <c r="G13" s="33">
        <f>H13+AC13+AT13</f>
        <v>3000.7300000000005</v>
      </c>
      <c r="H13" s="20">
        <f>SUMIF(I$12:AB$12,"总值",I13:AB13)</f>
        <v>3000.7300000000005</v>
      </c>
      <c r="I13" s="2214">
        <f>Sheet1!C20</f>
        <v>3000.7300000000005</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商业</v>
      </c>
      <c r="AY13" s="1806">
        <f>ROUND($AY$6*AZ13/$AZ$5,2)</f>
        <v>0</v>
      </c>
      <c r="AZ13" s="16">
        <f>BA13+BL13</f>
        <v>3000.7300000000005</v>
      </c>
      <c r="BA13" s="16">
        <f>SUM(BB13:BK13)</f>
        <v>3000.7300000000005</v>
      </c>
      <c r="BB13" s="16">
        <f>IF($D13="是",I13-J13,0)</f>
        <v>3000.7300000000005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81640625" style="3" customWidth="1"/>
    <col min="4" max="7" width="9.453125" style="3" bestFit="1" customWidth="1"/>
    <col min="8" max="13" width="9.08984375" style="3" bestFit="1" customWidth="1"/>
    <col min="14" max="16384" width="9" style="3"/>
  </cols>
  <sheetData>
    <row r="1" spans="1:13" ht="15">
      <c r="A1" s="3064" t="s">
        <v>0</v>
      </c>
      <c r="B1" s="3064" t="s">
        <v>4</v>
      </c>
      <c r="C1" s="3064" t="s">
        <v>5</v>
      </c>
      <c r="D1" s="3065" t="s">
        <v>53</v>
      </c>
      <c r="E1" s="3065" t="s">
        <v>54</v>
      </c>
      <c r="F1" s="3065"/>
      <c r="G1" s="3065"/>
      <c r="H1" s="3065"/>
      <c r="I1" s="3065"/>
      <c r="J1" s="3065"/>
      <c r="K1" s="3065"/>
      <c r="L1" s="3065"/>
      <c r="M1" s="3065"/>
    </row>
    <row r="2" spans="1:13" ht="27" customHeight="1">
      <c r="A2" s="3064"/>
      <c r="B2" s="3064"/>
      <c r="C2" s="3064"/>
      <c r="D2" s="3065"/>
      <c r="E2" s="3065" t="s">
        <v>37</v>
      </c>
      <c r="F2" s="3065" t="s">
        <v>38</v>
      </c>
      <c r="G2" s="3065"/>
      <c r="H2" s="3065"/>
      <c r="I2" s="3065"/>
      <c r="J2" s="3065" t="s">
        <v>39</v>
      </c>
      <c r="K2" s="3065"/>
      <c r="L2" s="3065"/>
      <c r="M2" s="3065"/>
    </row>
    <row r="3" spans="1:13" ht="45">
      <c r="A3" s="3064"/>
      <c r="B3" s="3064"/>
      <c r="C3" s="3064"/>
      <c r="D3" s="3065"/>
      <c r="E3" s="3065"/>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5" t="s">
        <v>55</v>
      </c>
      <c r="B9" s="3065"/>
      <c r="C9" s="306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1796875" defaultRowHeight="14"/>
  <cols>
    <col min="1" max="1" width="12.08984375" style="2226" customWidth="1"/>
    <col min="2" max="2" width="10.1796875" style="2226" customWidth="1"/>
    <col min="3" max="3" width="18.453125" style="2226" customWidth="1"/>
    <col min="4" max="4" width="11.6328125" style="2226" customWidth="1"/>
    <col min="5" max="5" width="13.36328125" style="2226" customWidth="1"/>
    <col min="6" max="8" width="11.453125" style="2226" customWidth="1"/>
    <col min="9" max="9" width="11.08984375" style="2226" customWidth="1"/>
    <col min="10" max="10" width="3.08984375" style="2226" customWidth="1"/>
    <col min="11" max="16" width="10" style="2226" customWidth="1"/>
    <col min="17" max="17" width="2.6328125" style="2226" customWidth="1"/>
    <col min="18" max="18" width="9.36328125" style="2226" bestFit="1" customWidth="1"/>
    <col min="19" max="19" width="10.453125" style="2226" bestFit="1" customWidth="1"/>
    <col min="20" max="16384" width="9.1796875" style="2226"/>
  </cols>
  <sheetData>
    <row r="1" spans="1:16" ht="18">
      <c r="A1" s="2225" t="s">
        <v>1933</v>
      </c>
      <c r="B1" s="1392"/>
      <c r="C1" s="1392"/>
      <c r="D1" s="1392"/>
      <c r="E1" s="1392"/>
      <c r="F1" s="1392"/>
      <c r="G1" s="1392"/>
      <c r="H1" s="1392"/>
      <c r="I1" s="1392"/>
      <c r="J1" s="1392"/>
      <c r="K1" s="1392"/>
      <c r="L1" s="1392"/>
      <c r="M1" s="1392"/>
      <c r="N1" s="1392"/>
      <c r="O1" s="1392"/>
      <c r="P1" s="1392"/>
    </row>
    <row r="2" spans="1:16">
      <c r="A2" s="3075" t="s">
        <v>1934</v>
      </c>
      <c r="B2" s="3075"/>
      <c r="C2" s="3075"/>
      <c r="D2" s="967" t="s">
        <v>1910</v>
      </c>
      <c r="E2" s="2227" t="s">
        <v>1911</v>
      </c>
      <c r="F2" s="1392"/>
      <c r="G2" s="2228"/>
      <c r="H2" s="2229"/>
      <c r="I2" s="2230" t="s">
        <v>1935</v>
      </c>
      <c r="J2" s="1392"/>
      <c r="K2" s="1392"/>
      <c r="L2" s="1392"/>
      <c r="M2" s="1392"/>
      <c r="N2" s="1427"/>
      <c r="O2" s="1392"/>
      <c r="P2" s="1392"/>
    </row>
    <row r="3" spans="1:16" ht="14.5" thickBot="1">
      <c r="A3" s="3076" t="s">
        <v>1908</v>
      </c>
      <c r="B3" s="3076"/>
      <c r="C3" s="3076"/>
      <c r="D3" s="46">
        <f>'数据-基础表'!AY6</f>
        <v>0</v>
      </c>
      <c r="E3" s="46">
        <f>'数据-基础表'!AZ5</f>
        <v>3000.7300000000005</v>
      </c>
      <c r="F3" s="1392"/>
      <c r="G3" s="1399"/>
      <c r="H3" s="1247" t="s">
        <v>1909</v>
      </c>
      <c r="I3" s="55" t="e">
        <f>ROUND('数据-基础表'!B3/'数据-基础表'!A3,2)</f>
        <v>#DIV/0!</v>
      </c>
      <c r="J3" s="1392"/>
      <c r="K3" s="1392"/>
      <c r="L3" s="1392"/>
      <c r="M3" s="1392"/>
      <c r="N3" s="1427"/>
      <c r="O3" s="1392"/>
      <c r="P3" s="1392"/>
    </row>
    <row r="4" spans="1:16">
      <c r="A4" s="3077"/>
      <c r="B4" s="3078"/>
      <c r="C4" s="3079"/>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080" t="s">
        <v>1913</v>
      </c>
      <c r="C5" s="3080"/>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4.5" thickBot="1">
      <c r="A6" s="2234"/>
      <c r="B6" s="3080" t="s">
        <v>1914</v>
      </c>
      <c r="C6" s="3080"/>
      <c r="D6" s="48">
        <f>ROUND($D$3*E6/$E$3,2)</f>
        <v>0</v>
      </c>
      <c r="E6" s="49">
        <f>E3-E5</f>
        <v>3000.7300000000005</v>
      </c>
      <c r="F6" s="1392"/>
      <c r="G6" s="2235" t="s">
        <v>1915</v>
      </c>
      <c r="H6" s="1399" t="s">
        <v>1916</v>
      </c>
      <c r="I6" s="939" t="e">
        <f>ROUND(F31/D31,2)</f>
        <v>#DIV/0!</v>
      </c>
      <c r="J6" s="1392"/>
      <c r="K6" s="1392"/>
      <c r="L6" s="1392"/>
      <c r="M6" s="1392"/>
      <c r="N6" s="1392"/>
      <c r="O6" s="1392"/>
      <c r="P6" s="1392"/>
    </row>
    <row r="7" spans="1:16">
      <c r="A7" s="3072"/>
      <c r="B7" s="3073"/>
      <c r="C7" s="3074"/>
      <c r="D7" s="2231" t="s">
        <v>1910</v>
      </c>
      <c r="E7" s="2236" t="s">
        <v>1917</v>
      </c>
      <c r="F7" s="1392"/>
      <c r="G7" s="2228" t="s">
        <v>1918</v>
      </c>
      <c r="H7" s="64"/>
      <c r="I7" s="420">
        <v>2.5</v>
      </c>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3000.7300000000005</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4.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4.5" thickBot="1">
      <c r="A16" s="2234"/>
      <c r="B16" s="2239"/>
      <c r="C16" s="50" t="s">
        <v>1926</v>
      </c>
      <c r="D16" s="50">
        <f>SUM(D8:D15)</f>
        <v>0</v>
      </c>
      <c r="E16" s="53">
        <f>SUM(E8:E15)</f>
        <v>3000.7300000000005</v>
      </c>
      <c r="F16" s="1392"/>
      <c r="G16" s="2237"/>
      <c r="H16" s="2240" t="s">
        <v>1938</v>
      </c>
      <c r="I16" s="2241"/>
      <c r="J16" s="1392"/>
      <c r="K16" s="3069" t="s">
        <v>1938</v>
      </c>
      <c r="L16" s="3070"/>
      <c r="M16" s="3070"/>
      <c r="N16" s="3070"/>
      <c r="O16" s="3070"/>
      <c r="P16" s="3071"/>
    </row>
    <row r="17" spans="1:19">
      <c r="A17" s="2242" t="s">
        <v>1939</v>
      </c>
      <c r="B17" s="2243" t="s">
        <v>1940</v>
      </c>
      <c r="C17" s="2244" t="s">
        <v>1941</v>
      </c>
      <c r="D17" s="2245" t="s">
        <v>1929</v>
      </c>
      <c r="E17" s="2246" t="s">
        <v>1930</v>
      </c>
      <c r="F17" s="2247"/>
      <c r="G17" s="2248"/>
      <c r="H17" s="2249" t="s">
        <v>1942</v>
      </c>
      <c r="I17" s="2250" t="s">
        <v>1927</v>
      </c>
      <c r="J17" s="1392"/>
      <c r="K17" s="3066" t="s">
        <v>1943</v>
      </c>
      <c r="L17" s="3067"/>
      <c r="M17" s="3068"/>
      <c r="N17" s="3066" t="s">
        <v>1944</v>
      </c>
      <c r="O17" s="3067"/>
      <c r="P17" s="3068"/>
      <c r="R17" s="2228" t="s">
        <v>1945</v>
      </c>
      <c r="S17" s="64"/>
    </row>
    <row r="18" spans="1:19">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72" t="s">
        <v>3081</v>
      </c>
      <c r="D19" s="48">
        <f>ROUND($D$3*E19/$E$3,2)</f>
        <v>0</v>
      </c>
      <c r="E19" s="56">
        <f t="shared" ref="E19:E26" si="1">SUM(F19:G19)</f>
        <v>3000.7300000000005</v>
      </c>
      <c r="F19" s="57">
        <f>'数据-基础表'!I13</f>
        <v>3000.7300000000005</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3000.7300000000005</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4.5" thickBot="1">
      <c r="A27" s="2263"/>
      <c r="B27" s="48"/>
      <c r="C27" s="2266" t="s">
        <v>1957</v>
      </c>
      <c r="D27" s="1393">
        <f>SUM(D19:D26)</f>
        <v>0</v>
      </c>
      <c r="E27" s="1394">
        <f>IF(SUM(E19:E26)='数据-基础表'!BA5,SUM(E19:E26),IF(F27="地上面积有误","面积有误","地下面积有误"))</f>
        <v>3000.7300000000005</v>
      </c>
      <c r="F27" s="1393">
        <f>IF(SUM(F19:F26)=E8,SUM(F19:F26),"地上面积有误")</f>
        <v>3000.7300000000005</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3000.7300000000005</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4.5" thickBot="1">
      <c r="A31" s="2269"/>
      <c r="B31" s="2270"/>
      <c r="C31" s="1007" t="s">
        <v>1961</v>
      </c>
      <c r="D31" s="729">
        <f>D27+D30</f>
        <v>0</v>
      </c>
      <c r="E31" s="729">
        <f>E27+E30</f>
        <v>3000.7300000000005</v>
      </c>
      <c r="F31" s="730">
        <f>F27+F30</f>
        <v>3000.7300000000005</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81640625" defaultRowHeight="12.5"/>
  <cols>
    <col min="1" max="1" width="20.90625" style="2345" customWidth="1"/>
    <col min="2" max="2" width="12" style="2275" customWidth="1"/>
    <col min="3" max="3" width="10.81640625" style="2275" customWidth="1"/>
    <col min="4" max="4" width="9.08984375" style="2346" customWidth="1"/>
    <col min="5" max="5" width="15" style="2275" bestFit="1" customWidth="1"/>
    <col min="6" max="10" width="8.90625" style="2275" customWidth="1"/>
    <col min="11" max="12" width="12.36328125" style="2189" customWidth="1"/>
    <col min="13" max="13" width="8.6328125" style="2275" customWidth="1"/>
    <col min="14" max="14" width="11.90625" style="2275" customWidth="1"/>
    <col min="15" max="15" width="8.453125" style="2275" customWidth="1"/>
    <col min="16" max="17" width="10.90625" style="2275" customWidth="1"/>
    <col min="18" max="19" width="12.453125" style="2275" customWidth="1"/>
    <col min="20" max="20" width="12.08984375" style="2275" customWidth="1"/>
    <col min="21" max="21" width="7.453125" style="2275" customWidth="1"/>
    <col min="22" max="22" width="6.36328125" style="2275" customWidth="1"/>
    <col min="23" max="30" width="6.81640625" style="2275" customWidth="1"/>
    <col min="31" max="31" width="8" style="2275" customWidth="1"/>
    <col min="32" max="34" width="7.1796875" style="2275" customWidth="1"/>
    <col min="35" max="39" width="8" style="2275" customWidth="1"/>
    <col min="40" max="40" width="13.81640625" style="2274"/>
    <col min="41" max="41" width="11.6328125" style="2274" customWidth="1"/>
    <col min="42" max="42" width="9.81640625" style="2274" customWidth="1"/>
    <col min="43" max="67" width="13.81640625" style="2274"/>
    <col min="68" max="16384" width="13.81640625" style="2275"/>
  </cols>
  <sheetData>
    <row r="1" spans="1:67" ht="18"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 thickBot="1">
      <c r="A2" s="2276" t="s">
        <v>1964</v>
      </c>
      <c r="B2" s="1266">
        <f>项目基本情况!D3</f>
        <v>43872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4.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4.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3">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3082</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
      <c r="A6" s="2306" t="str">
        <f>'数据-汇总表'!C19</f>
        <v>商业</v>
      </c>
      <c r="B6" s="2307" t="str">
        <f>IF(A6=0,"","经营性")</f>
        <v>经营性</v>
      </c>
      <c r="C6" s="2308" t="s">
        <v>1372</v>
      </c>
      <c r="D6" s="1051">
        <f>SUMIF(项目基本情况!D$12:I$12,C6,项目基本情况!D$14:I$14)</f>
        <v>40</v>
      </c>
      <c r="E6" s="1048">
        <f>IF(B6="","",SUMIF(项目基本情况!D$12:I$12,C6,项目基本情况!D$13:I$13))</f>
        <v>54459</v>
      </c>
      <c r="F6" s="72">
        <f>SUMIF(项目基本情况!D$12:I$12,C6,项目基本情况!D$15:I$15)</f>
        <v>29</v>
      </c>
      <c r="G6" s="73">
        <f>IF(ISERROR(ROUND(POWER(1+H6,D6-F6)*(POWER(1+H6,F6)-1)/(POWER(1+H6,D6)-1),3)),0,ROUND(POWER(1+H6,D6-F6)*(POWER(1+H6,F6)-1)/(POWER(1+H6,D6)-1),3))</f>
        <v>0.88200000000000001</v>
      </c>
      <c r="H6" s="802">
        <v>0.05</v>
      </c>
      <c r="I6" s="802">
        <v>5.5E-2</v>
      </c>
      <c r="J6" s="74">
        <v>8.5000000000000006E-2</v>
      </c>
      <c r="K6" s="1251">
        <f>SUMIF('数据-汇总表'!C$19:C$33,A6,'数据-汇总表'!E$19:E$33)</f>
        <v>3000.7300000000005</v>
      </c>
      <c r="L6" s="803">
        <v>4500</v>
      </c>
      <c r="M6" s="75">
        <f t="shared" ref="M6:M14" si="0">ROUND(K6*L6/10000,0)</f>
        <v>1350</v>
      </c>
      <c r="N6" s="801">
        <f>ROUND(((1-(2020-2011)/60)+95%)/2,2)</f>
        <v>0.9</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f>Sheet1!H7</f>
        <v>12</v>
      </c>
      <c r="V6" s="79">
        <v>0.03</v>
      </c>
      <c r="W6" s="79">
        <v>0.1</v>
      </c>
      <c r="X6" s="1261"/>
      <c r="Y6" s="80">
        <f>N6</f>
        <v>0.9</v>
      </c>
      <c r="Z6" s="81"/>
      <c r="AA6" s="74"/>
      <c r="AB6" s="74"/>
      <c r="AC6" s="1261"/>
      <c r="AD6" s="82"/>
      <c r="AE6" s="1262">
        <f ca="1">IF(AN6="",0,SUMIF(INDIRECT("'"&amp;AN6&amp;"'"&amp;"!E:E"),$AE$5,INDIRECT("'"&amp;AN6&amp;"'"&amp;"!F:F")))</f>
        <v>29</v>
      </c>
      <c r="AF6" s="1804"/>
      <c r="AG6" s="147">
        <f>IF(AF6="",0,AE6-AF6)</f>
        <v>0</v>
      </c>
      <c r="AH6" s="83"/>
      <c r="AI6" s="85">
        <v>365</v>
      </c>
      <c r="AJ6" s="86"/>
      <c r="AK6" s="87">
        <v>1.4999999999999999E-2</v>
      </c>
      <c r="AL6" s="2973">
        <v>1.5E-3</v>
      </c>
      <c r="AM6" s="89">
        <v>0.01</v>
      </c>
      <c r="AN6" s="2309" t="s">
        <v>3083</v>
      </c>
      <c r="AO6" s="55">
        <f ca="1">SUMIF(INDIRECT("'"&amp;AN6&amp;"'"&amp;"!A:A"),"总价",INDIRECT("'"&amp;AN6&amp;"'"&amp;"!B:B"))</f>
        <v>18884</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8">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4.5" thickBot="1">
      <c r="A16" s="2313" t="s">
        <v>2012</v>
      </c>
      <c r="B16" s="97"/>
      <c r="C16" s="1005"/>
      <c r="D16" s="2314"/>
      <c r="E16" s="97"/>
      <c r="F16" s="97"/>
      <c r="G16" s="98">
        <f>ROUND(SUMPRODUCT(G6:G13,K6:K13)/SUMPRODUCT((G6:G13&gt;0)*(K6:K13)),3)</f>
        <v>0.88200000000000001</v>
      </c>
      <c r="H16" s="99">
        <f>ROUND(SUMPRODUCT(H6:H13,K6:K13)/SUMPRODUCT((H6:H13&gt;0)*(K6:K13)),3)</f>
        <v>0.05</v>
      </c>
      <c r="I16" s="100"/>
      <c r="J16" s="100"/>
      <c r="K16" s="101">
        <f>SUM(K6:K15)</f>
        <v>3000.7300000000005</v>
      </c>
      <c r="L16" s="102">
        <f>ROUND(M16*10000/SUM(K6:K14),0)</f>
        <v>4499</v>
      </c>
      <c r="M16" s="102">
        <f>SUM(M6:M14)</f>
        <v>1350</v>
      </c>
      <c r="N16" s="103">
        <f>ROUND(SUMPRODUCT(M6:M14,N6:N14)/M16,3)</f>
        <v>0.9</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4.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
      <c r="A20" s="2317" t="s">
        <v>2016</v>
      </c>
      <c r="B20" s="113">
        <v>2</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4.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4.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4.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8.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8.5">
      <c r="A28" s="2325" t="s">
        <v>2027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9" thickBot="1">
      <c r="A29" s="2327" t="s">
        <v>2028</v>
      </c>
      <c r="B29" s="121">
        <f ca="1">成本法!C10</f>
        <v>60</v>
      </c>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8">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8">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8.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4.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4.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4.5" thickBot="1">
      <c r="A47" s="2333" t="s">
        <v>2057</v>
      </c>
      <c r="B47" s="129">
        <v>0</v>
      </c>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4.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
      <c r="A52" s="2335" t="s">
        <v>2065</v>
      </c>
      <c r="B52" s="133">
        <f>SUMIF(A54:A63,B53,B54:B63)</f>
        <v>3</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8">
      <c r="A53" s="2325" t="s">
        <v>2066</v>
      </c>
      <c r="B53" s="2336" t="s">
        <v>523</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
      <c r="A54" s="2338" t="s">
        <v>2069</v>
      </c>
      <c r="B54" s="84">
        <f>C54</f>
        <v>30</v>
      </c>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
      <c r="A55" s="2338" t="s">
        <v>2070</v>
      </c>
      <c r="B55" s="84">
        <f t="shared" ref="B55:B59" si="12">C55</f>
        <v>24</v>
      </c>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
      <c r="A56" s="2338" t="s">
        <v>2071</v>
      </c>
      <c r="B56" s="84">
        <f t="shared" si="12"/>
        <v>18</v>
      </c>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
      <c r="A57" s="2338" t="s">
        <v>2072</v>
      </c>
      <c r="B57" s="84">
        <f t="shared" si="12"/>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
      <c r="A58" s="2338" t="s">
        <v>2073</v>
      </c>
      <c r="B58" s="84">
        <f t="shared" si="12"/>
        <v>3</v>
      </c>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
      <c r="A59" s="2338" t="s">
        <v>2074</v>
      </c>
      <c r="B59" s="84">
        <f t="shared" si="12"/>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4.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
  <cols>
    <col min="1" max="1" width="9.453125" style="2368" customWidth="1"/>
    <col min="2" max="2" width="24.453125" style="2416" customWidth="1"/>
    <col min="3" max="3" width="24.453125" style="2415" customWidth="1"/>
    <col min="4" max="4" width="2.6328125" style="2415" customWidth="1"/>
    <col min="5" max="5" width="5.90625" style="2415" customWidth="1"/>
    <col min="6" max="6" width="27" style="2416" customWidth="1"/>
    <col min="7" max="7" width="27" style="2417" customWidth="1"/>
    <col min="8" max="8" width="11.90625" style="2395" customWidth="1"/>
    <col min="9" max="9" width="16.81640625" style="2396" customWidth="1"/>
    <col min="10" max="10" width="2.6328125" style="2395" customWidth="1"/>
    <col min="11" max="11" width="11.90625" style="2395" customWidth="1"/>
    <col min="12" max="12" width="16.81640625" style="2396" customWidth="1"/>
    <col min="13" max="13" width="2.6328125" style="2395" customWidth="1"/>
    <col min="14" max="14" width="11.90625" style="2395" customWidth="1"/>
    <col min="15" max="15" width="16.81640625" style="2396" customWidth="1"/>
    <col min="16" max="16" width="2.6328125" style="2395" customWidth="1"/>
    <col min="17" max="17" width="11.90625" style="2395" customWidth="1"/>
    <col min="18" max="18" width="16.81640625" style="2397" customWidth="1"/>
    <col min="19" max="29" width="9" style="2367"/>
    <col min="30" max="16384" width="9" style="2368"/>
  </cols>
  <sheetData>
    <row r="1" spans="1:29" s="2361" customFormat="1" ht="18.5" thickBot="1">
      <c r="A1" s="3081" t="s">
        <v>2079</v>
      </c>
      <c r="B1" s="3082"/>
      <c r="C1" s="3082"/>
      <c r="D1" s="3082"/>
      <c r="E1" s="3082"/>
      <c r="F1" s="3082"/>
      <c r="G1" s="308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4.5" thickBot="1">
      <c r="A2" s="2362"/>
      <c r="B2" s="2363"/>
      <c r="C2" s="2364" t="s">
        <v>2080</v>
      </c>
      <c r="D2" s="2365"/>
      <c r="E2" s="2366"/>
      <c r="F2" s="2286"/>
      <c r="G2" s="2364" t="s">
        <v>2081</v>
      </c>
      <c r="H2" s="2367"/>
      <c r="I2" s="2367"/>
      <c r="J2" s="2367"/>
      <c r="K2" s="2367"/>
      <c r="L2" s="2367"/>
      <c r="M2" s="2367"/>
      <c r="N2" s="2367"/>
      <c r="O2" s="2367"/>
      <c r="P2" s="2367"/>
      <c r="Q2" s="2367"/>
      <c r="R2" s="2367"/>
    </row>
    <row r="3" spans="1:29" ht="56">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6">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8">
      <c r="A8" s="431"/>
      <c r="B8" s="1795" t="s">
        <v>2096</v>
      </c>
      <c r="C8" s="2375" t="s">
        <v>2097</v>
      </c>
      <c r="D8" s="2376"/>
      <c r="E8" s="2376"/>
      <c r="F8" s="1133"/>
      <c r="G8" s="1133"/>
      <c r="H8" s="2367"/>
      <c r="I8" s="2367"/>
      <c r="J8" s="2367"/>
      <c r="K8" s="2367"/>
      <c r="L8" s="2367"/>
      <c r="M8" s="2367"/>
      <c r="N8" s="2367"/>
      <c r="O8" s="2367"/>
      <c r="P8" s="2367"/>
      <c r="Q8" s="2367"/>
      <c r="R8" s="2367"/>
    </row>
    <row r="9" spans="1:29" ht="42">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4.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8.5" thickBot="1">
      <c r="A13" s="2393" t="s">
        <v>2103</v>
      </c>
      <c r="B13" s="2387"/>
      <c r="C13" s="2387"/>
      <c r="D13" s="2394"/>
      <c r="E13" s="2387"/>
      <c r="F13" s="2387"/>
      <c r="G13" s="2387"/>
    </row>
    <row r="14" spans="1:29" ht="14.5" thickBot="1">
      <c r="A14" s="2398"/>
      <c r="B14" s="2399"/>
      <c r="C14" s="2400" t="s">
        <v>2104</v>
      </c>
      <c r="D14" s="2370"/>
      <c r="E14" s="2401"/>
      <c r="F14" s="2401"/>
      <c r="G14" s="2364" t="s">
        <v>2105</v>
      </c>
    </row>
    <row r="15" spans="1:29" ht="56">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
      <c r="A17" s="645"/>
      <c r="B17" s="2404" t="s">
        <v>2091</v>
      </c>
      <c r="C17" s="2405" t="str">
        <f>C5</f>
        <v>估价对象位于XX商圈，周边办公楼项目较多，入驻率高，办公集聚程度较好</v>
      </c>
      <c r="D17" s="2376"/>
      <c r="E17" s="2406"/>
      <c r="F17" s="2407" t="s">
        <v>2109</v>
      </c>
      <c r="G17" s="1569"/>
    </row>
    <row r="18" spans="1:18" ht="56">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
      <c r="A19" s="645"/>
      <c r="B19" s="2407" t="s">
        <v>2110</v>
      </c>
      <c r="C19" s="1569"/>
      <c r="D19" s="2370"/>
      <c r="E19" s="2406"/>
      <c r="F19" s="1795" t="s">
        <v>2093</v>
      </c>
      <c r="G19" s="136" t="str">
        <f>G5</f>
        <v>估价对象所在区域公共配套设施齐备情况</v>
      </c>
    </row>
    <row r="20" spans="1:18" ht="42">
      <c r="A20" s="645"/>
      <c r="B20" s="2407" t="s">
        <v>2111</v>
      </c>
      <c r="C20" s="2405" t="str">
        <f>C9</f>
        <v>区域自然环境：；人文环境；综合评价环境状况一般</v>
      </c>
      <c r="D20" s="2376"/>
      <c r="E20" s="2406"/>
      <c r="F20" s="1795" t="s">
        <v>2112</v>
      </c>
      <c r="G20" s="136" t="str">
        <f>G6</f>
        <v>估价对象所在区域基础设施水平</v>
      </c>
    </row>
    <row r="21" spans="1:18" ht="28">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4.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4.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tabSelected="1" workbookViewId="0">
      <selection activeCell="C5" sqref="C5"/>
    </sheetView>
  </sheetViews>
  <sheetFormatPr defaultColWidth="9" defaultRowHeight="14"/>
  <cols>
    <col min="1" max="1" width="23.36328125" style="1738" customWidth="1"/>
    <col min="2" max="9" width="15.81640625" style="1738" customWidth="1"/>
    <col min="10" max="16384" width="9" style="1738"/>
  </cols>
  <sheetData>
    <row r="1" spans="1:10" ht="16.5">
      <c r="A1" s="1743" t="s">
        <v>1360</v>
      </c>
      <c r="B1" s="1743">
        <f>SUM(B14:B23)</f>
        <v>3000.7300000000005</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43872</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22407</v>
      </c>
      <c r="C5" s="1743">
        <f ca="1">ROUND(B5*10000/$B$1,0)</f>
        <v>74672</v>
      </c>
      <c r="D5" s="1743" t="e">
        <f ca="1">ROUND(B5*10000/$B$2,0)</f>
        <v>#DIV/0!</v>
      </c>
      <c r="E5" s="1742"/>
      <c r="F5" s="1740"/>
      <c r="G5" s="1740"/>
    </row>
    <row r="6" spans="1:10" ht="16.5">
      <c r="A6" s="1743" t="s">
        <v>1351</v>
      </c>
      <c r="B6" s="1743">
        <f ca="1">SUM(G14:G23)</f>
        <v>22407</v>
      </c>
      <c r="C6" s="1743">
        <f ca="1">ROUND(B6*10000/$B$1,0)</f>
        <v>74672</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SUM(I14:I23)</f>
        <v>0</v>
      </c>
      <c r="C8" s="1743">
        <f>ROUND(B8*10000/$B$1,0)</f>
        <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3000.7300000000005</v>
      </c>
      <c r="C14" s="1741">
        <f>结果表!C118</f>
        <v>0</v>
      </c>
      <c r="D14" s="1741">
        <f ca="1">结果表!H118</f>
        <v>22407</v>
      </c>
      <c r="E14" s="1741">
        <f ca="1">ROUND(D14*10000/B14,0)</f>
        <v>74672</v>
      </c>
      <c r="F14" s="1741" t="e">
        <f ca="1">ROUND(D14*10000/C14,0)</f>
        <v>#DIV/0!</v>
      </c>
      <c r="G14" s="1741">
        <f ca="1">结果表!D122</f>
        <v>22407</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2B095-2201-4514-A265-75BAC87A1A3B}">
  <sheetPr>
    <tabColor rgb="FFFF0000"/>
  </sheetPr>
  <dimension ref="A1:AI512"/>
  <sheetViews>
    <sheetView view="pageBreakPreview" zoomScaleNormal="100" zoomScaleSheetLayoutView="100" zoomScalePageLayoutView="80" workbookViewId="0">
      <selection activeCell="H24" sqref="H24"/>
    </sheetView>
  </sheetViews>
  <sheetFormatPr defaultColWidth="12.6328125" defaultRowHeight="21.75" customHeight="1"/>
  <cols>
    <col min="1" max="2" width="12.6328125" style="2424"/>
    <col min="3" max="4" width="12.6328125" style="2424" customWidth="1"/>
    <col min="5" max="9" width="12.6328125" style="2424"/>
    <col min="10" max="11" width="12.6328125" style="795" customWidth="1"/>
    <col min="12" max="12" width="12.6328125" style="795"/>
    <col min="13" max="13" width="14.08984375" style="795" bestFit="1" customWidth="1"/>
    <col min="14" max="26" width="12.6328125" style="795"/>
    <col min="27" max="35" width="12.6328125" style="2423"/>
    <col min="36" max="16384" width="12.6328125" style="2424"/>
  </cols>
  <sheetData>
    <row r="1" spans="1:12" ht="21.75" customHeight="1" thickBot="1">
      <c r="A1" s="2225" t="s">
        <v>2116</v>
      </c>
      <c r="B1" s="2418"/>
      <c r="C1" s="2419"/>
      <c r="D1" s="2418"/>
      <c r="E1" s="2418"/>
      <c r="F1" s="2420" t="s">
        <v>2117</v>
      </c>
      <c r="G1" s="2070" t="s">
        <v>3112</v>
      </c>
      <c r="H1" s="2421" t="str">
        <f>IF(G1="现房","——","估价对象范围")</f>
        <v>——</v>
      </c>
      <c r="I1" s="2422"/>
    </row>
    <row r="2" spans="1:12" ht="21.75" customHeight="1" thickBot="1">
      <c r="A2" s="3171" t="str">
        <f>项目基本情况!S2</f>
        <v>房地产</v>
      </c>
      <c r="B2" s="3172"/>
      <c r="C2" s="3172"/>
      <c r="D2" s="3172"/>
      <c r="E2" s="3172"/>
      <c r="F2" s="3172"/>
      <c r="G2" s="3172"/>
      <c r="H2" s="3172"/>
      <c r="I2" s="3173"/>
    </row>
    <row r="3" spans="1:12" ht="13">
      <c r="A3" s="3174" t="s">
        <v>2118</v>
      </c>
      <c r="B3" s="3175"/>
      <c r="C3" s="3175"/>
      <c r="D3" s="3175"/>
      <c r="E3" s="3175"/>
      <c r="F3" s="3175"/>
      <c r="G3" s="3175"/>
      <c r="H3" s="3175"/>
      <c r="I3" s="3175"/>
    </row>
    <row r="4" spans="1:12" ht="14">
      <c r="A4" s="2425" t="s">
        <v>2119</v>
      </c>
      <c r="B4" s="2426" t="s">
        <v>2120</v>
      </c>
      <c r="C4" s="2427" t="s">
        <v>3115</v>
      </c>
      <c r="D4" s="2427" t="s">
        <v>3083</v>
      </c>
      <c r="E4" s="3135" t="s">
        <v>2121</v>
      </c>
      <c r="F4" s="3137"/>
      <c r="G4" s="3137"/>
      <c r="H4" s="3137"/>
      <c r="I4" s="3136"/>
      <c r="K4" s="2428" t="str">
        <f>IF(ISNUMBER(FIND("比较法",'结果表 (3)'!C4)),"比较法",IF(ISNUMBER(FIND("成本法",'结果表 (3)'!C4)),"成本法",IF(ISNUMBER(FIND("假设开发法",'结果表 (3)'!C4)),"假设开发法",IF(ISNUMBER(FIND("收益法",'结果表 (3)'!C4)),"收益法","基准地价系数修正法"))))</f>
        <v>比较法</v>
      </c>
      <c r="L4" s="2428" t="str">
        <f>IF(ISNUMBER(FIND("比较法",'结果表 (3)'!D4)),"比较法",IF(ISNUMBER(FIND("成本法",'结果表 (3)'!D4)),"成本法",IF(ISNUMBER(FIND("假设开发法",'结果表 (3)'!D4)),"假设开发法",IF(ISNUMBER(FIND("收益法",'结果表 (3)'!D4)),"收益法","基准地价系数修正法"))))</f>
        <v>收益法</v>
      </c>
    </row>
    <row r="5" spans="1:12" ht="13">
      <c r="A5" s="3166" t="s">
        <v>2122</v>
      </c>
      <c r="B5" s="3056">
        <v>25</v>
      </c>
      <c r="C5" s="3167"/>
      <c r="D5" s="3169"/>
      <c r="E5" s="140" t="s">
        <v>2123</v>
      </c>
      <c r="F5" s="2429"/>
      <c r="G5" s="2429"/>
      <c r="H5" s="2429"/>
      <c r="I5" s="1831"/>
    </row>
    <row r="6" spans="1:12" ht="13">
      <c r="A6" s="3166"/>
      <c r="B6" s="3056"/>
      <c r="C6" s="3170"/>
      <c r="D6" s="3169"/>
      <c r="E6" s="140" t="s">
        <v>2124</v>
      </c>
      <c r="F6" s="2429"/>
      <c r="G6" s="2429"/>
      <c r="H6" s="2429"/>
      <c r="I6" s="1831"/>
    </row>
    <row r="7" spans="1:12" ht="13">
      <c r="A7" s="3166"/>
      <c r="B7" s="3056"/>
      <c r="C7" s="3168"/>
      <c r="D7" s="3169"/>
      <c r="E7" s="140" t="s">
        <v>2125</v>
      </c>
      <c r="F7" s="2429"/>
      <c r="G7" s="2429"/>
      <c r="H7" s="2429"/>
      <c r="I7" s="1831"/>
    </row>
    <row r="8" spans="1:12" ht="13">
      <c r="A8" s="3166" t="s">
        <v>2126</v>
      </c>
      <c r="B8" s="3056">
        <v>15</v>
      </c>
      <c r="C8" s="3167"/>
      <c r="D8" s="3169"/>
      <c r="E8" s="140" t="s">
        <v>2127</v>
      </c>
      <c r="F8" s="2429"/>
      <c r="G8" s="2429"/>
      <c r="H8" s="2429"/>
      <c r="I8" s="1831"/>
    </row>
    <row r="9" spans="1:12" ht="13">
      <c r="A9" s="3166"/>
      <c r="B9" s="3056"/>
      <c r="C9" s="3168"/>
      <c r="D9" s="3169"/>
      <c r="E9" s="140" t="s">
        <v>2128</v>
      </c>
      <c r="F9" s="2429"/>
      <c r="G9" s="2429"/>
      <c r="H9" s="2429"/>
      <c r="I9" s="1831"/>
    </row>
    <row r="10" spans="1:12" ht="13">
      <c r="A10" s="3166" t="s">
        <v>2129</v>
      </c>
      <c r="B10" s="3056">
        <v>15</v>
      </c>
      <c r="C10" s="3167"/>
      <c r="D10" s="3169"/>
      <c r="E10" s="140" t="s">
        <v>2130</v>
      </c>
      <c r="F10" s="2429"/>
      <c r="G10" s="2429"/>
      <c r="H10" s="2429"/>
      <c r="I10" s="1831"/>
    </row>
    <row r="11" spans="1:12" ht="13">
      <c r="A11" s="3166"/>
      <c r="B11" s="3056"/>
      <c r="C11" s="3168"/>
      <c r="D11" s="3169"/>
      <c r="E11" s="140" t="s">
        <v>2131</v>
      </c>
      <c r="F11" s="2429"/>
      <c r="G11" s="2429"/>
      <c r="H11" s="2429"/>
      <c r="I11" s="1831"/>
    </row>
    <row r="12" spans="1:12" ht="13">
      <c r="A12" s="3166" t="s">
        <v>2132</v>
      </c>
      <c r="B12" s="3056">
        <v>15</v>
      </c>
      <c r="C12" s="3167"/>
      <c r="D12" s="3169"/>
      <c r="E12" s="140" t="s">
        <v>2133</v>
      </c>
      <c r="F12" s="2429"/>
      <c r="G12" s="2429"/>
      <c r="H12" s="2429"/>
      <c r="I12" s="1831"/>
    </row>
    <row r="13" spans="1:12" ht="13">
      <c r="A13" s="3166"/>
      <c r="B13" s="3056"/>
      <c r="C13" s="3168"/>
      <c r="D13" s="3169"/>
      <c r="E13" s="140" t="s">
        <v>2134</v>
      </c>
      <c r="F13" s="2429"/>
      <c r="G13" s="2429"/>
      <c r="H13" s="2429"/>
      <c r="I13" s="1831"/>
    </row>
    <row r="14" spans="1:12" ht="13">
      <c r="A14" s="3166" t="s">
        <v>2135</v>
      </c>
      <c r="B14" s="3056">
        <v>30</v>
      </c>
      <c r="C14" s="3167">
        <v>6</v>
      </c>
      <c r="D14" s="3169">
        <v>4</v>
      </c>
      <c r="E14" s="140" t="s">
        <v>2136</v>
      </c>
      <c r="F14" s="2429"/>
      <c r="G14" s="2429"/>
      <c r="H14" s="2429"/>
      <c r="I14" s="1831"/>
    </row>
    <row r="15" spans="1:12" ht="13">
      <c r="A15" s="3166"/>
      <c r="B15" s="3056"/>
      <c r="C15" s="3170"/>
      <c r="D15" s="3169"/>
      <c r="E15" s="140" t="s">
        <v>2137</v>
      </c>
      <c r="F15" s="2429"/>
      <c r="G15" s="2429"/>
      <c r="H15" s="2429"/>
      <c r="I15" s="1831"/>
    </row>
    <row r="16" spans="1:12" ht="13">
      <c r="A16" s="3166"/>
      <c r="B16" s="3056"/>
      <c r="C16" s="3168"/>
      <c r="D16" s="3169"/>
      <c r="E16" s="140" t="s">
        <v>2138</v>
      </c>
      <c r="F16" s="2429"/>
      <c r="G16" s="2429"/>
      <c r="H16" s="2429"/>
      <c r="I16" s="1831"/>
    </row>
    <row r="17" spans="1:35" ht="14">
      <c r="A17" s="2430" t="s">
        <v>2139</v>
      </c>
      <c r="B17" s="64"/>
      <c r="C17" s="141">
        <f>SUM(C5:C16)</f>
        <v>6</v>
      </c>
      <c r="D17" s="141">
        <f>SUM(D5:D16)</f>
        <v>4</v>
      </c>
      <c r="E17" s="138"/>
      <c r="F17" s="138"/>
      <c r="G17" s="138"/>
      <c r="H17" s="138"/>
      <c r="I17" s="138"/>
      <c r="K17" s="2428"/>
      <c r="L17" s="2431" t="s">
        <v>2140</v>
      </c>
      <c r="M17" s="2431" t="s">
        <v>2141</v>
      </c>
    </row>
    <row r="18" spans="1:35" ht="14.5" thickBot="1">
      <c r="A18" s="2432" t="s">
        <v>2142</v>
      </c>
      <c r="B18" s="2433"/>
      <c r="C18" s="142">
        <f>ROUND(C17/SUM(C17:D17),2)</f>
        <v>0.6</v>
      </c>
      <c r="D18" s="142">
        <f>1-C18</f>
        <v>0.4</v>
      </c>
      <c r="E18" s="138"/>
      <c r="F18" s="138"/>
      <c r="G18" s="138"/>
      <c r="H18" s="138"/>
      <c r="I18" s="138"/>
      <c r="K18" s="2428" t="s">
        <v>2143</v>
      </c>
      <c r="L18" s="2428">
        <f>IF(C1="",'数据-汇总表'!E3,SUMIF(项目类型,C1,'数据-汇总表'!E17:E26)+SUMIF(项目类型,C1,'数据-汇总表'!I17:I26))</f>
        <v>3000.7300000000005</v>
      </c>
      <c r="M18" s="2428">
        <f>IF(C1="",'数据-汇总表'!E3,SUMIF(项目类型,C1,'数据-汇总表'!E17:E26))</f>
        <v>3000.7300000000005</v>
      </c>
    </row>
    <row r="19" spans="1:35" ht="14">
      <c r="A19" s="2434" t="s">
        <v>2144</v>
      </c>
      <c r="B19" s="2435" t="s">
        <v>2145</v>
      </c>
      <c r="C19" s="143">
        <f ca="1">SUMIF(INDIRECT("'"&amp;C4&amp;"'"&amp;"!A:A"),'结果表 (3)'!B19,INDIRECT("'"&amp;C4&amp;"'"&amp;"!B:B"))</f>
        <v>24756</v>
      </c>
      <c r="D19" s="144">
        <f ca="1">SUMIF(INDIRECT("'"&amp;D4&amp;"'"&amp;"!A:A"),'结果表 (3)'!B19,INDIRECT("'"&amp;D4&amp;"'"&amp;"!B:B"))</f>
        <v>18884</v>
      </c>
      <c r="E19" s="2434" t="s">
        <v>2146</v>
      </c>
      <c r="F19" s="2435" t="s">
        <v>2145</v>
      </c>
      <c r="G19" s="145">
        <f ca="1">ROUND(C19*$C$18+D19*$D$18,0)</f>
        <v>22407</v>
      </c>
      <c r="H19" s="2436" t="s">
        <v>2147</v>
      </c>
      <c r="I19" s="138"/>
      <c r="K19" s="2428" t="s">
        <v>2148</v>
      </c>
      <c r="L19" s="2428">
        <f>IF(C1="",'数据-汇总表'!D3,SUMIF(项目类型,C1,'数据-汇总表'!D17:D26)+SUMIF(项目类型,C1,'数据-汇总表'!H17:H27))</f>
        <v>0</v>
      </c>
      <c r="M19" s="2428">
        <f>IF(C1="",'数据-汇总表'!D3,SUMIF(项目类型,C1,'数据-汇总表'!D17:D26))</f>
        <v>0</v>
      </c>
    </row>
    <row r="20" spans="1:35" ht="14">
      <c r="A20" s="2437"/>
      <c r="B20" s="1247" t="s">
        <v>2149</v>
      </c>
      <c r="C20" s="146">
        <f ca="1">SUMIF(INDIRECT("'"&amp;C4&amp;"'"&amp;"!A:A"),'结果表 (3)'!B20,INDIRECT("'"&amp;C4&amp;"'"&amp;"!B:B"))</f>
        <v>82500</v>
      </c>
      <c r="D20" s="147">
        <f ca="1">SUMIF(INDIRECT("'"&amp;D4&amp;"'"&amp;"!A:A"),'结果表 (3)'!B20,INDIRECT("'"&amp;D4&amp;"'"&amp;"!B:B"))</f>
        <v>62931</v>
      </c>
      <c r="E20" s="2437"/>
      <c r="F20" s="1247" t="s">
        <v>2149</v>
      </c>
      <c r="G20" s="148">
        <f ca="1">ROUND(C20*$C$18+D20*$D$18,0)</f>
        <v>74672</v>
      </c>
      <c r="H20" s="980" t="s">
        <v>2150</v>
      </c>
      <c r="I20" s="138"/>
    </row>
    <row r="21" spans="1:35" ht="15" customHeight="1" thickBot="1">
      <c r="A21" s="1000"/>
      <c r="B21" s="2438" t="s">
        <v>2151</v>
      </c>
      <c r="C21" s="789" t="e">
        <f ca="1">ROUND(C19*10000/L19,0)</f>
        <v>#DIV/0!</v>
      </c>
      <c r="D21" s="790" t="e">
        <f ca="1">ROUND(D19*10000/L19,0)</f>
        <v>#DIV/0!</v>
      </c>
      <c r="E21" s="1000"/>
      <c r="F21" s="2438" t="s">
        <v>2151</v>
      </c>
      <c r="G21" s="149" t="e">
        <f ca="1">ROUND(G19*10000/L19,0)</f>
        <v>#DIV/0!</v>
      </c>
      <c r="H21" s="2439" t="s">
        <v>2150</v>
      </c>
      <c r="I21" s="138"/>
    </row>
    <row r="22" spans="1:35" ht="14.5" thickBot="1">
      <c r="A22" s="2281" t="s">
        <v>2152</v>
      </c>
      <c r="B22" s="2440"/>
      <c r="C22" s="2441"/>
      <c r="D22" s="791">
        <f ca="1">IF(C19&lt;D19,D19/C19-1,C19/D19-1)</f>
        <v>0.31095106968862529</v>
      </c>
      <c r="E22" s="138"/>
      <c r="F22" s="138"/>
      <c r="G22" s="138"/>
      <c r="H22" s="138"/>
      <c r="I22" s="138"/>
    </row>
    <row r="23" spans="1:35" ht="13" thickBot="1">
      <c r="A23" s="2418"/>
      <c r="B23" s="2418"/>
      <c r="C23" s="2418"/>
      <c r="D23" s="2418"/>
      <c r="E23" s="138"/>
      <c r="F23" s="138"/>
      <c r="G23" s="138"/>
      <c r="H23" s="138">
        <f ca="1">G19/(Sheet1!F2+Sheet1!F3*Sheet1!G3)</f>
        <v>10.197083543999639</v>
      </c>
      <c r="I23" s="138"/>
    </row>
    <row r="24" spans="1:35" ht="14">
      <c r="A24" s="3154" t="s">
        <v>2153</v>
      </c>
      <c r="B24" s="2435" t="s">
        <v>2145</v>
      </c>
      <c r="C24" s="145">
        <f>IF(B30=0,0,D30)</f>
        <v>0</v>
      </c>
      <c r="D24" s="2442"/>
      <c r="E24" s="138"/>
      <c r="F24" s="138"/>
      <c r="G24" s="138"/>
      <c r="H24" s="138"/>
      <c r="I24" s="138"/>
    </row>
    <row r="25" spans="1:35" ht="14">
      <c r="A25" s="3155"/>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
      <c r="A27" s="2444"/>
      <c r="B27" s="151">
        <v>0</v>
      </c>
      <c r="C27" s="151">
        <v>0</v>
      </c>
      <c r="D27" s="152">
        <f>ROUND(C27*B27/10000,0)</f>
        <v>0</v>
      </c>
      <c r="E27" s="138"/>
      <c r="F27" s="138"/>
      <c r="G27" s="138"/>
      <c r="H27" s="138"/>
      <c r="I27" s="138"/>
    </row>
    <row r="28" spans="1:35" ht="14">
      <c r="A28" s="2444"/>
      <c r="B28" s="151"/>
      <c r="C28" s="151"/>
      <c r="D28" s="152"/>
      <c r="E28" s="138"/>
      <c r="F28" s="138"/>
      <c r="G28" s="138"/>
      <c r="H28" s="138"/>
      <c r="I28" s="138"/>
    </row>
    <row r="29" spans="1:35" ht="14">
      <c r="A29" s="2444"/>
      <c r="B29" s="151"/>
      <c r="C29" s="151"/>
      <c r="D29" s="152"/>
      <c r="E29" s="138"/>
      <c r="F29" s="138"/>
      <c r="G29" s="138"/>
      <c r="H29" s="138"/>
      <c r="I29" s="138"/>
    </row>
    <row r="30" spans="1:35" ht="14">
      <c r="A30" s="151" t="s">
        <v>2158</v>
      </c>
      <c r="B30" s="151"/>
      <c r="C30" s="151"/>
      <c r="D30" s="151"/>
      <c r="E30" s="2917" t="s">
        <v>3032</v>
      </c>
      <c r="F30" s="138"/>
      <c r="G30" s="138"/>
      <c r="H30" s="138"/>
      <c r="I30" s="138"/>
    </row>
    <row r="31" spans="1:35" s="2446" customFormat="1" ht="14.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4.5" thickBot="1">
      <c r="A32" s="2447" t="s">
        <v>2159</v>
      </c>
      <c r="B32" s="2448"/>
      <c r="C32" s="153">
        <f ca="1">IF(D32="总价",G19-C24,G20-C25)</f>
        <v>22407</v>
      </c>
      <c r="D32" s="2449" t="s">
        <v>2160</v>
      </c>
      <c r="E32" s="138"/>
      <c r="F32" s="138"/>
      <c r="G32" s="138"/>
      <c r="H32" s="138"/>
      <c r="I32" s="138"/>
    </row>
    <row r="33" spans="1:15" ht="14">
      <c r="A33" s="957" t="s">
        <v>2161</v>
      </c>
      <c r="B33" s="2450"/>
      <c r="C33" s="2451"/>
      <c r="D33" s="2452"/>
      <c r="E33" s="2453" t="s">
        <v>2162</v>
      </c>
      <c r="F33" s="2975" t="str">
        <f>IF(D32="楼面单价","取值（单价）","取值（总价）")</f>
        <v>取值（总价）</v>
      </c>
      <c r="G33" s="138"/>
      <c r="H33" s="138"/>
      <c r="I33" s="138"/>
    </row>
    <row r="34" spans="1:15" ht="14">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4.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4.5" thickBot="1">
      <c r="A36" s="3156" t="s">
        <v>2167</v>
      </c>
      <c r="B36" s="2461" t="s">
        <v>2168</v>
      </c>
      <c r="C36" s="154"/>
      <c r="D36" s="2462"/>
      <c r="E36" s="2463"/>
      <c r="F36" s="2464"/>
      <c r="G36" s="138"/>
      <c r="H36" s="138"/>
      <c r="I36" s="138"/>
    </row>
    <row r="37" spans="1:15" ht="14.5" thickBot="1">
      <c r="A37" s="3157"/>
      <c r="B37" s="2267" t="s">
        <v>2169</v>
      </c>
      <c r="C37" s="156"/>
      <c r="D37" s="1392"/>
      <c r="E37" s="1392"/>
      <c r="F37" s="2464"/>
      <c r="G37" s="138"/>
      <c r="H37" s="138"/>
      <c r="I37" s="138"/>
    </row>
    <row r="38" spans="1:15" ht="14.5" thickBot="1">
      <c r="A38" s="3158"/>
      <c r="B38" s="2465" t="s">
        <v>2170</v>
      </c>
      <c r="C38" s="727"/>
      <c r="D38" s="2466" t="s">
        <v>2171</v>
      </c>
      <c r="E38" s="1392"/>
      <c r="F38" s="2464"/>
      <c r="G38" s="138"/>
      <c r="H38" s="138"/>
      <c r="I38" s="138"/>
    </row>
    <row r="39" spans="1:15" ht="14">
      <c r="A39" s="2437" t="s">
        <v>2172</v>
      </c>
      <c r="B39" s="2467" t="s">
        <v>2155</v>
      </c>
      <c r="C39" s="2468" t="s">
        <v>2156</v>
      </c>
      <c r="D39" s="2468" t="s">
        <v>2175</v>
      </c>
      <c r="E39" s="2469" t="s">
        <v>2157</v>
      </c>
      <c r="F39" s="2464"/>
      <c r="G39" s="138"/>
      <c r="H39" s="138"/>
      <c r="I39" s="138"/>
    </row>
    <row r="40" spans="1:15" ht="14">
      <c r="A40" s="2470" t="s">
        <v>2177</v>
      </c>
      <c r="B40" s="158"/>
      <c r="C40" s="159"/>
      <c r="D40" s="159"/>
      <c r="E40" s="160"/>
      <c r="F40" s="2464"/>
      <c r="G40" s="138"/>
      <c r="H40" s="138"/>
      <c r="I40" s="138"/>
    </row>
    <row r="41" spans="1:15" ht="14">
      <c r="A41" s="2470" t="s">
        <v>2178</v>
      </c>
      <c r="B41" s="158"/>
      <c r="C41" s="159"/>
      <c r="D41" s="159"/>
      <c r="E41" s="160"/>
      <c r="F41" s="2464"/>
      <c r="G41" s="138"/>
      <c r="H41" s="138"/>
      <c r="I41" s="138"/>
    </row>
    <row r="42" spans="1:15" ht="14.5" thickBot="1">
      <c r="A42" s="2471"/>
      <c r="B42" s="161"/>
      <c r="C42" s="162"/>
      <c r="D42" s="162"/>
      <c r="E42" s="163"/>
      <c r="F42" s="2464"/>
      <c r="G42" s="138"/>
      <c r="H42" s="138"/>
      <c r="I42" s="138"/>
    </row>
    <row r="43" spans="1:15" ht="12.5">
      <c r="A43" s="2165"/>
      <c r="B43" s="2165"/>
      <c r="C43" s="2165"/>
      <c r="D43" s="2165"/>
      <c r="E43" s="2165"/>
      <c r="F43" s="2472"/>
      <c r="G43" s="2472"/>
      <c r="H43" s="2472"/>
      <c r="I43" s="2473"/>
    </row>
    <row r="44" spans="1:15" ht="18">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159" t="s">
        <v>2181</v>
      </c>
      <c r="B45" s="3160"/>
      <c r="C45" s="3161"/>
      <c r="D45" s="164">
        <f ca="1">ROUND(H101*F45,0)</f>
        <v>22407</v>
      </c>
      <c r="E45" s="165" t="s">
        <v>2182</v>
      </c>
      <c r="F45" s="166">
        <v>1</v>
      </c>
      <c r="G45" s="167" t="s">
        <v>2183</v>
      </c>
      <c r="H45" s="138"/>
      <c r="I45" s="138"/>
      <c r="J45" s="3147" t="s">
        <v>2184</v>
      </c>
      <c r="K45" s="3147"/>
      <c r="L45" s="3147"/>
      <c r="M45" s="3147"/>
      <c r="N45" s="3147"/>
      <c r="O45" s="3147"/>
    </row>
    <row r="46" spans="1:15" ht="14.25" customHeight="1">
      <c r="A46" s="3162" t="s">
        <v>2185</v>
      </c>
      <c r="B46" s="3163"/>
      <c r="C46" s="3163"/>
      <c r="D46" s="3163"/>
      <c r="E46" s="3163"/>
      <c r="F46" s="3163"/>
      <c r="G46" s="3164"/>
      <c r="H46" s="2480"/>
      <c r="I46" s="168"/>
      <c r="J46" s="2980">
        <v>1</v>
      </c>
      <c r="K46" s="3147" t="s">
        <v>2186</v>
      </c>
      <c r="L46" s="3147"/>
      <c r="M46" s="3165"/>
      <c r="N46" s="3165"/>
      <c r="O46" s="3165"/>
    </row>
    <row r="47" spans="1:15" ht="12" customHeight="1">
      <c r="A47" s="169" t="s">
        <v>2187</v>
      </c>
      <c r="B47" s="170"/>
      <c r="C47" s="171"/>
      <c r="D47" s="172" t="s">
        <v>2188</v>
      </c>
      <c r="E47" s="24" t="s">
        <v>2189</v>
      </c>
      <c r="F47" s="173" t="s">
        <v>2190</v>
      </c>
      <c r="G47" s="174" t="s">
        <v>2191</v>
      </c>
      <c r="H47" s="2480"/>
      <c r="I47" s="168"/>
      <c r="J47" s="2980">
        <v>2</v>
      </c>
      <c r="K47" s="3147" t="s">
        <v>2192</v>
      </c>
      <c r="L47" s="3147"/>
      <c r="M47" s="3148">
        <f>'数据-取费表'!B2</f>
        <v>43872</v>
      </c>
      <c r="N47" s="3148"/>
      <c r="O47" s="3148"/>
    </row>
    <row r="48" spans="1:15" ht="26">
      <c r="A48" s="3149" t="s">
        <v>2193</v>
      </c>
      <c r="B48" s="3144"/>
      <c r="C48" s="3144"/>
      <c r="D48" s="140">
        <f>IF(H48="情况1",0,IF(H48="情况2",D52,IF(H48="情况3",D53,IF(H48="情况4",D54))))</f>
        <v>0</v>
      </c>
      <c r="E48" s="2989" t="str">
        <f>IF(H48="情况4","(销售额-原购置价)×税（费）率","销售额×税（费）率")</f>
        <v>销售额×税（费）率</v>
      </c>
      <c r="F48" s="175" t="str">
        <f>IF(H48="情况1","免征",'数据-取费表'!B41)</f>
        <v>免征</v>
      </c>
      <c r="G48" s="2481" t="s">
        <v>2194</v>
      </c>
      <c r="H48" s="2482" t="s">
        <v>2195</v>
      </c>
      <c r="I48" s="2480"/>
      <c r="J48" s="2980">
        <v>3</v>
      </c>
      <c r="K48" s="3147" t="s">
        <v>2196</v>
      </c>
      <c r="L48" s="3147"/>
      <c r="M48" s="3150">
        <f ca="1">H101</f>
        <v>22407</v>
      </c>
      <c r="N48" s="3150"/>
      <c r="O48" s="3150"/>
    </row>
    <row r="49" spans="1:35" ht="25.5" customHeight="1">
      <c r="A49" s="176" t="s">
        <v>2197</v>
      </c>
      <c r="B49" s="3124" t="s">
        <v>2198</v>
      </c>
      <c r="C49" s="3124"/>
      <c r="D49" s="177">
        <v>0</v>
      </c>
      <c r="E49" s="23" t="s">
        <v>2199</v>
      </c>
      <c r="F49" s="28" t="s">
        <v>34</v>
      </c>
      <c r="G49" s="3151"/>
      <c r="H49" s="138"/>
      <c r="I49" s="2483"/>
      <c r="J49" s="2980">
        <v>4</v>
      </c>
      <c r="K49" s="3147" t="str">
        <f>IF(项目基本情况!E8="房地产抵押价值","房地产抵押价值","抵押担保权已注销时的房地产抵押价值")</f>
        <v>抵押担保权已注销时的房地产抵押价值</v>
      </c>
      <c r="L49" s="3147"/>
      <c r="M49" s="3150" t="str">
        <f>IF(项目基本情况!E8="房地产抵押价值",H107,H109)</f>
        <v>——</v>
      </c>
      <c r="N49" s="3150"/>
      <c r="O49" s="3150"/>
    </row>
    <row r="50" spans="1:35" ht="25.5" customHeight="1">
      <c r="A50" s="178"/>
      <c r="B50" s="3124" t="s">
        <v>2200</v>
      </c>
      <c r="C50" s="3124"/>
      <c r="D50" s="179"/>
      <c r="E50" s="31"/>
      <c r="F50" s="180"/>
      <c r="G50" s="3152"/>
      <c r="H50" s="138"/>
      <c r="I50" s="2483"/>
      <c r="J50" s="3147" t="s">
        <v>2201</v>
      </c>
      <c r="K50" s="3147"/>
      <c r="L50" s="3147"/>
      <c r="M50" s="3147"/>
      <c r="N50" s="3147"/>
      <c r="O50" s="3147"/>
    </row>
    <row r="51" spans="1:35" ht="12" customHeight="1">
      <c r="A51" s="181"/>
      <c r="B51" s="3124" t="s">
        <v>2202</v>
      </c>
      <c r="C51" s="3124"/>
      <c r="D51" s="182"/>
      <c r="E51" s="30"/>
      <c r="F51" s="180"/>
      <c r="G51" s="3153"/>
      <c r="H51" s="138"/>
      <c r="I51" s="2483"/>
      <c r="J51" s="2977" t="s">
        <v>2203</v>
      </c>
      <c r="K51" s="3147" t="s">
        <v>2204</v>
      </c>
      <c r="L51" s="3147"/>
      <c r="M51" s="2977" t="s">
        <v>2205</v>
      </c>
      <c r="N51" s="2977" t="s">
        <v>2206</v>
      </c>
      <c r="O51" s="2977" t="s">
        <v>2207</v>
      </c>
    </row>
    <row r="52" spans="1:35" ht="24" customHeight="1">
      <c r="A52" s="183" t="s">
        <v>2208</v>
      </c>
      <c r="B52" s="3124" t="s">
        <v>2209</v>
      </c>
      <c r="C52" s="3124"/>
      <c r="D52" s="182">
        <f ca="1">ROUND(D45*'数据-取费表'!B41/(1+'数据-取费表'!C42),0)</f>
        <v>1195</v>
      </c>
      <c r="E52" s="11" t="s">
        <v>2210</v>
      </c>
      <c r="F52" s="184">
        <f>'数据-取费表'!B41</f>
        <v>5.6000000000000001E-2</v>
      </c>
      <c r="G52" s="2485"/>
      <c r="H52" s="138"/>
      <c r="I52" s="2483"/>
      <c r="J52" s="2980">
        <v>1</v>
      </c>
      <c r="K52" s="3131" t="s">
        <v>2211</v>
      </c>
      <c r="L52" s="3131"/>
      <c r="M52" s="1751">
        <f>D48</f>
        <v>0</v>
      </c>
      <c r="N52" s="2980" t="str">
        <f>E48</f>
        <v>销售额×税（费）率</v>
      </c>
      <c r="O52" s="1752" t="str">
        <f>F48</f>
        <v>免征</v>
      </c>
    </row>
    <row r="53" spans="1:35" ht="12" customHeight="1">
      <c r="A53" s="183" t="s">
        <v>2212</v>
      </c>
      <c r="B53" s="3123" t="s">
        <v>2213</v>
      </c>
      <c r="C53" s="3142"/>
      <c r="D53" s="182">
        <f ca="1">ROUND(D45*'数据-取费表'!B41/(1+'数据-取费表'!C42),0)</f>
        <v>1195</v>
      </c>
      <c r="E53" s="11" t="s">
        <v>2210</v>
      </c>
      <c r="F53" s="184">
        <f>'数据-取费表'!B41</f>
        <v>5.6000000000000001E-2</v>
      </c>
      <c r="G53" s="2485"/>
      <c r="H53" s="138"/>
      <c r="I53" s="2483"/>
      <c r="J53" s="2980">
        <v>2</v>
      </c>
      <c r="K53" s="3131" t="s">
        <v>2214</v>
      </c>
      <c r="L53" s="3131"/>
      <c r="M53" s="1751">
        <f t="shared" ref="M53:O54" ca="1" si="0">D55</f>
        <v>11</v>
      </c>
      <c r="N53" s="2980" t="str">
        <f t="shared" si="0"/>
        <v>销售额×税（费）率</v>
      </c>
      <c r="O53" s="1752">
        <f t="shared" si="0"/>
        <v>5.0000000000000001E-4</v>
      </c>
    </row>
    <row r="54" spans="1:35" ht="12" customHeight="1">
      <c r="A54" s="183" t="s">
        <v>2215</v>
      </c>
      <c r="B54" s="3123" t="s">
        <v>2216</v>
      </c>
      <c r="C54" s="3142"/>
      <c r="D54" s="182">
        <f ca="1">C68</f>
        <v>1195</v>
      </c>
      <c r="E54" s="30" t="s">
        <v>2217</v>
      </c>
      <c r="F54" s="184">
        <f>'数据-取费表'!B41</f>
        <v>5.6000000000000001E-2</v>
      </c>
      <c r="G54" s="2485"/>
      <c r="H54" s="2486"/>
      <c r="I54" s="2483"/>
      <c r="J54" s="2980">
        <v>3</v>
      </c>
      <c r="K54" s="3131" t="s">
        <v>2218</v>
      </c>
      <c r="L54" s="3131"/>
      <c r="M54" s="1751">
        <f t="shared" ca="1" si="0"/>
        <v>12682</v>
      </c>
      <c r="N54" s="2980" t="str">
        <f t="shared" si="0"/>
        <v>增值额×税（费）率</v>
      </c>
      <c r="O54" s="1753" t="str">
        <f t="shared" si="0"/>
        <v>——</v>
      </c>
    </row>
    <row r="55" spans="1:35" ht="24" customHeight="1">
      <c r="A55" s="3143" t="s">
        <v>2219</v>
      </c>
      <c r="B55" s="3144"/>
      <c r="C55" s="3144"/>
      <c r="D55" s="185">
        <f ca="1">IF(H55="个人住宅",0,ROUND(D45*I55,0))</f>
        <v>11</v>
      </c>
      <c r="E55" s="11" t="s">
        <v>2220</v>
      </c>
      <c r="F55" s="184">
        <f>IF(H55="正常",I55,"免征")</f>
        <v>5.0000000000000001E-4</v>
      </c>
      <c r="G55" s="2485"/>
      <c r="H55" s="2482" t="s">
        <v>2221</v>
      </c>
      <c r="I55" s="186">
        <f>'数据-取费表'!B49</f>
        <v>5.0000000000000001E-4</v>
      </c>
      <c r="J55" s="2980" t="str">
        <f>IF(H59="非个人房产","",4)</f>
        <v/>
      </c>
      <c r="K55" s="3131" t="str">
        <f>IF(H59="非个人房产","——","个人所得税")</f>
        <v>——</v>
      </c>
      <c r="L55" s="3131"/>
      <c r="M55" s="1754" t="str">
        <f>D59</f>
        <v>——</v>
      </c>
      <c r="N55" s="2981" t="str">
        <f>E59</f>
        <v>——</v>
      </c>
      <c r="O55" s="1755" t="str">
        <f>F59</f>
        <v>——</v>
      </c>
    </row>
    <row r="56" spans="1:35" ht="26">
      <c r="A56" s="3143" t="s">
        <v>2222</v>
      </c>
      <c r="B56" s="3144"/>
      <c r="C56" s="3144"/>
      <c r="D56" s="185">
        <f ca="1">IF(H56="个人住宅",D57,D58)</f>
        <v>12682</v>
      </c>
      <c r="E56" s="11" t="s">
        <v>2223</v>
      </c>
      <c r="F56" s="184" t="str">
        <f>IF(H56="正常",F58,"免征")</f>
        <v>——</v>
      </c>
      <c r="G56" s="2487" t="s">
        <v>2224</v>
      </c>
      <c r="H56" s="2488" t="s">
        <v>2221</v>
      </c>
      <c r="I56" s="2489"/>
      <c r="J56" s="2980" t="str">
        <f>IF(项目基本情况!K6="上海银行",IF(J55="",4,J55+1),"")</f>
        <v/>
      </c>
      <c r="K56" s="3145" t="str">
        <f>IF(项目基本情况!K6="上海银行","其他处置费用","")</f>
        <v/>
      </c>
      <c r="L56" s="3146"/>
      <c r="M56" s="1751" t="str">
        <f>IF(项目基本情况!K6="上海银行",M69,"")</f>
        <v/>
      </c>
      <c r="N56" s="3133" t="str">
        <f>IF(项目基本情况!K6="上海银行","包含处置中涉及的律师、诉讼、拍卖、评估等费用","")</f>
        <v/>
      </c>
      <c r="O56" s="3134"/>
    </row>
    <row r="57" spans="1:35" ht="13">
      <c r="A57" s="183" t="s">
        <v>2197</v>
      </c>
      <c r="B57" s="3135" t="s">
        <v>2225</v>
      </c>
      <c r="C57" s="3136"/>
      <c r="D57" s="187">
        <v>0</v>
      </c>
      <c r="E57" s="23" t="s">
        <v>2199</v>
      </c>
      <c r="F57" s="155"/>
      <c r="G57" s="2485"/>
      <c r="H57" s="2489"/>
      <c r="I57" s="2489"/>
      <c r="J57" s="3131">
        <f>IF(AND(J55="",J56=""),4,IF(项目基本情况!K6="上海银行",'结果表 (3)'!J56+1,'结果表 (3)'!J55+1))</f>
        <v>4</v>
      </c>
      <c r="K57" s="3131" t="s">
        <v>2226</v>
      </c>
      <c r="L57" s="2490" t="s">
        <v>2227</v>
      </c>
      <c r="M57" s="1756"/>
      <c r="N57" s="1757">
        <f ca="1">SUMIF(M52:M56,"&lt;9e307")</f>
        <v>12693</v>
      </c>
      <c r="O57" s="2491"/>
      <c r="P57" s="1750" t="e">
        <f ca="1">N57/M49</f>
        <v>#VALUE!</v>
      </c>
    </row>
    <row r="58" spans="1:35" ht="26">
      <c r="A58" s="183" t="s">
        <v>2208</v>
      </c>
      <c r="B58" s="3135" t="s">
        <v>2228</v>
      </c>
      <c r="C58" s="3137"/>
      <c r="D58" s="185">
        <f ca="1">IF(H58="转让取得",C81,C97)</f>
        <v>12682</v>
      </c>
      <c r="E58" s="11" t="s">
        <v>2223</v>
      </c>
      <c r="F58" s="24" t="s">
        <v>34</v>
      </c>
      <c r="G58" s="2485"/>
      <c r="H58" s="2488" t="s">
        <v>2229</v>
      </c>
      <c r="I58" s="2489"/>
      <c r="J58" s="3131"/>
      <c r="K58" s="3131"/>
      <c r="L58" s="2490" t="s">
        <v>2230</v>
      </c>
      <c r="M58" s="1758"/>
      <c r="N58" s="2492" t="str">
        <f ca="1">NUMBERSTRING(INT(N57*10000),2)&amp;"元整"</f>
        <v>壹亿贰仟陆佰玖拾叁万元整</v>
      </c>
      <c r="O58" s="2493"/>
    </row>
    <row r="59" spans="1:35" ht="26.5" thickBot="1">
      <c r="A59" s="3138" t="s">
        <v>2231</v>
      </c>
      <c r="B59" s="3139"/>
      <c r="C59" s="3139"/>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40">
        <f>J57+1</f>
        <v>5</v>
      </c>
      <c r="K59" s="3131" t="s">
        <v>2233</v>
      </c>
      <c r="L59" s="2980" t="s">
        <v>2227</v>
      </c>
      <c r="M59" s="1759"/>
      <c r="N59" s="1760" t="e">
        <f ca="1">M49-N57</f>
        <v>#VALUE!</v>
      </c>
      <c r="O59" s="2495"/>
    </row>
    <row r="60" spans="1:35" ht="12" customHeight="1">
      <c r="A60" s="2496"/>
      <c r="B60" s="2418"/>
      <c r="C60" s="2418"/>
      <c r="D60" s="2418"/>
      <c r="E60" s="2166"/>
      <c r="F60" s="2489"/>
      <c r="G60" s="2489"/>
      <c r="H60" s="2497"/>
      <c r="I60" s="138"/>
      <c r="J60" s="3141"/>
      <c r="K60" s="3131"/>
      <c r="L60" s="2490" t="s">
        <v>2230</v>
      </c>
      <c r="M60" s="1758"/>
      <c r="N60" s="2492" t="e">
        <f ca="1">NUMBERSTRING(INT(N59*10000),2)&amp;"元整"</f>
        <v>#VALUE!</v>
      </c>
      <c r="O60" s="2493"/>
    </row>
    <row r="61" spans="1:35" ht="13.5" thickBot="1">
      <c r="A61" s="3130" t="s">
        <v>2234</v>
      </c>
      <c r="B61" s="3130"/>
      <c r="C61" s="3130"/>
      <c r="D61" s="3130"/>
      <c r="E61" s="3130"/>
      <c r="F61" s="2489"/>
      <c r="G61" s="2489"/>
      <c r="H61" s="2497"/>
      <c r="I61" s="138"/>
      <c r="J61" s="2980">
        <f>J59+1</f>
        <v>6</v>
      </c>
      <c r="K61" s="3131" t="s">
        <v>2235</v>
      </c>
      <c r="L61" s="3131"/>
      <c r="M61" s="1761"/>
      <c r="N61" s="1762" t="e">
        <f ca="1">ROUND(N59*10000/'数据-汇总表'!E3,0)</f>
        <v>#VALUE!</v>
      </c>
      <c r="O61" s="2498"/>
    </row>
    <row r="62" spans="1:35" ht="13">
      <c r="A62" s="3128" t="s">
        <v>2236</v>
      </c>
      <c r="B62" s="3129"/>
      <c r="C62" s="2985"/>
      <c r="D62" s="2985" t="s">
        <v>2237</v>
      </c>
      <c r="E62" s="192" t="s">
        <v>2238</v>
      </c>
      <c r="F62" s="2489"/>
      <c r="G62" s="2489"/>
      <c r="H62" s="2497"/>
      <c r="I62" s="138"/>
    </row>
    <row r="63" spans="1:35" ht="13">
      <c r="A63" s="203" t="s">
        <v>775</v>
      </c>
      <c r="B63" s="193" t="s">
        <v>2239</v>
      </c>
      <c r="C63" s="194">
        <f ca="1">ROUND((C64+C65)/(1+'数据-取费表'!C42),0)</f>
        <v>21340</v>
      </c>
      <c r="D63" s="195"/>
      <c r="E63" s="196"/>
      <c r="F63" s="2489"/>
      <c r="G63" s="2489"/>
      <c r="H63" s="2497"/>
      <c r="I63" s="138"/>
      <c r="J63" s="3132" t="s">
        <v>2240</v>
      </c>
      <c r="K63" s="2978" t="s">
        <v>2241</v>
      </c>
      <c r="L63" s="1749" t="e">
        <f>IF(M49&gt;10000,M49*0.5%,IF(AND(M49&gt;1000,M49&lt;=10000),M49*1%,IF(AND(M49&gt;100,M49&lt;=1000),M49*3%,IF(AND(M49&gt;10,M49&lt;=100),M49*5%,M49*8%))))</f>
        <v>#VALUE!</v>
      </c>
      <c r="M63" s="24" t="e">
        <f>ROUND(L63,1)</f>
        <v>#VALUE!</v>
      </c>
      <c r="Z63" s="2423"/>
      <c r="AI63" s="2424"/>
    </row>
    <row r="64" spans="1:35" ht="14.25" customHeight="1">
      <c r="A64" s="197" t="s">
        <v>770</v>
      </c>
      <c r="B64" s="198" t="s">
        <v>2242</v>
      </c>
      <c r="C64" s="199">
        <f ca="1">D45</f>
        <v>22407</v>
      </c>
      <c r="D64" s="200" t="s">
        <v>32</v>
      </c>
      <c r="E64" s="201"/>
      <c r="F64" s="2489"/>
      <c r="G64" s="2489"/>
      <c r="H64" s="2497"/>
      <c r="I64" s="138"/>
      <c r="J64" s="3132"/>
      <c r="K64" s="2978"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3"/>
      <c r="AI64" s="2424"/>
    </row>
    <row r="65" spans="1:35" ht="14.25" customHeight="1">
      <c r="A65" s="197" t="s">
        <v>771</v>
      </c>
      <c r="B65" s="198" t="s">
        <v>2245</v>
      </c>
      <c r="C65" s="202"/>
      <c r="D65" s="200"/>
      <c r="E65" s="201"/>
      <c r="F65" s="2489"/>
      <c r="G65" s="2489"/>
      <c r="H65" s="2497"/>
      <c r="I65" s="138"/>
      <c r="J65" s="3132"/>
      <c r="K65" s="2978" t="s">
        <v>2246</v>
      </c>
      <c r="L65" s="1749" t="e">
        <f>IF(M49&gt;1000,M49*0.1%,IF(AND(M49&gt;500,M49&lt;=1000),M49*0.5%,IF(AND(M49&gt;50,M49&lt;=500),M49*1%,IF(AND(M49&gt;1,M49&lt;=50),M49*1.5%))))</f>
        <v>#VALUE!</v>
      </c>
      <c r="M65" s="24" t="e">
        <f t="shared" si="1"/>
        <v>#VALUE!</v>
      </c>
      <c r="N65" s="138" t="s">
        <v>2244</v>
      </c>
      <c r="Z65" s="2423"/>
      <c r="AI65" s="2424"/>
    </row>
    <row r="66" spans="1:35" ht="14.25" customHeight="1">
      <c r="A66" s="203" t="s">
        <v>772</v>
      </c>
      <c r="B66" s="204" t="s">
        <v>2247</v>
      </c>
      <c r="C66" s="205"/>
      <c r="D66" s="206" t="s">
        <v>32</v>
      </c>
      <c r="E66" s="1773" t="s">
        <v>1366</v>
      </c>
      <c r="F66" s="2489"/>
      <c r="G66" s="2489"/>
      <c r="H66" s="2497"/>
      <c r="I66" s="138"/>
      <c r="J66" s="3132"/>
      <c r="K66" s="2978" t="s">
        <v>2248</v>
      </c>
      <c r="L66" s="1749" t="e">
        <f>M49*0.5%</f>
        <v>#VALUE!</v>
      </c>
      <c r="M66" s="24" t="e">
        <f>IF(L66&gt;0.5,0.5,ROUND(L66,0))</f>
        <v>#VALUE!</v>
      </c>
      <c r="N66" s="138" t="s">
        <v>2249</v>
      </c>
      <c r="Z66" s="2423"/>
      <c r="AI66" s="2424"/>
    </row>
    <row r="67" spans="1:35" ht="14.25" customHeight="1">
      <c r="A67" s="203" t="s">
        <v>773</v>
      </c>
      <c r="B67" s="204" t="s">
        <v>2250</v>
      </c>
      <c r="C67" s="207">
        <f ca="1">C63-C66</f>
        <v>21340</v>
      </c>
      <c r="D67" s="200" t="s">
        <v>32</v>
      </c>
      <c r="E67" s="201"/>
      <c r="F67" s="2489"/>
      <c r="G67" s="2489"/>
      <c r="H67" s="2497"/>
      <c r="I67" s="138"/>
      <c r="J67" s="3132"/>
      <c r="K67" s="2978"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2252</v>
      </c>
      <c r="C68" s="210">
        <f ca="1">IF(C67&lt;=0,0,ROUND(C67*D68,0))</f>
        <v>1195</v>
      </c>
      <c r="D68" s="211">
        <f>'数据-取费表'!B41</f>
        <v>5.6000000000000001E-2</v>
      </c>
      <c r="E68" s="212"/>
      <c r="F68" s="2489"/>
      <c r="G68" s="2489"/>
      <c r="H68" s="2497"/>
      <c r="I68" s="138"/>
      <c r="J68" s="3132"/>
      <c r="K68" s="2978" t="s">
        <v>2253</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132"/>
      <c r="K69" s="2978" t="s">
        <v>2254</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5" thickBot="1">
      <c r="A70" s="3126" t="s">
        <v>2255</v>
      </c>
      <c r="B70" s="3127"/>
      <c r="C70" s="3127"/>
      <c r="D70" s="3127"/>
      <c r="E70" s="3127"/>
      <c r="F70" s="3127"/>
      <c r="G70" s="3127"/>
      <c r="H70" s="312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
      <c r="A71" s="3128" t="s">
        <v>2236</v>
      </c>
      <c r="B71" s="3129"/>
      <c r="C71" s="2985"/>
      <c r="D71" s="2985"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
      <c r="A72" s="203" t="s">
        <v>775</v>
      </c>
      <c r="B72" s="204" t="s">
        <v>2256</v>
      </c>
      <c r="C72" s="207">
        <f ca="1">ROUND(D45/(1+'数据-取费表'!C42),0)</f>
        <v>21340</v>
      </c>
      <c r="D72" s="200" t="s">
        <v>32</v>
      </c>
      <c r="E72" s="2987"/>
      <c r="F72" s="2986"/>
      <c r="G72" s="298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
      <c r="A73" s="203" t="s">
        <v>772</v>
      </c>
      <c r="B73" s="173" t="s">
        <v>2257</v>
      </c>
      <c r="C73" s="207">
        <f ca="1">C74+C78</f>
        <v>128</v>
      </c>
      <c r="D73" s="200" t="s">
        <v>32</v>
      </c>
      <c r="E73" s="2987"/>
      <c r="F73" s="2986"/>
      <c r="G73" s="298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6">
      <c r="A74" s="217" t="s">
        <v>770</v>
      </c>
      <c r="B74" s="198" t="s">
        <v>2258</v>
      </c>
      <c r="C74" s="200">
        <f>ROUND(IF(G77="2016年5月1日后购买",C75/(1+'数据-取费表'!C42)+C76+C77,C75+C76+C77),0)</f>
        <v>0</v>
      </c>
      <c r="D74" s="200" t="s">
        <v>32</v>
      </c>
      <c r="E74" s="2987"/>
      <c r="F74" s="2986"/>
      <c r="G74" s="298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23" t="s">
        <v>2264</v>
      </c>
      <c r="F76" s="3124"/>
      <c r="G76" s="3124"/>
      <c r="H76" s="312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2979" t="s">
        <v>2266</v>
      </c>
      <c r="F77" s="224"/>
      <c r="G77" s="2513" t="s">
        <v>2267</v>
      </c>
      <c r="H77" s="298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128</v>
      </c>
      <c r="D78" s="226">
        <f>'数据-取费表'!B43</f>
        <v>6.000000000000001E-3</v>
      </c>
      <c r="E78" s="3111" t="s">
        <v>2269</v>
      </c>
      <c r="F78" s="3112"/>
      <c r="G78" s="3112"/>
      <c r="H78" s="311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
      <c r="A79" s="2515" t="s">
        <v>773</v>
      </c>
      <c r="B79" s="204" t="s">
        <v>2270</v>
      </c>
      <c r="C79" s="207">
        <f ca="1">C72-C73</f>
        <v>21212</v>
      </c>
      <c r="D79" s="200" t="s">
        <v>32</v>
      </c>
      <c r="E79" s="2987"/>
      <c r="F79" s="2986"/>
      <c r="G79" s="298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6">
      <c r="A80" s="2515" t="s">
        <v>780</v>
      </c>
      <c r="B80" s="204" t="s">
        <v>2271</v>
      </c>
      <c r="C80" s="227">
        <f ca="1">IF(C79&lt;=0,0,C79/C73)</f>
        <v>165.71875</v>
      </c>
      <c r="D80" s="200" t="s">
        <v>32</v>
      </c>
      <c r="E80" s="2979" t="str">
        <f ca="1">IF(C80&gt;=200%,"增值额超过扣除项目金额200%",IF(C80&gt;=100%,"增值额超过扣除项目金额100%，未超过200%",IF(C80&gt;=50%,"增值额超过扣除项目金额50%，未超过100%",IF(C80&lt;50%,"增值额未超过扣除项目金额50%"))))</f>
        <v>增值额超过扣除项目金额200%</v>
      </c>
      <c r="F80" s="2986"/>
      <c r="G80" s="298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6.5" thickBot="1">
      <c r="A81" s="2516" t="s">
        <v>781</v>
      </c>
      <c r="B81" s="209" t="s">
        <v>2272</v>
      </c>
      <c r="C81" s="228">
        <f ca="1">ROUND(IF(C79&lt;=0,0,IF(C80&gt;=200%,C79*60%-C73*35%,IF(C80&gt;=100%,C79*50%-C73*15%,IF(C80&gt;=50%,C79*40%-C73*5%,IF(C80&lt;50%,C79*30%,0))))),0)</f>
        <v>12682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5" thickBot="1">
      <c r="A83" s="3126" t="s">
        <v>2273</v>
      </c>
      <c r="B83" s="3127"/>
      <c r="C83" s="3127"/>
      <c r="D83" s="3127"/>
      <c r="E83" s="3127"/>
      <c r="F83" s="3127"/>
      <c r="G83" s="3127"/>
      <c r="H83" s="312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
      <c r="A84" s="3128" t="s">
        <v>2236</v>
      </c>
      <c r="B84" s="3129"/>
      <c r="C84" s="2985"/>
      <c r="D84" s="2985"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
      <c r="A85" s="203" t="s">
        <v>775</v>
      </c>
      <c r="B85" s="204" t="s">
        <v>2256</v>
      </c>
      <c r="C85" s="207">
        <f ca="1">ROUND(D45/(1+'数据-取费表'!C42),0)</f>
        <v>21340</v>
      </c>
      <c r="D85" s="200" t="s">
        <v>32</v>
      </c>
      <c r="E85" s="2987"/>
      <c r="F85" s="2986"/>
      <c r="G85" s="298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
      <c r="A86" s="203" t="s">
        <v>772</v>
      </c>
      <c r="B86" s="173" t="s">
        <v>2257</v>
      </c>
      <c r="C86" s="207">
        <f ca="1">IF(H88="仅含出让金",C87+C90+C91+C92+C93+C94,C87+C91+C92+C93+C94)</f>
        <v>128</v>
      </c>
      <c r="D86" s="235"/>
      <c r="E86" s="2987"/>
      <c r="F86" s="2986"/>
      <c r="G86" s="298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
      <c r="A87" s="217" t="s">
        <v>770</v>
      </c>
      <c r="B87" s="198" t="s">
        <v>2274</v>
      </c>
      <c r="C87" s="225">
        <f>C88+C89</f>
        <v>0</v>
      </c>
      <c r="D87" s="226"/>
      <c r="E87" s="2982"/>
      <c r="F87" s="2983"/>
      <c r="G87" s="2983"/>
      <c r="H87" s="2984"/>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
      <c r="A88" s="217" t="s">
        <v>776</v>
      </c>
      <c r="B88" s="198" t="s">
        <v>2275</v>
      </c>
      <c r="C88" s="236"/>
      <c r="D88" s="226"/>
      <c r="E88" s="237" t="s">
        <v>2276</v>
      </c>
      <c r="F88" s="2983"/>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
      <c r="A89" s="217" t="s">
        <v>777</v>
      </c>
      <c r="B89" s="198" t="s">
        <v>2265</v>
      </c>
      <c r="C89" s="225">
        <f>ROUND(C88*D89,0)</f>
        <v>0</v>
      </c>
      <c r="D89" s="226">
        <f>'数据-取费表'!B48+'数据-取费表'!B49</f>
        <v>3.0499999999999999E-2</v>
      </c>
      <c r="E89" s="237" t="s">
        <v>2278</v>
      </c>
      <c r="F89" s="2983"/>
      <c r="G89" s="2983"/>
      <c r="H89" s="2984"/>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
      <c r="A90" s="217" t="s">
        <v>771</v>
      </c>
      <c r="B90" s="198" t="s">
        <v>2279</v>
      </c>
      <c r="C90" s="236"/>
      <c r="D90" s="226"/>
      <c r="E90" s="237" t="str">
        <f>IF(H88="-","土地取得成本中已包含该笔费用"," ")</f>
        <v xml:space="preserve"> </v>
      </c>
      <c r="F90" s="2983"/>
      <c r="G90" s="2983"/>
      <c r="H90" s="2984"/>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111" t="s">
        <v>2282</v>
      </c>
      <c r="F91" s="3112"/>
      <c r="G91" s="3112"/>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111" t="s">
        <v>2286</v>
      </c>
      <c r="F92" s="3112"/>
      <c r="G92" s="3112"/>
      <c r="H92" s="311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128</v>
      </c>
      <c r="D93" s="226">
        <f>'数据-取费表'!B43</f>
        <v>6.000000000000001E-3</v>
      </c>
      <c r="E93" s="3111" t="s">
        <v>2269</v>
      </c>
      <c r="F93" s="3112"/>
      <c r="G93" s="3112"/>
      <c r="H93" s="311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114" t="s">
        <v>2290</v>
      </c>
      <c r="F94" s="3115"/>
      <c r="G94" s="3115"/>
      <c r="H94" s="311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
      <c r="A95" s="2515" t="s">
        <v>773</v>
      </c>
      <c r="B95" s="204" t="s">
        <v>2270</v>
      </c>
      <c r="C95" s="207">
        <f ca="1">ROUND(C85-C86,0)</f>
        <v>21212</v>
      </c>
      <c r="D95" s="200" t="s">
        <v>32</v>
      </c>
      <c r="E95" s="2987"/>
      <c r="F95" s="2986"/>
      <c r="G95" s="298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6">
      <c r="A96" s="2515" t="s">
        <v>780</v>
      </c>
      <c r="B96" s="204" t="s">
        <v>2271</v>
      </c>
      <c r="C96" s="227">
        <f ca="1">IF(C95&lt;=0,0,C95/C86)</f>
        <v>165.71875</v>
      </c>
      <c r="D96" s="200" t="s">
        <v>32</v>
      </c>
      <c r="E96" s="2979" t="str">
        <f ca="1">IF(C96&gt;=200%,"增值额超过扣除项目金额200%",IF(C96&gt;=100%,"增值额超过扣除项目金额100%，未超过200%",IF(C96&gt;=50%,"增值额超过扣除项目金额50%，未超过100%",IF(C96&lt;50%,"增值额未超过扣除项目金额50%"))))</f>
        <v>增值额超过扣除项目金额200%</v>
      </c>
      <c r="F96" s="2986"/>
      <c r="G96" s="298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6.5" thickBot="1">
      <c r="A97" s="2516" t="s">
        <v>781</v>
      </c>
      <c r="B97" s="209" t="s">
        <v>2272</v>
      </c>
      <c r="C97" s="228">
        <f ca="1">ROUND(IF(C95&lt;=0,0,IF(C96&gt;=200%,C95*60%-C86*35%,IF(C96&gt;=100%,C95*50%-C86*15%,IF(C96&gt;=50%,C95*40%-C86*5%,IF(C96&lt;50%,C95*30%,0))))),0)</f>
        <v>12682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77" t="s">
        <v>2292</v>
      </c>
      <c r="B100" s="3078"/>
      <c r="C100" s="3078"/>
      <c r="D100" s="3117"/>
      <c r="E100" s="3078" t="s">
        <v>2293</v>
      </c>
      <c r="F100" s="3078"/>
      <c r="G100" s="3078"/>
      <c r="H100" s="3117"/>
      <c r="I100" s="138"/>
    </row>
    <row r="101" spans="1:35" ht="18.75" customHeight="1">
      <c r="A101" s="3118" t="s">
        <v>2294</v>
      </c>
      <c r="B101" s="3119"/>
      <c r="C101" s="736" t="str">
        <f>C4</f>
        <v>比较法-办公</v>
      </c>
      <c r="D101" s="737" t="str">
        <f>D4</f>
        <v>收益法</v>
      </c>
      <c r="E101" s="3120" t="s">
        <v>2295</v>
      </c>
      <c r="F101" s="3102"/>
      <c r="G101" s="2520" t="s">
        <v>2296</v>
      </c>
      <c r="H101" s="1045">
        <f ca="1">H118</f>
        <v>22407</v>
      </c>
      <c r="I101" s="138"/>
    </row>
    <row r="102" spans="1:35" ht="18.75" customHeight="1">
      <c r="A102" s="3099" t="s">
        <v>2297</v>
      </c>
      <c r="B102" s="2520" t="s">
        <v>2296</v>
      </c>
      <c r="C102" s="736">
        <f ca="1">C19</f>
        <v>24756</v>
      </c>
      <c r="D102" s="737">
        <f ca="1">D19</f>
        <v>18884</v>
      </c>
      <c r="E102" s="3120"/>
      <c r="F102" s="3102"/>
      <c r="G102" s="2520" t="s">
        <v>2298</v>
      </c>
      <c r="H102" s="371">
        <f ca="1">I118</f>
        <v>74672</v>
      </c>
      <c r="I102" s="138"/>
    </row>
    <row r="103" spans="1:35" ht="42.75" customHeight="1">
      <c r="A103" s="3099"/>
      <c r="B103" s="2520" t="s">
        <v>2298</v>
      </c>
      <c r="C103" s="738">
        <f ca="1">C20</f>
        <v>82500</v>
      </c>
      <c r="D103" s="739">
        <f ca="1">D20</f>
        <v>62931</v>
      </c>
      <c r="E103" s="3121" t="s">
        <v>2299</v>
      </c>
      <c r="F103" s="3122"/>
      <c r="G103" s="2521" t="s">
        <v>2300</v>
      </c>
      <c r="H103" s="1045">
        <f>IF(D36="正常操作",H104+H105+H106,H105+H106)</f>
        <v>0</v>
      </c>
      <c r="I103" s="138"/>
    </row>
    <row r="104" spans="1:35" ht="18.75" customHeight="1">
      <c r="A104" s="3099" t="s">
        <v>2301</v>
      </c>
      <c r="B104" s="2522" t="s">
        <v>2296</v>
      </c>
      <c r="C104" s="740">
        <f ca="1">H118</f>
        <v>22407</v>
      </c>
      <c r="D104" s="741"/>
      <c r="E104" s="2267" t="s">
        <v>2302</v>
      </c>
      <c r="F104" s="2258"/>
      <c r="G104" s="2521" t="s">
        <v>2300</v>
      </c>
      <c r="H104" s="1046">
        <f>IF(D36="同一抵押权人同一抵押物续贷",C36&amp;"（未扣减，详见特别提示）",C36)</f>
        <v>0</v>
      </c>
      <c r="I104" s="138"/>
    </row>
    <row r="105" spans="1:35" ht="18.75" customHeight="1" thickBot="1">
      <c r="A105" s="3100"/>
      <c r="B105" s="2523" t="s">
        <v>2298</v>
      </c>
      <c r="C105" s="742">
        <f ca="1">I118</f>
        <v>74672</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101" t="str">
        <f>IF(项目基本情况!E8="已注销","——","3.房地产抵押价值")</f>
        <v>3.房地产抵押价值</v>
      </c>
      <c r="F107" s="3102"/>
      <c r="G107" s="2520" t="s">
        <v>2296</v>
      </c>
      <c r="H107" s="1045">
        <f ca="1">IF(E107="——","——",H101-H103)</f>
        <v>22407</v>
      </c>
      <c r="I107" s="138"/>
    </row>
    <row r="108" spans="1:35" ht="18.75" customHeight="1">
      <c r="A108" s="138"/>
      <c r="B108" s="138"/>
      <c r="C108" s="138"/>
      <c r="D108" s="138"/>
      <c r="E108" s="3101"/>
      <c r="F108" s="3102"/>
      <c r="G108" s="2520" t="s">
        <v>2298</v>
      </c>
      <c r="H108" s="371">
        <f ca="1">ROUND(H107*10000/'数据-汇总表'!E3,0)</f>
        <v>74672</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102"/>
      <c r="G109" s="2520" t="s">
        <v>2296</v>
      </c>
      <c r="H109" s="348" t="str">
        <f>IF(E109="——","——",H101-H105-H106)</f>
        <v>——</v>
      </c>
      <c r="I109" s="138"/>
    </row>
    <row r="110" spans="1:35" ht="18.75" customHeight="1">
      <c r="A110" s="138"/>
      <c r="B110" s="138"/>
      <c r="C110" s="138"/>
      <c r="D110" s="138"/>
      <c r="E110" s="3101"/>
      <c r="F110" s="3102"/>
      <c r="G110" s="2520" t="s">
        <v>2298</v>
      </c>
      <c r="H110" s="371" t="str">
        <f>IF(H109="——","——",ROUND(H109*10000/'数据-汇总表'!E3,0))</f>
        <v>——</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20" t="s">
        <v>2296</v>
      </c>
      <c r="H111" s="1045" t="str">
        <f>IF(E111="——","——",N59)</f>
        <v>——</v>
      </c>
      <c r="I111" s="138"/>
    </row>
    <row r="112" spans="1:35" ht="18.75" customHeight="1" thickBot="1">
      <c r="A112" s="138"/>
      <c r="B112" s="138"/>
      <c r="C112" s="138"/>
      <c r="D112" s="138"/>
      <c r="E112" s="3105"/>
      <c r="F112" s="3106"/>
      <c r="G112" s="2525" t="s">
        <v>2298</v>
      </c>
      <c r="H112" s="790" t="str">
        <f>IF(E111="——","——",N61)</f>
        <v>——</v>
      </c>
      <c r="I112" s="138"/>
    </row>
    <row r="113" spans="1:11" ht="18.75" customHeight="1">
      <c r="A113" s="138"/>
      <c r="B113" s="138"/>
      <c r="C113" s="138"/>
      <c r="D113" s="138"/>
      <c r="E113" s="3107" t="s">
        <v>2304</v>
      </c>
      <c r="F113" s="3107"/>
      <c r="G113" s="3107"/>
      <c r="H113" s="3107"/>
      <c r="I113" s="138"/>
    </row>
    <row r="114" spans="1:11" ht="3.75" customHeight="1">
      <c r="A114" s="2418"/>
      <c r="B114" s="2418"/>
      <c r="C114" s="2418"/>
      <c r="D114" s="2418"/>
      <c r="E114" s="2496"/>
      <c r="F114" s="2496"/>
      <c r="G114" s="2496"/>
      <c r="H114" s="2496"/>
      <c r="I114" s="2418"/>
    </row>
    <row r="115" spans="1:11" ht="18.75" customHeight="1">
      <c r="A115" s="3108" t="s">
        <v>2306</v>
      </c>
      <c r="B115" s="3109"/>
      <c r="C115" s="3109"/>
      <c r="D115" s="3109"/>
      <c r="E115" s="3109"/>
      <c r="F115" s="3109"/>
      <c r="G115" s="3109"/>
      <c r="H115" s="3109"/>
      <c r="I115" s="3110"/>
    </row>
    <row r="116" spans="1:11" ht="27" customHeight="1">
      <c r="A116" s="3056" t="s">
        <v>2307</v>
      </c>
      <c r="B116" s="3094" t="s">
        <v>2308</v>
      </c>
      <c r="C116" s="3094" t="s">
        <v>2309</v>
      </c>
      <c r="D116" s="3096" t="s">
        <v>2310</v>
      </c>
      <c r="E116" s="3097"/>
      <c r="F116" s="3098" t="s">
        <v>2311</v>
      </c>
      <c r="G116" s="3098"/>
      <c r="H116" s="3056" t="s">
        <v>2312</v>
      </c>
      <c r="I116" s="3056"/>
    </row>
    <row r="117" spans="1:11" ht="18.75" customHeight="1">
      <c r="A117" s="3056"/>
      <c r="B117" s="3095"/>
      <c r="C117" s="3095"/>
      <c r="D117" s="2976" t="s">
        <v>2313</v>
      </c>
      <c r="E117" s="2976" t="s">
        <v>2314</v>
      </c>
      <c r="F117" s="2976" t="s">
        <v>2313</v>
      </c>
      <c r="G117" s="2976" t="s">
        <v>2315</v>
      </c>
      <c r="H117" s="2976" t="s">
        <v>2313</v>
      </c>
      <c r="I117" s="2976" t="s">
        <v>2315</v>
      </c>
    </row>
    <row r="118" spans="1:11" ht="24.75" customHeight="1">
      <c r="A118" s="2526" t="str">
        <f>项目基本情况!S2</f>
        <v>房地产</v>
      </c>
      <c r="B118" s="2976">
        <f>M18</f>
        <v>3000.7300000000005</v>
      </c>
      <c r="C118" s="2976">
        <f>M19</f>
        <v>0</v>
      </c>
      <c r="D118" s="2976" t="e">
        <f ca="1">ROUND(IF(D32="总价",C34,E118*B118/10000),0)</f>
        <v>#REF!</v>
      </c>
      <c r="E118" s="2976" t="e">
        <f ca="1">ROUND(IF(C33="自定义",IF(D32="楼面单价",C34,D118*10000/B118),I118-G118),0)</f>
        <v>#REF!</v>
      </c>
      <c r="F118" s="2976" t="e">
        <f ca="1">ROUND(IF(D32="总价",C35,G118*B118/10000),0)</f>
        <v>#REF!</v>
      </c>
      <c r="G118" s="2976" t="e">
        <f ca="1">ROUND(IF(D32="楼面单价",C35,F118*10000/B118),0)</f>
        <v>#REF!</v>
      </c>
      <c r="H118" s="2976">
        <f ca="1">ROUND(IF(D32="总价",C32,I118*B118/10000),0)</f>
        <v>22407</v>
      </c>
      <c r="I118" s="2976">
        <f ca="1">ROUND(IF(D32="楼面单价",C32,H118*10000/B118),0)</f>
        <v>74672</v>
      </c>
    </row>
    <row r="119" spans="1:11" ht="18.75" customHeight="1">
      <c r="A119" s="3056" t="s">
        <v>2316</v>
      </c>
      <c r="B119" s="3056"/>
      <c r="C119" s="3056"/>
      <c r="D119" s="3083" t="e">
        <f ca="1">NUMBERSTRING(INT(D118*10000),2)&amp;"元整"</f>
        <v>#REF!</v>
      </c>
      <c r="E119" s="3085"/>
      <c r="F119" s="3083" t="e">
        <f ca="1">NUMBERSTRING(INT(F118*10000),2)&amp;"元整"</f>
        <v>#REF!</v>
      </c>
      <c r="G119" s="3085"/>
      <c r="H119" s="3083" t="str">
        <f ca="1">NUMBERSTRING(INT(H118*10000),2)&amp;"元整"</f>
        <v>贰亿贰仟肆佰零柒万元整</v>
      </c>
      <c r="I119" s="3085"/>
    </row>
    <row r="120" spans="1:11" ht="18.75" customHeight="1">
      <c r="A120" s="3088" t="str">
        <f>IF(项目基本情况!B9="房地产市场价值","",MID(E103,3,LEN(E103)-2))</f>
        <v>估价师知悉的法定优先受偿款</v>
      </c>
      <c r="B120" s="3089"/>
      <c r="C120" s="3090"/>
      <c r="D120" s="3088">
        <f>H103</f>
        <v>0</v>
      </c>
      <c r="E120" s="3089"/>
      <c r="F120" s="3089"/>
      <c r="G120" s="3089"/>
      <c r="H120" s="3089"/>
      <c r="I120" s="3090"/>
      <c r="K120" s="2423" t="str">
        <f>IF(D120=0,"故，本次评估不存在"&amp;A120,"故，本次评估"&amp;A120&amp;"为人民币"&amp;D120&amp;"万元整。")</f>
        <v>故，本次评估不存在估价师知悉的法定优先受偿款</v>
      </c>
    </row>
    <row r="121" spans="1:11" ht="18.75" customHeight="1">
      <c r="A121" s="3091" t="s">
        <v>2316</v>
      </c>
      <c r="B121" s="3092"/>
      <c r="C121" s="3093"/>
      <c r="D121" s="3083" t="str">
        <f>IF(D120=0,"零元整",NUMBERSTRING(INT(D120*10000),2)&amp;"元整")</f>
        <v>零元整</v>
      </c>
      <c r="E121" s="3084"/>
      <c r="F121" s="3084"/>
      <c r="G121" s="3084"/>
      <c r="H121" s="3084"/>
      <c r="I121" s="3085"/>
    </row>
    <row r="122" spans="1:11" ht="18.75" customHeight="1">
      <c r="A122" s="3087" t="str">
        <f>IF(项目基本情况!B9="房地产市场价值","",MID(E107,3,LEN(E107)-2))</f>
        <v>房地产抵押价值</v>
      </c>
      <c r="B122" s="3087"/>
      <c r="C122" s="3087"/>
      <c r="D122" s="3088">
        <f ca="1">H107</f>
        <v>22407</v>
      </c>
      <c r="E122" s="3089"/>
      <c r="F122" s="3089"/>
      <c r="G122" s="3089"/>
      <c r="H122" s="3089"/>
      <c r="I122" s="3090"/>
    </row>
    <row r="123" spans="1:11" ht="18.75" customHeight="1">
      <c r="A123" s="3056" t="s">
        <v>2316</v>
      </c>
      <c r="B123" s="3056"/>
      <c r="C123" s="3056"/>
      <c r="D123" s="3083" t="str">
        <f ca="1">NUMBERSTRING(INT(D122*10000),2)&amp;"元整"</f>
        <v>贰亿贰仟肆佰零柒万元整</v>
      </c>
      <c r="E123" s="3084"/>
      <c r="F123" s="3084"/>
      <c r="G123" s="3084"/>
      <c r="H123" s="3084"/>
      <c r="I123" s="3085"/>
    </row>
    <row r="124" spans="1:11" ht="18.75" customHeight="1">
      <c r="A124" s="3087" t="str">
        <f>IF(项目基本情况!B9="房地产市场价值","",MID(E109,3,LEN(E109)-2))</f>
        <v/>
      </c>
      <c r="B124" s="3087"/>
      <c r="C124" s="3087"/>
      <c r="D124" s="3088" t="str">
        <f>H109</f>
        <v>——</v>
      </c>
      <c r="E124" s="3089"/>
      <c r="F124" s="3089"/>
      <c r="G124" s="3089"/>
      <c r="H124" s="3089"/>
      <c r="I124" s="3090"/>
    </row>
    <row r="125" spans="1:11" ht="18.75" customHeight="1">
      <c r="A125" s="3056" t="s">
        <v>2316</v>
      </c>
      <c r="B125" s="3056"/>
      <c r="C125" s="3056"/>
      <c r="D125" s="3083" t="e">
        <f>NUMBERSTRING(INT(D124*10000),2)&amp;"元整"</f>
        <v>#VALUE!</v>
      </c>
      <c r="E125" s="3084"/>
      <c r="F125" s="3084"/>
      <c r="G125" s="3084"/>
      <c r="H125" s="3084"/>
      <c r="I125" s="3085"/>
    </row>
    <row r="126" spans="1:11" ht="18.75" customHeight="1">
      <c r="A126" s="3087" t="str">
        <f>IF(项目基本情况!B9="房地产市场价值","",MID(E111,3,LEN(E111)-2))</f>
        <v/>
      </c>
      <c r="B126" s="3087"/>
      <c r="C126" s="3087"/>
      <c r="D126" s="3088" t="str">
        <f>H111</f>
        <v>——</v>
      </c>
      <c r="E126" s="3089"/>
      <c r="F126" s="3089"/>
      <c r="G126" s="3089"/>
      <c r="H126" s="3089"/>
      <c r="I126" s="3090"/>
    </row>
    <row r="127" spans="1:11" ht="18.75" customHeight="1">
      <c r="A127" s="3056" t="s">
        <v>2316</v>
      </c>
      <c r="B127" s="3056"/>
      <c r="C127" s="3056"/>
      <c r="D127" s="3083" t="e">
        <f>NUMBERSTRING(INT(D126*10000),2)&amp;"元整"</f>
        <v>#VALUE!</v>
      </c>
      <c r="E127" s="3084"/>
      <c r="F127" s="3084"/>
      <c r="G127" s="3084"/>
      <c r="H127" s="3084"/>
      <c r="I127" s="3085"/>
    </row>
    <row r="128" spans="1:11" ht="21.75" customHeight="1">
      <c r="A128" s="3086" t="s">
        <v>2317</v>
      </c>
      <c r="B128" s="3086"/>
      <c r="C128" s="3086"/>
      <c r="D128" s="3086"/>
      <c r="E128" s="3086"/>
      <c r="F128" s="3086"/>
      <c r="G128" s="3086"/>
      <c r="H128" s="3086"/>
      <c r="I128" s="3086"/>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62" priority="10" stopIfTrue="1" operator="equal">
      <formula>25</formula>
    </cfRule>
  </conditionalFormatting>
  <conditionalFormatting sqref="C8:C9">
    <cfRule type="cellIs" dxfId="161" priority="9" stopIfTrue="1" operator="equal">
      <formula>15</formula>
    </cfRule>
  </conditionalFormatting>
  <conditionalFormatting sqref="C14:C16">
    <cfRule type="cellIs" dxfId="160" priority="8" stopIfTrue="1" operator="equal">
      <formula>30</formula>
    </cfRule>
  </conditionalFormatting>
  <conditionalFormatting sqref="D5:D7">
    <cfRule type="cellIs" dxfId="159" priority="7" stopIfTrue="1" operator="equal">
      <formula>25</formula>
    </cfRule>
  </conditionalFormatting>
  <conditionalFormatting sqref="D8:D9">
    <cfRule type="cellIs" dxfId="158" priority="6" stopIfTrue="1" operator="equal">
      <formula>15</formula>
    </cfRule>
  </conditionalFormatting>
  <conditionalFormatting sqref="C10:D13">
    <cfRule type="cellIs" dxfId="157" priority="5" stopIfTrue="1" operator="equal">
      <formula>15</formula>
    </cfRule>
  </conditionalFormatting>
  <conditionalFormatting sqref="D14:D16">
    <cfRule type="cellIs" dxfId="156" priority="4"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E103" xr:uid="{6A5DCA01-D858-4983-8995-B014D142ED58}">
      <formula1>"2.估价师知悉的法定优先受偿款,2.估价师知悉的除抵押担保权以外的法定优先受偿款"</formula1>
    </dataValidation>
    <dataValidation type="list" allowBlank="1" showInputMessage="1" showErrorMessage="1" sqref="G77" xr:uid="{37C6B974-7790-4490-8288-25D171091705}">
      <formula1>"个人住宅,2016年5月1日前购买,2016年5月1日后购买"</formula1>
    </dataValidation>
    <dataValidation type="list" allowBlank="1" showInputMessage="1" showErrorMessage="1" sqref="C1" xr:uid="{89845074-D9D9-48F5-8556-AADF378915C9}">
      <formula1>项目类型</formula1>
    </dataValidation>
    <dataValidation type="list" allowBlank="1" showInputMessage="1" showErrorMessage="1" sqref="I1" xr:uid="{19085D39-84AC-4315-8845-31488F8AB284}">
      <formula1>"项目局部,项目全部,——"</formula1>
    </dataValidation>
    <dataValidation type="list" showInputMessage="1" showErrorMessage="1" sqref="G1" xr:uid="{EE930D57-280D-41F0-9F9F-3F3D956C0954}">
      <formula1>"现房,在建,土地,-"</formula1>
    </dataValidation>
    <dataValidation type="list" allowBlank="1" showInputMessage="1" showErrorMessage="1" sqref="H59" xr:uid="{0B1D0F58-E861-4605-B86C-1DB3CD6C3AA8}">
      <formula1>"非个人房产,个人住宅,个人非住宅"</formula1>
    </dataValidation>
    <dataValidation type="list" allowBlank="1" showInputMessage="1" showErrorMessage="1" sqref="C129" xr:uid="{8BDD0BF3-05E5-4035-A373-58DCA1D0D5EC}">
      <formula1>"无,有"</formula1>
    </dataValidation>
    <dataValidation type="list" allowBlank="1" showInputMessage="1" showErrorMessage="1" sqref="F116:G116" xr:uid="{3C0DCA35-1794-493E-849E-F201DDC54A00}">
      <formula1>"建筑物价值,在建建筑物价值,建筑物/在建建筑物价值"</formula1>
    </dataValidation>
    <dataValidation type="list" allowBlank="1" showInputMessage="1" showErrorMessage="1" sqref="D116:E116" xr:uid="{808D3667-8592-4DE0-BFE5-67FBE0C533B7}">
      <formula1>"出让国有建设用地使用权价值,划拨国有建设用地使用权价值"</formula1>
    </dataValidation>
    <dataValidation type="list" allowBlank="1" showInputMessage="1" showErrorMessage="1" sqref="C116:C117" xr:uid="{5764D4C9-276B-45CD-91A1-F8E72EF5081F}">
      <formula1>"土地面积,分摊土地面积,（分摊）土地面积"</formula1>
    </dataValidation>
    <dataValidation type="list" allowBlank="1" showInputMessage="1" showErrorMessage="1" sqref="B116:B117" xr:uid="{CA810E67-13E5-4F67-8CE1-A7C8202EF780}">
      <formula1>"建筑面积,规划建筑面积,（规划）建筑面积"</formula1>
    </dataValidation>
    <dataValidation type="list" allowBlank="1" showInputMessage="1" showErrorMessage="1" sqref="D36" xr:uid="{887C41A6-7CDD-4F01-B914-2E361411BCBA}">
      <formula1>"同一抵押权人同一抵押物续贷,注销后放款,正常操作"</formula1>
    </dataValidation>
    <dataValidation type="list" allowBlank="1" showInputMessage="1" showErrorMessage="1" sqref="F75" xr:uid="{3A7B5DF7-8AD2-4502-951D-D88C45604983}">
      <formula1>"买卖合同,购房发票"</formula1>
    </dataValidation>
    <dataValidation type="list" allowBlank="1" showInputMessage="1" showErrorMessage="1" sqref="H88" xr:uid="{5D530457-DD7B-49AB-9E4C-E7365EAB9AFE}">
      <formula1>"仅含出让金,出让金+开发费"</formula1>
    </dataValidation>
    <dataValidation type="list" allowBlank="1" showInputMessage="1" showErrorMessage="1" sqref="H91" xr:uid="{BD664DCD-F8D5-40C3-AF5F-87EA6F6CB6DD}">
      <formula1>"企业提供（在右侧录入）,——"</formula1>
    </dataValidation>
    <dataValidation type="list" allowBlank="1" showInputMessage="1" showErrorMessage="1" sqref="C33" xr:uid="{4E0C6301-5246-4CB3-9BBF-F381D3B216F2}">
      <formula1>"成本比率,收益比率,自定义"</formula1>
    </dataValidation>
    <dataValidation type="list" allowBlank="1" showInputMessage="1" showErrorMessage="1" sqref="F45" xr:uid="{8D54E146-D10B-4DC4-99AE-A02FE18B7B15}">
      <formula1>"100%,80%,60%,64%"</formula1>
    </dataValidation>
    <dataValidation type="list" allowBlank="1" showInputMessage="1" showErrorMessage="1" sqref="D32" xr:uid="{E2DCD4CA-61E1-4830-B2B6-BB9DD2DBBD2E}">
      <formula1>"总价,楼面单价"</formula1>
    </dataValidation>
    <dataValidation type="list" allowBlank="1" showInputMessage="1" showErrorMessage="1" sqref="H58" xr:uid="{8B04D29A-2EE0-44F0-AD1D-5D86B13F398C}">
      <formula1>"转让取得,自行开发建设"</formula1>
    </dataValidation>
    <dataValidation type="list" allowBlank="1" showInputMessage="1" showErrorMessage="1" sqref="H48" xr:uid="{1099F06D-38BA-4E40-A4F1-851B29ACE7F3}">
      <formula1>"情况1,情况2,情况3,情况4"</formula1>
    </dataValidation>
    <dataValidation type="list" allowBlank="1" showInputMessage="1" showErrorMessage="1" sqref="H55:H56" xr:uid="{DBBD0927-EFE8-4EBC-8836-5AADF5212748}">
      <formula1>"个人住宅,正常"</formula1>
    </dataValidation>
    <dataValidation type="list" allowBlank="1" showInputMessage="1" showErrorMessage="1" sqref="C4:D4 D33" xr:uid="{94C664E7-6F0A-4E1B-A9E5-6A068DFD052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zoomScaleNormal="100" zoomScaleSheetLayoutView="100" zoomScalePageLayoutView="80" workbookViewId="0">
      <selection activeCell="E14" sqref="E14"/>
    </sheetView>
  </sheetViews>
  <sheetFormatPr defaultColWidth="12.6328125" defaultRowHeight="21.75" customHeight="1"/>
  <cols>
    <col min="1" max="2" width="12.6328125" style="2424"/>
    <col min="3" max="4" width="12.6328125" style="2424" customWidth="1"/>
    <col min="5" max="9" width="12.6328125" style="2424"/>
    <col min="10" max="11" width="12.6328125" style="795" customWidth="1"/>
    <col min="12" max="12" width="12.6328125" style="795"/>
    <col min="13" max="13" width="14.08984375" style="795" bestFit="1" customWidth="1"/>
    <col min="14" max="26" width="12.6328125" style="795"/>
    <col min="27" max="35" width="12.6328125" style="2423"/>
    <col min="36" max="16384" width="12.6328125" style="2424"/>
  </cols>
  <sheetData>
    <row r="1" spans="1:12" ht="21.75" customHeight="1" thickBot="1">
      <c r="A1" s="2225" t="s">
        <v>2116</v>
      </c>
      <c r="B1" s="2418"/>
      <c r="C1" s="2419"/>
      <c r="D1" s="2418"/>
      <c r="E1" s="2418"/>
      <c r="F1" s="2420" t="s">
        <v>2117</v>
      </c>
      <c r="G1" s="2070" t="s">
        <v>3112</v>
      </c>
      <c r="H1" s="2421" t="str">
        <f>IF(G1="现房","——","估价对象范围")</f>
        <v>——</v>
      </c>
      <c r="I1" s="2422"/>
    </row>
    <row r="2" spans="1:12" ht="21.75" customHeight="1" thickBot="1">
      <c r="A2" s="3171" t="str">
        <f>项目基本情况!S2</f>
        <v>房地产</v>
      </c>
      <c r="B2" s="3172"/>
      <c r="C2" s="3172"/>
      <c r="D2" s="3172"/>
      <c r="E2" s="3172"/>
      <c r="F2" s="3172"/>
      <c r="G2" s="3172"/>
      <c r="H2" s="3172"/>
      <c r="I2" s="3173"/>
    </row>
    <row r="3" spans="1:12" ht="13">
      <c r="A3" s="3174" t="s">
        <v>2118</v>
      </c>
      <c r="B3" s="3175"/>
      <c r="C3" s="3175"/>
      <c r="D3" s="3175"/>
      <c r="E3" s="3175"/>
      <c r="F3" s="3175"/>
      <c r="G3" s="3175"/>
      <c r="H3" s="3175"/>
      <c r="I3" s="3175"/>
    </row>
    <row r="4" spans="1:12" ht="14">
      <c r="A4" s="2425" t="s">
        <v>2119</v>
      </c>
      <c r="B4" s="2426" t="s">
        <v>2120</v>
      </c>
      <c r="C4" s="2427" t="s">
        <v>3115</v>
      </c>
      <c r="D4" s="2427" t="s">
        <v>3083</v>
      </c>
      <c r="E4" s="3135" t="s">
        <v>2121</v>
      </c>
      <c r="F4" s="3137"/>
      <c r="G4" s="3137"/>
      <c r="H4" s="3137"/>
      <c r="I4" s="3136"/>
      <c r="K4" s="2428" t="str">
        <f>IF(ISNUMBER(FIND("比较法",结果表!C4)),"比较法",IF(ISNUMBER(FIND("成本法",结果表!C4)),"成本法",IF(ISNUMBER(FIND("假设开发法",结果表!C4)),"假设开发法",IF(ISNUMBER(FIND("收益法",结果表!C4)),"收益法","基准地价系数修正法"))))</f>
        <v>比较法</v>
      </c>
      <c r="L4" s="2428" t="str">
        <f>IF(ISNUMBER(FIND("比较法",结果表!D4)),"比较法",IF(ISNUMBER(FIND("成本法",结果表!D4)),"成本法",IF(ISNUMBER(FIND("假设开发法",结果表!D4)),"假设开发法",IF(ISNUMBER(FIND("收益法",结果表!D4)),"收益法","基准地价系数修正法"))))</f>
        <v>收益法</v>
      </c>
    </row>
    <row r="5" spans="1:12" ht="13">
      <c r="A5" s="3166" t="s">
        <v>2122</v>
      </c>
      <c r="B5" s="3056">
        <v>25</v>
      </c>
      <c r="C5" s="3167"/>
      <c r="D5" s="3169"/>
      <c r="E5" s="140" t="s">
        <v>2123</v>
      </c>
      <c r="F5" s="2429"/>
      <c r="G5" s="2429"/>
      <c r="H5" s="2429"/>
      <c r="I5" s="1831"/>
    </row>
    <row r="6" spans="1:12" ht="13">
      <c r="A6" s="3166"/>
      <c r="B6" s="3056"/>
      <c r="C6" s="3170"/>
      <c r="D6" s="3169"/>
      <c r="E6" s="140" t="s">
        <v>2124</v>
      </c>
      <c r="F6" s="2429"/>
      <c r="G6" s="2429"/>
      <c r="H6" s="2429"/>
      <c r="I6" s="1831"/>
    </row>
    <row r="7" spans="1:12" ht="13">
      <c r="A7" s="3166"/>
      <c r="B7" s="3056"/>
      <c r="C7" s="3168"/>
      <c r="D7" s="3169"/>
      <c r="E7" s="140" t="s">
        <v>2125</v>
      </c>
      <c r="F7" s="2429"/>
      <c r="G7" s="2429"/>
      <c r="H7" s="2429"/>
      <c r="I7" s="1831"/>
    </row>
    <row r="8" spans="1:12" ht="13">
      <c r="A8" s="3166" t="s">
        <v>2126</v>
      </c>
      <c r="B8" s="3056">
        <v>15</v>
      </c>
      <c r="C8" s="3167"/>
      <c r="D8" s="3169"/>
      <c r="E8" s="140" t="s">
        <v>2127</v>
      </c>
      <c r="F8" s="2429"/>
      <c r="G8" s="2429"/>
      <c r="H8" s="2429"/>
      <c r="I8" s="1831"/>
    </row>
    <row r="9" spans="1:12" ht="13">
      <c r="A9" s="3166"/>
      <c r="B9" s="3056"/>
      <c r="C9" s="3168"/>
      <c r="D9" s="3169"/>
      <c r="E9" s="140" t="s">
        <v>2128</v>
      </c>
      <c r="F9" s="2429"/>
      <c r="G9" s="2429"/>
      <c r="H9" s="2429"/>
      <c r="I9" s="1831"/>
    </row>
    <row r="10" spans="1:12" ht="13">
      <c r="A10" s="3166" t="s">
        <v>2129</v>
      </c>
      <c r="B10" s="3056">
        <v>15</v>
      </c>
      <c r="C10" s="3167"/>
      <c r="D10" s="3169"/>
      <c r="E10" s="140" t="s">
        <v>2130</v>
      </c>
      <c r="F10" s="2429"/>
      <c r="G10" s="2429"/>
      <c r="H10" s="2429"/>
      <c r="I10" s="1831"/>
    </row>
    <row r="11" spans="1:12" ht="13">
      <c r="A11" s="3166"/>
      <c r="B11" s="3056"/>
      <c r="C11" s="3168"/>
      <c r="D11" s="3169"/>
      <c r="E11" s="140" t="s">
        <v>2131</v>
      </c>
      <c r="F11" s="2429"/>
      <c r="G11" s="2429"/>
      <c r="H11" s="2429"/>
      <c r="I11" s="1831"/>
    </row>
    <row r="12" spans="1:12" ht="13">
      <c r="A12" s="3166" t="s">
        <v>2132</v>
      </c>
      <c r="B12" s="3056">
        <v>15</v>
      </c>
      <c r="C12" s="3167"/>
      <c r="D12" s="3169"/>
      <c r="E12" s="140" t="s">
        <v>2133</v>
      </c>
      <c r="F12" s="2429"/>
      <c r="G12" s="2429"/>
      <c r="H12" s="2429"/>
      <c r="I12" s="1831"/>
    </row>
    <row r="13" spans="1:12" ht="13">
      <c r="A13" s="3166"/>
      <c r="B13" s="3056"/>
      <c r="C13" s="3168"/>
      <c r="D13" s="3169"/>
      <c r="E13" s="140" t="s">
        <v>2134</v>
      </c>
      <c r="F13" s="2429"/>
      <c r="G13" s="2429"/>
      <c r="H13" s="2429"/>
      <c r="I13" s="1831"/>
    </row>
    <row r="14" spans="1:12" ht="13">
      <c r="A14" s="3166" t="s">
        <v>2135</v>
      </c>
      <c r="B14" s="3056">
        <v>30</v>
      </c>
      <c r="C14" s="3167">
        <v>6</v>
      </c>
      <c r="D14" s="3169">
        <v>4</v>
      </c>
      <c r="E14" s="140" t="s">
        <v>2136</v>
      </c>
      <c r="F14" s="2429"/>
      <c r="G14" s="2429"/>
      <c r="H14" s="2429"/>
      <c r="I14" s="1831"/>
    </row>
    <row r="15" spans="1:12" ht="13">
      <c r="A15" s="3166"/>
      <c r="B15" s="3056"/>
      <c r="C15" s="3170"/>
      <c r="D15" s="3169"/>
      <c r="E15" s="140" t="s">
        <v>2137</v>
      </c>
      <c r="F15" s="2429"/>
      <c r="G15" s="2429"/>
      <c r="H15" s="2429"/>
      <c r="I15" s="1831"/>
    </row>
    <row r="16" spans="1:12" ht="13">
      <c r="A16" s="3166"/>
      <c r="B16" s="3056"/>
      <c r="C16" s="3168"/>
      <c r="D16" s="3169"/>
      <c r="E16" s="140" t="s">
        <v>2138</v>
      </c>
      <c r="F16" s="2429"/>
      <c r="G16" s="2429"/>
      <c r="H16" s="2429"/>
      <c r="I16" s="1831"/>
    </row>
    <row r="17" spans="1:35" ht="14">
      <c r="A17" s="2430" t="s">
        <v>2139</v>
      </c>
      <c r="B17" s="64"/>
      <c r="C17" s="141">
        <f>SUM(C5:C16)</f>
        <v>6</v>
      </c>
      <c r="D17" s="141">
        <f>SUM(D5:D16)</f>
        <v>4</v>
      </c>
      <c r="E17" s="138"/>
      <c r="F17" s="138"/>
      <c r="G17" s="138"/>
      <c r="H17" s="138"/>
      <c r="I17" s="138"/>
      <c r="K17" s="2428"/>
      <c r="L17" s="2431" t="s">
        <v>2140</v>
      </c>
      <c r="M17" s="2431" t="s">
        <v>2141</v>
      </c>
    </row>
    <row r="18" spans="1:35" ht="14.5" thickBot="1">
      <c r="A18" s="2432" t="s">
        <v>2142</v>
      </c>
      <c r="B18" s="2433"/>
      <c r="C18" s="142">
        <f>ROUND(C17/SUM(C17:D17),2)</f>
        <v>0.6</v>
      </c>
      <c r="D18" s="142">
        <f>1-C18</f>
        <v>0.4</v>
      </c>
      <c r="E18" s="138"/>
      <c r="F18" s="138"/>
      <c r="G18" s="138"/>
      <c r="H18" s="138"/>
      <c r="I18" s="138"/>
      <c r="K18" s="2428" t="s">
        <v>2143</v>
      </c>
      <c r="L18" s="2428">
        <f>IF(C1="",'数据-汇总表'!E3,SUMIF(项目类型,C1,'数据-汇总表'!E17:E26)+SUMIF(项目类型,C1,'数据-汇总表'!I17:I26))</f>
        <v>3000.7300000000005</v>
      </c>
      <c r="M18" s="2428">
        <f>IF(C1="",'数据-汇总表'!E3,SUMIF(项目类型,C1,'数据-汇总表'!E17:E26))</f>
        <v>3000.7300000000005</v>
      </c>
    </row>
    <row r="19" spans="1:35" ht="14">
      <c r="A19" s="2434" t="s">
        <v>2144</v>
      </c>
      <c r="B19" s="2435" t="s">
        <v>2145</v>
      </c>
      <c r="C19" s="143">
        <f ca="1">SUMIF(INDIRECT("'"&amp;C4&amp;"'"&amp;"!A:A"),结果表!B19,INDIRECT("'"&amp;C4&amp;"'"&amp;"!B:B"))</f>
        <v>24756</v>
      </c>
      <c r="D19" s="144">
        <f ca="1">SUMIF(INDIRECT("'"&amp;D4&amp;"'"&amp;"!A:A"),结果表!B19,INDIRECT("'"&amp;D4&amp;"'"&amp;"!B:B"))</f>
        <v>18884</v>
      </c>
      <c r="E19" s="2434" t="s">
        <v>2146</v>
      </c>
      <c r="F19" s="2435" t="s">
        <v>2145</v>
      </c>
      <c r="G19" s="145">
        <f ca="1">ROUND(C19*$C$18+D19*$D$18,0)</f>
        <v>22407</v>
      </c>
      <c r="H19" s="2436" t="s">
        <v>2147</v>
      </c>
      <c r="I19" s="138"/>
      <c r="K19" s="2428" t="s">
        <v>2148</v>
      </c>
      <c r="L19" s="2428">
        <f>IF(C1="",'数据-汇总表'!D3,SUMIF(项目类型,C1,'数据-汇总表'!D17:D26)+SUMIF(项目类型,C1,'数据-汇总表'!H17:H27))</f>
        <v>0</v>
      </c>
      <c r="M19" s="2428">
        <f>IF(C1="",'数据-汇总表'!D3,SUMIF(项目类型,C1,'数据-汇总表'!D17:D26))</f>
        <v>0</v>
      </c>
    </row>
    <row r="20" spans="1:35" ht="14">
      <c r="A20" s="2437"/>
      <c r="B20" s="1247" t="s">
        <v>2149</v>
      </c>
      <c r="C20" s="146">
        <f ca="1">SUMIF(INDIRECT("'"&amp;C4&amp;"'"&amp;"!A:A"),结果表!B20,INDIRECT("'"&amp;C4&amp;"'"&amp;"!B:B"))</f>
        <v>82500</v>
      </c>
      <c r="D20" s="147">
        <f ca="1">SUMIF(INDIRECT("'"&amp;D4&amp;"'"&amp;"!A:A"),结果表!B20,INDIRECT("'"&amp;D4&amp;"'"&amp;"!B:B"))</f>
        <v>62931</v>
      </c>
      <c r="E20" s="2437"/>
      <c r="F20" s="1247" t="s">
        <v>2149</v>
      </c>
      <c r="G20" s="148">
        <f ca="1">ROUND(C20*$C$18+D20*$D$18,0)</f>
        <v>74672</v>
      </c>
      <c r="H20" s="980" t="s">
        <v>2150</v>
      </c>
      <c r="I20" s="138"/>
    </row>
    <row r="21" spans="1:35" ht="15" customHeight="1" thickBot="1">
      <c r="A21" s="1000"/>
      <c r="B21" s="2438" t="s">
        <v>2151</v>
      </c>
      <c r="C21" s="789" t="e">
        <f ca="1">ROUND(C19*10000/L19,0)</f>
        <v>#DIV/0!</v>
      </c>
      <c r="D21" s="790" t="e">
        <f ca="1">ROUND(D19*10000/L19,0)</f>
        <v>#DIV/0!</v>
      </c>
      <c r="E21" s="1000"/>
      <c r="F21" s="2438" t="s">
        <v>2151</v>
      </c>
      <c r="G21" s="149" t="e">
        <f ca="1">ROUND(G19*10000/L19,0)</f>
        <v>#DIV/0!</v>
      </c>
      <c r="H21" s="2439" t="s">
        <v>2150</v>
      </c>
      <c r="I21" s="138"/>
    </row>
    <row r="22" spans="1:35" ht="14.5" thickBot="1">
      <c r="A22" s="2281" t="s">
        <v>2152</v>
      </c>
      <c r="B22" s="2440"/>
      <c r="C22" s="2441"/>
      <c r="D22" s="791">
        <f ca="1">IF(C19&lt;D19,D19/C19-1,C19/D19-1)</f>
        <v>0.31095106968862529</v>
      </c>
      <c r="E22" s="138"/>
      <c r="F22" s="138"/>
      <c r="G22" s="138"/>
      <c r="H22" s="138"/>
      <c r="I22" s="138"/>
    </row>
    <row r="23" spans="1:35" ht="13" thickBot="1">
      <c r="A23" s="2418"/>
      <c r="B23" s="2418"/>
      <c r="C23" s="2418"/>
      <c r="D23" s="2418"/>
      <c r="E23" s="138"/>
      <c r="F23" s="138"/>
      <c r="G23" s="138"/>
      <c r="H23" s="138">
        <f ca="1">G19/(Sheet1!F2+Sheet1!F3*Sheet1!G3)</f>
        <v>10.197083543999639</v>
      </c>
      <c r="I23" s="138"/>
    </row>
    <row r="24" spans="1:35" ht="14">
      <c r="A24" s="3154" t="s">
        <v>2153</v>
      </c>
      <c r="B24" s="2435" t="s">
        <v>2145</v>
      </c>
      <c r="C24" s="145">
        <f>IF(B30=0,0,D30)</f>
        <v>0</v>
      </c>
      <c r="D24" s="2442"/>
      <c r="E24" s="138"/>
      <c r="F24" s="138"/>
      <c r="G24" s="138"/>
      <c r="H24" s="138"/>
      <c r="I24" s="138"/>
    </row>
    <row r="25" spans="1:35" ht="14">
      <c r="A25" s="3155"/>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
      <c r="A27" s="2444"/>
      <c r="B27" s="151">
        <v>0</v>
      </c>
      <c r="C27" s="151">
        <v>0</v>
      </c>
      <c r="D27" s="152">
        <f>ROUND(C27*B27/10000,0)</f>
        <v>0</v>
      </c>
      <c r="E27" s="138"/>
      <c r="F27" s="138"/>
      <c r="G27" s="138"/>
      <c r="H27" s="138"/>
      <c r="I27" s="138"/>
    </row>
    <row r="28" spans="1:35" ht="14">
      <c r="A28" s="2444"/>
      <c r="B28" s="151"/>
      <c r="C28" s="151"/>
      <c r="D28" s="152"/>
      <c r="E28" s="138"/>
      <c r="F28" s="138"/>
      <c r="G28" s="138"/>
      <c r="H28" s="138"/>
      <c r="I28" s="138"/>
    </row>
    <row r="29" spans="1:35" ht="14">
      <c r="A29" s="2444"/>
      <c r="B29" s="151"/>
      <c r="C29" s="151"/>
      <c r="D29" s="152"/>
      <c r="E29" s="138"/>
      <c r="F29" s="138"/>
      <c r="G29" s="138"/>
      <c r="H29" s="138"/>
      <c r="I29" s="138"/>
    </row>
    <row r="30" spans="1:35" ht="14">
      <c r="A30" s="151" t="s">
        <v>2158</v>
      </c>
      <c r="B30" s="151"/>
      <c r="C30" s="151"/>
      <c r="D30" s="151"/>
      <c r="E30" s="2917" t="s">
        <v>3032</v>
      </c>
      <c r="F30" s="138"/>
      <c r="G30" s="138"/>
      <c r="H30" s="138"/>
      <c r="I30" s="138"/>
    </row>
    <row r="31" spans="1:35" s="2446" customFormat="1" ht="14.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4.5" thickBot="1">
      <c r="A32" s="2447" t="s">
        <v>2159</v>
      </c>
      <c r="B32" s="2448"/>
      <c r="C32" s="153">
        <f ca="1">IF(D32="总价",G19-C24,G20-C25)</f>
        <v>22407</v>
      </c>
      <c r="D32" s="2449" t="s">
        <v>2160</v>
      </c>
      <c r="E32" s="138"/>
      <c r="F32" s="138"/>
      <c r="G32" s="138"/>
      <c r="H32" s="138"/>
      <c r="I32" s="138"/>
    </row>
    <row r="33" spans="1:15" ht="14">
      <c r="A33" s="957" t="s">
        <v>2161</v>
      </c>
      <c r="B33" s="2450"/>
      <c r="C33" s="2451"/>
      <c r="D33" s="2452"/>
      <c r="E33" s="2453" t="s">
        <v>2162</v>
      </c>
      <c r="F33" s="2454" t="str">
        <f>IF(D32="楼面单价","取值（单价）","取值（总价）")</f>
        <v>取值（总价）</v>
      </c>
      <c r="G33" s="138"/>
      <c r="H33" s="138"/>
      <c r="I33" s="138"/>
    </row>
    <row r="34" spans="1:15" ht="14">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4.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4.5" thickBot="1">
      <c r="A36" s="3156" t="s">
        <v>2167</v>
      </c>
      <c r="B36" s="2461" t="s">
        <v>2168</v>
      </c>
      <c r="C36" s="154"/>
      <c r="D36" s="2462"/>
      <c r="E36" s="2463"/>
      <c r="F36" s="2464"/>
      <c r="G36" s="138"/>
      <c r="H36" s="138"/>
      <c r="I36" s="138"/>
    </row>
    <row r="37" spans="1:15" ht="14.5" thickBot="1">
      <c r="A37" s="3157"/>
      <c r="B37" s="2267" t="s">
        <v>2169</v>
      </c>
      <c r="C37" s="156"/>
      <c r="D37" s="1392"/>
      <c r="E37" s="1392"/>
      <c r="F37" s="2464"/>
      <c r="G37" s="138"/>
      <c r="H37" s="138"/>
      <c r="I37" s="138"/>
    </row>
    <row r="38" spans="1:15" ht="14.5" thickBot="1">
      <c r="A38" s="3158"/>
      <c r="B38" s="2465" t="s">
        <v>2170</v>
      </c>
      <c r="C38" s="727"/>
      <c r="D38" s="2466" t="s">
        <v>2171</v>
      </c>
      <c r="E38" s="1392"/>
      <c r="F38" s="2464"/>
      <c r="G38" s="138"/>
      <c r="H38" s="138"/>
      <c r="I38" s="138"/>
    </row>
    <row r="39" spans="1:15" ht="14">
      <c r="A39" s="2437" t="s">
        <v>2172</v>
      </c>
      <c r="B39" s="2467" t="s">
        <v>2173</v>
      </c>
      <c r="C39" s="2468" t="s">
        <v>2174</v>
      </c>
      <c r="D39" s="2468" t="s">
        <v>2175</v>
      </c>
      <c r="E39" s="2469" t="s">
        <v>2176</v>
      </c>
      <c r="F39" s="2464"/>
      <c r="G39" s="138"/>
      <c r="H39" s="138"/>
      <c r="I39" s="138"/>
    </row>
    <row r="40" spans="1:15" ht="14">
      <c r="A40" s="2470" t="s">
        <v>2177</v>
      </c>
      <c r="B40" s="158"/>
      <c r="C40" s="159"/>
      <c r="D40" s="159"/>
      <c r="E40" s="160"/>
      <c r="F40" s="2464"/>
      <c r="G40" s="138"/>
      <c r="H40" s="138"/>
      <c r="I40" s="138"/>
    </row>
    <row r="41" spans="1:15" ht="14">
      <c r="A41" s="2470" t="s">
        <v>2178</v>
      </c>
      <c r="B41" s="158"/>
      <c r="C41" s="159"/>
      <c r="D41" s="159"/>
      <c r="E41" s="160"/>
      <c r="F41" s="2464"/>
      <c r="G41" s="138"/>
      <c r="H41" s="138"/>
      <c r="I41" s="138"/>
    </row>
    <row r="42" spans="1:15" ht="14.5" thickBot="1">
      <c r="A42" s="2471"/>
      <c r="B42" s="161"/>
      <c r="C42" s="162"/>
      <c r="D42" s="162"/>
      <c r="E42" s="163"/>
      <c r="F42" s="2464"/>
      <c r="G42" s="138"/>
      <c r="H42" s="138"/>
      <c r="I42" s="138"/>
    </row>
    <row r="43" spans="1:15" ht="12.5">
      <c r="A43" s="2165"/>
      <c r="B43" s="2165"/>
      <c r="C43" s="2165"/>
      <c r="D43" s="2165"/>
      <c r="E43" s="2165"/>
      <c r="F43" s="2472"/>
      <c r="G43" s="2472"/>
      <c r="H43" s="2472"/>
      <c r="I43" s="2473"/>
    </row>
    <row r="44" spans="1:15" ht="18">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159" t="s">
        <v>2181</v>
      </c>
      <c r="B45" s="3160"/>
      <c r="C45" s="3161"/>
      <c r="D45" s="164">
        <f ca="1">ROUND(H101*F45,0)</f>
        <v>22407</v>
      </c>
      <c r="E45" s="165" t="s">
        <v>2182</v>
      </c>
      <c r="F45" s="166">
        <v>1</v>
      </c>
      <c r="G45" s="167" t="s">
        <v>2183</v>
      </c>
      <c r="H45" s="138"/>
      <c r="I45" s="138"/>
      <c r="J45" s="3147" t="s">
        <v>2184</v>
      </c>
      <c r="K45" s="3147"/>
      <c r="L45" s="3147"/>
      <c r="M45" s="3147"/>
      <c r="N45" s="3147"/>
      <c r="O45" s="3147"/>
    </row>
    <row r="46" spans="1:15" ht="14.25" customHeight="1">
      <c r="A46" s="3162" t="s">
        <v>2185</v>
      </c>
      <c r="B46" s="3163"/>
      <c r="C46" s="3163"/>
      <c r="D46" s="3163"/>
      <c r="E46" s="3163"/>
      <c r="F46" s="3163"/>
      <c r="G46" s="3164"/>
      <c r="H46" s="2480"/>
      <c r="I46" s="168"/>
      <c r="J46" s="1809">
        <v>1</v>
      </c>
      <c r="K46" s="3147" t="s">
        <v>2186</v>
      </c>
      <c r="L46" s="3147"/>
      <c r="M46" s="3165"/>
      <c r="N46" s="3165"/>
      <c r="O46" s="3165"/>
    </row>
    <row r="47" spans="1:15" ht="12" customHeight="1">
      <c r="A47" s="169" t="s">
        <v>2187</v>
      </c>
      <c r="B47" s="170"/>
      <c r="C47" s="171"/>
      <c r="D47" s="172" t="s">
        <v>2188</v>
      </c>
      <c r="E47" s="24" t="s">
        <v>2189</v>
      </c>
      <c r="F47" s="173" t="s">
        <v>2190</v>
      </c>
      <c r="G47" s="174" t="s">
        <v>2191</v>
      </c>
      <c r="H47" s="2480"/>
      <c r="I47" s="168"/>
      <c r="J47" s="1809">
        <v>2</v>
      </c>
      <c r="K47" s="3147" t="s">
        <v>2192</v>
      </c>
      <c r="L47" s="3147"/>
      <c r="M47" s="3148">
        <f>'数据-取费表'!B2</f>
        <v>43872</v>
      </c>
      <c r="N47" s="3148"/>
      <c r="O47" s="3148"/>
    </row>
    <row r="48" spans="1:15" ht="26">
      <c r="A48" s="3149" t="s">
        <v>2193</v>
      </c>
      <c r="B48" s="3144"/>
      <c r="C48" s="3144"/>
      <c r="D48" s="140">
        <f>IF(H48="情况1",0,IF(H48="情况2",D52,IF(H48="情况3",D53,IF(H48="情况4",D54))))</f>
        <v>0</v>
      </c>
      <c r="E48" s="1798" t="str">
        <f>IF(H48="情况4","(销售额-原购置价)×税（费）率","销售额×税（费）率")</f>
        <v>销售额×税（费）率</v>
      </c>
      <c r="F48" s="175" t="str">
        <f>IF(H48="情况1","免征",'数据-取费表'!B41)</f>
        <v>免征</v>
      </c>
      <c r="G48" s="2481" t="s">
        <v>2194</v>
      </c>
      <c r="H48" s="2482" t="s">
        <v>2195</v>
      </c>
      <c r="I48" s="2480"/>
      <c r="J48" s="1809">
        <v>3</v>
      </c>
      <c r="K48" s="3147" t="s">
        <v>2196</v>
      </c>
      <c r="L48" s="3147"/>
      <c r="M48" s="3150">
        <f ca="1">H101</f>
        <v>22407</v>
      </c>
      <c r="N48" s="3150"/>
      <c r="O48" s="3150"/>
    </row>
    <row r="49" spans="1:35" ht="25.5" customHeight="1">
      <c r="A49" s="176" t="s">
        <v>2197</v>
      </c>
      <c r="B49" s="3124" t="s">
        <v>2198</v>
      </c>
      <c r="C49" s="3124"/>
      <c r="D49" s="177">
        <v>0</v>
      </c>
      <c r="E49" s="23" t="s">
        <v>2199</v>
      </c>
      <c r="F49" s="28" t="s">
        <v>34</v>
      </c>
      <c r="G49" s="3151"/>
      <c r="H49" s="138"/>
      <c r="I49" s="2483"/>
      <c r="J49" s="1809">
        <v>4</v>
      </c>
      <c r="K49" s="3147" t="str">
        <f>IF(项目基本情况!E8="房地产抵押价值","房地产抵押价值","抵押担保权已注销时的房地产抵押价值")</f>
        <v>抵押担保权已注销时的房地产抵押价值</v>
      </c>
      <c r="L49" s="3147"/>
      <c r="M49" s="3150" t="str">
        <f>IF(项目基本情况!E8="房地产抵押价值",H107,H109)</f>
        <v>——</v>
      </c>
      <c r="N49" s="3150"/>
      <c r="O49" s="3150"/>
    </row>
    <row r="50" spans="1:35" ht="25.5" customHeight="1">
      <c r="A50" s="178"/>
      <c r="B50" s="3124" t="s">
        <v>2200</v>
      </c>
      <c r="C50" s="3124"/>
      <c r="D50" s="179"/>
      <c r="E50" s="31"/>
      <c r="F50" s="180"/>
      <c r="G50" s="3152"/>
      <c r="H50" s="138"/>
      <c r="I50" s="2483"/>
      <c r="J50" s="3147" t="s">
        <v>2201</v>
      </c>
      <c r="K50" s="3147"/>
      <c r="L50" s="3147"/>
      <c r="M50" s="3147"/>
      <c r="N50" s="3147"/>
      <c r="O50" s="3147"/>
    </row>
    <row r="51" spans="1:35" ht="12" customHeight="1">
      <c r="A51" s="181"/>
      <c r="B51" s="3124" t="s">
        <v>2202</v>
      </c>
      <c r="C51" s="3124"/>
      <c r="D51" s="182"/>
      <c r="E51" s="30"/>
      <c r="F51" s="180"/>
      <c r="G51" s="3153"/>
      <c r="H51" s="138"/>
      <c r="I51" s="2483"/>
      <c r="J51" s="2484" t="s">
        <v>2203</v>
      </c>
      <c r="K51" s="3147" t="s">
        <v>2204</v>
      </c>
      <c r="L51" s="3147"/>
      <c r="M51" s="2484" t="s">
        <v>2205</v>
      </c>
      <c r="N51" s="2484" t="s">
        <v>2206</v>
      </c>
      <c r="O51" s="2484" t="s">
        <v>2207</v>
      </c>
    </row>
    <row r="52" spans="1:35" ht="24" customHeight="1">
      <c r="A52" s="183" t="s">
        <v>2208</v>
      </c>
      <c r="B52" s="3124" t="s">
        <v>2209</v>
      </c>
      <c r="C52" s="3124"/>
      <c r="D52" s="182">
        <f ca="1">ROUND(D45*'数据-取费表'!B41/(1+'数据-取费表'!C42),0)</f>
        <v>1195</v>
      </c>
      <c r="E52" s="11" t="s">
        <v>2210</v>
      </c>
      <c r="F52" s="184">
        <f>'数据-取费表'!B41</f>
        <v>5.6000000000000001E-2</v>
      </c>
      <c r="G52" s="2485"/>
      <c r="H52" s="138"/>
      <c r="I52" s="2483"/>
      <c r="J52" s="1809">
        <v>1</v>
      </c>
      <c r="K52" s="3131" t="s">
        <v>2211</v>
      </c>
      <c r="L52" s="3131"/>
      <c r="M52" s="1751">
        <f>D48</f>
        <v>0</v>
      </c>
      <c r="N52" s="1809" t="str">
        <f>E48</f>
        <v>销售额×税（费）率</v>
      </c>
      <c r="O52" s="1752" t="str">
        <f>F48</f>
        <v>免征</v>
      </c>
    </row>
    <row r="53" spans="1:35" ht="12" customHeight="1">
      <c r="A53" s="183" t="s">
        <v>2212</v>
      </c>
      <c r="B53" s="3123" t="s">
        <v>2213</v>
      </c>
      <c r="C53" s="3142"/>
      <c r="D53" s="182">
        <f ca="1">ROUND(D45*'数据-取费表'!B41/(1+'数据-取费表'!C42),0)</f>
        <v>1195</v>
      </c>
      <c r="E53" s="11" t="s">
        <v>2210</v>
      </c>
      <c r="F53" s="184">
        <f>'数据-取费表'!B41</f>
        <v>5.6000000000000001E-2</v>
      </c>
      <c r="G53" s="2485"/>
      <c r="H53" s="138"/>
      <c r="I53" s="2483"/>
      <c r="J53" s="1809">
        <v>2</v>
      </c>
      <c r="K53" s="3131" t="s">
        <v>2214</v>
      </c>
      <c r="L53" s="3131"/>
      <c r="M53" s="1751">
        <f t="shared" ref="M53:O54" ca="1" si="0">D55</f>
        <v>11</v>
      </c>
      <c r="N53" s="1809" t="str">
        <f t="shared" si="0"/>
        <v>销售额×税（费）率</v>
      </c>
      <c r="O53" s="1752">
        <f t="shared" si="0"/>
        <v>5.0000000000000001E-4</v>
      </c>
    </row>
    <row r="54" spans="1:35" ht="12" customHeight="1">
      <c r="A54" s="183" t="s">
        <v>2215</v>
      </c>
      <c r="B54" s="3123" t="s">
        <v>2216</v>
      </c>
      <c r="C54" s="3142"/>
      <c r="D54" s="182">
        <f ca="1">C68</f>
        <v>1195</v>
      </c>
      <c r="E54" s="30" t="s">
        <v>2217</v>
      </c>
      <c r="F54" s="184">
        <f>'数据-取费表'!B41</f>
        <v>5.6000000000000001E-2</v>
      </c>
      <c r="G54" s="2485"/>
      <c r="H54" s="2486"/>
      <c r="I54" s="2483"/>
      <c r="J54" s="1809">
        <v>3</v>
      </c>
      <c r="K54" s="3131" t="s">
        <v>2218</v>
      </c>
      <c r="L54" s="3131"/>
      <c r="M54" s="1751">
        <f t="shared" ca="1" si="0"/>
        <v>12682</v>
      </c>
      <c r="N54" s="1809" t="str">
        <f t="shared" si="0"/>
        <v>增值额×税（费）率</v>
      </c>
      <c r="O54" s="1753" t="str">
        <f t="shared" si="0"/>
        <v>——</v>
      </c>
    </row>
    <row r="55" spans="1:35" ht="24" customHeight="1">
      <c r="A55" s="3143" t="s">
        <v>2219</v>
      </c>
      <c r="B55" s="3144"/>
      <c r="C55" s="3144"/>
      <c r="D55" s="185">
        <f ca="1">IF(H55="个人住宅",0,ROUND(D45*I55,0))</f>
        <v>11</v>
      </c>
      <c r="E55" s="11" t="s">
        <v>2220</v>
      </c>
      <c r="F55" s="184">
        <f>IF(H55="正常",I55,"免征")</f>
        <v>5.0000000000000001E-4</v>
      </c>
      <c r="G55" s="2485"/>
      <c r="H55" s="2482" t="s">
        <v>2221</v>
      </c>
      <c r="I55" s="186">
        <f>'数据-取费表'!B49</f>
        <v>5.0000000000000001E-4</v>
      </c>
      <c r="J55" s="1809" t="str">
        <f>IF(H59="非个人房产","",4)</f>
        <v/>
      </c>
      <c r="K55" s="3131" t="str">
        <f>IF(H59="非个人房产","——","个人所得税")</f>
        <v>——</v>
      </c>
      <c r="L55" s="3131"/>
      <c r="M55" s="1754" t="str">
        <f>D59</f>
        <v>——</v>
      </c>
      <c r="N55" s="1807" t="str">
        <f>E59</f>
        <v>——</v>
      </c>
      <c r="O55" s="1755" t="str">
        <f>F59</f>
        <v>——</v>
      </c>
    </row>
    <row r="56" spans="1:35" ht="26">
      <c r="A56" s="3143" t="s">
        <v>2222</v>
      </c>
      <c r="B56" s="3144"/>
      <c r="C56" s="3144"/>
      <c r="D56" s="185">
        <f ca="1">IF(H56="个人住宅",D57,D58)</f>
        <v>12682</v>
      </c>
      <c r="E56" s="11" t="s">
        <v>2223</v>
      </c>
      <c r="F56" s="184" t="str">
        <f>IF(H56="正常",F58,"免征")</f>
        <v>——</v>
      </c>
      <c r="G56" s="2487" t="s">
        <v>2224</v>
      </c>
      <c r="H56" s="2488" t="s">
        <v>2221</v>
      </c>
      <c r="I56" s="2489"/>
      <c r="J56" s="1809" t="str">
        <f>IF(项目基本情况!K6="上海银行",IF(J55="",4,J55+1),"")</f>
        <v/>
      </c>
      <c r="K56" s="3145" t="str">
        <f>IF(项目基本情况!K6="上海银行","其他处置费用","")</f>
        <v/>
      </c>
      <c r="L56" s="3146"/>
      <c r="M56" s="1751" t="str">
        <f>IF(项目基本情况!K6="上海银行",M69,"")</f>
        <v/>
      </c>
      <c r="N56" s="3133" t="str">
        <f>IF(项目基本情况!K6="上海银行","包含处置中涉及的律师、诉讼、拍卖、评估等费用","")</f>
        <v/>
      </c>
      <c r="O56" s="3134"/>
    </row>
    <row r="57" spans="1:35" ht="13">
      <c r="A57" s="183" t="s">
        <v>2197</v>
      </c>
      <c r="B57" s="3135" t="s">
        <v>2225</v>
      </c>
      <c r="C57" s="3136"/>
      <c r="D57" s="187">
        <v>0</v>
      </c>
      <c r="E57" s="23" t="s">
        <v>2199</v>
      </c>
      <c r="F57" s="155"/>
      <c r="G57" s="2485"/>
      <c r="H57" s="2489"/>
      <c r="I57" s="2489"/>
      <c r="J57" s="3131">
        <f>IF(AND(J55="",J56=""),4,IF(项目基本情况!K6="上海银行",结果表!J56+1,结果表!J55+1))</f>
        <v>4</v>
      </c>
      <c r="K57" s="3131" t="s">
        <v>2226</v>
      </c>
      <c r="L57" s="2490" t="s">
        <v>2227</v>
      </c>
      <c r="M57" s="1756"/>
      <c r="N57" s="1757">
        <f ca="1">SUMIF(M52:M56,"&lt;9e307")</f>
        <v>12693</v>
      </c>
      <c r="O57" s="2491"/>
      <c r="P57" s="1750" t="e">
        <f ca="1">N57/M49</f>
        <v>#VALUE!</v>
      </c>
    </row>
    <row r="58" spans="1:35" ht="26">
      <c r="A58" s="183" t="s">
        <v>2208</v>
      </c>
      <c r="B58" s="3135" t="s">
        <v>2228</v>
      </c>
      <c r="C58" s="3137"/>
      <c r="D58" s="185">
        <f ca="1">IF(H58="转让取得",C81,C97)</f>
        <v>12682</v>
      </c>
      <c r="E58" s="11" t="s">
        <v>2223</v>
      </c>
      <c r="F58" s="24" t="s">
        <v>34</v>
      </c>
      <c r="G58" s="2485"/>
      <c r="H58" s="2488" t="s">
        <v>2229</v>
      </c>
      <c r="I58" s="2489"/>
      <c r="J58" s="3131"/>
      <c r="K58" s="3131"/>
      <c r="L58" s="2490" t="s">
        <v>2230</v>
      </c>
      <c r="M58" s="1758"/>
      <c r="N58" s="2492" t="str">
        <f ca="1">NUMBERSTRING(INT(N57*10000),2)&amp;"元整"</f>
        <v>壹亿贰仟陆佰玖拾叁万元整</v>
      </c>
      <c r="O58" s="2493"/>
    </row>
    <row r="59" spans="1:35" ht="26.5" thickBot="1">
      <c r="A59" s="3138" t="s">
        <v>2231</v>
      </c>
      <c r="B59" s="3139"/>
      <c r="C59" s="3139"/>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40">
        <f>J57+1</f>
        <v>5</v>
      </c>
      <c r="K59" s="3131" t="s">
        <v>2233</v>
      </c>
      <c r="L59" s="1809" t="s">
        <v>2227</v>
      </c>
      <c r="M59" s="1759"/>
      <c r="N59" s="1760" t="e">
        <f ca="1">M49-N57</f>
        <v>#VALUE!</v>
      </c>
      <c r="O59" s="2495"/>
    </row>
    <row r="60" spans="1:35" ht="12" customHeight="1">
      <c r="A60" s="2496"/>
      <c r="B60" s="2418"/>
      <c r="C60" s="2418"/>
      <c r="D60" s="2418"/>
      <c r="E60" s="2166"/>
      <c r="F60" s="2489"/>
      <c r="G60" s="2489"/>
      <c r="H60" s="2497"/>
      <c r="I60" s="138"/>
      <c r="J60" s="3141"/>
      <c r="K60" s="3131"/>
      <c r="L60" s="2490" t="s">
        <v>2230</v>
      </c>
      <c r="M60" s="1758"/>
      <c r="N60" s="2492" t="e">
        <f ca="1">NUMBERSTRING(INT(N59*10000),2)&amp;"元整"</f>
        <v>#VALUE!</v>
      </c>
      <c r="O60" s="2493"/>
    </row>
    <row r="61" spans="1:35" ht="13.5" thickBot="1">
      <c r="A61" s="3130" t="s">
        <v>2234</v>
      </c>
      <c r="B61" s="3130"/>
      <c r="C61" s="3130"/>
      <c r="D61" s="3130"/>
      <c r="E61" s="3130"/>
      <c r="F61" s="2489"/>
      <c r="G61" s="2489"/>
      <c r="H61" s="2497"/>
      <c r="I61" s="138"/>
      <c r="J61" s="1809">
        <f>J59+1</f>
        <v>6</v>
      </c>
      <c r="K61" s="3131" t="s">
        <v>2235</v>
      </c>
      <c r="L61" s="3131"/>
      <c r="M61" s="1761"/>
      <c r="N61" s="1762" t="e">
        <f ca="1">ROUND(N59*10000/'数据-汇总表'!E3,0)</f>
        <v>#VALUE!</v>
      </c>
      <c r="O61" s="2498"/>
    </row>
    <row r="62" spans="1:35" ht="13">
      <c r="A62" s="3128" t="s">
        <v>2236</v>
      </c>
      <c r="B62" s="3129"/>
      <c r="C62" s="1801"/>
      <c r="D62" s="1801" t="s">
        <v>2237</v>
      </c>
      <c r="E62" s="192" t="s">
        <v>2238</v>
      </c>
      <c r="F62" s="2489"/>
      <c r="G62" s="2489"/>
      <c r="H62" s="2497"/>
      <c r="I62" s="138"/>
    </row>
    <row r="63" spans="1:35" ht="13">
      <c r="A63" s="203" t="s">
        <v>775</v>
      </c>
      <c r="B63" s="193" t="s">
        <v>2239</v>
      </c>
      <c r="C63" s="194">
        <f ca="1">ROUND((C64+C65)/(1+'数据-取费表'!C42),0)</f>
        <v>21340</v>
      </c>
      <c r="D63" s="195"/>
      <c r="E63" s="196"/>
      <c r="F63" s="2489"/>
      <c r="G63" s="2489"/>
      <c r="H63" s="2497"/>
      <c r="I63" s="138"/>
      <c r="J63" s="3132" t="s">
        <v>2240</v>
      </c>
      <c r="K63" s="2499" t="s">
        <v>2241</v>
      </c>
      <c r="L63" s="1749" t="e">
        <f>IF(M49&gt;10000,M49*0.5%,IF(AND(M49&gt;1000,M49&lt;=10000),M49*1%,IF(AND(M49&gt;100,M49&lt;=1000),M49*3%,IF(AND(M49&gt;10,M49&lt;=100),M49*5%,M49*8%))))</f>
        <v>#VALUE!</v>
      </c>
      <c r="M63" s="24" t="e">
        <f>ROUND(L63,1)</f>
        <v>#VALUE!</v>
      </c>
      <c r="Z63" s="2423"/>
      <c r="AI63" s="2424"/>
    </row>
    <row r="64" spans="1:35" ht="14.25" customHeight="1">
      <c r="A64" s="197" t="s">
        <v>770</v>
      </c>
      <c r="B64" s="198" t="s">
        <v>2242</v>
      </c>
      <c r="C64" s="199">
        <f ca="1">D45</f>
        <v>22407</v>
      </c>
      <c r="D64" s="200" t="s">
        <v>32</v>
      </c>
      <c r="E64" s="201"/>
      <c r="F64" s="2489"/>
      <c r="G64" s="2489"/>
      <c r="H64" s="2497"/>
      <c r="I64" s="138"/>
      <c r="J64" s="3132"/>
      <c r="K64" s="2499"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3"/>
      <c r="AI64" s="2424"/>
    </row>
    <row r="65" spans="1:35" ht="14.25" customHeight="1">
      <c r="A65" s="197" t="s">
        <v>771</v>
      </c>
      <c r="B65" s="198" t="s">
        <v>2245</v>
      </c>
      <c r="C65" s="202"/>
      <c r="D65" s="200"/>
      <c r="E65" s="201"/>
      <c r="F65" s="2489"/>
      <c r="G65" s="2489"/>
      <c r="H65" s="2497"/>
      <c r="I65" s="138"/>
      <c r="J65" s="3132"/>
      <c r="K65" s="2499" t="s">
        <v>2246</v>
      </c>
      <c r="L65" s="1749" t="e">
        <f>IF(M49&gt;1000,M49*0.1%,IF(AND(M49&gt;500,M49&lt;=1000),M49*0.5%,IF(AND(M49&gt;50,M49&lt;=500),M49*1%,IF(AND(M49&gt;1,M49&lt;=50),M49*1.5%))))</f>
        <v>#VALUE!</v>
      </c>
      <c r="M65" s="24" t="e">
        <f t="shared" si="1"/>
        <v>#VALUE!</v>
      </c>
      <c r="N65" s="138" t="s">
        <v>2244</v>
      </c>
      <c r="Z65" s="2423"/>
      <c r="AI65" s="2424"/>
    </row>
    <row r="66" spans="1:35" ht="14.25" customHeight="1">
      <c r="A66" s="203" t="s">
        <v>772</v>
      </c>
      <c r="B66" s="204" t="s">
        <v>2247</v>
      </c>
      <c r="C66" s="205"/>
      <c r="D66" s="206" t="s">
        <v>32</v>
      </c>
      <c r="E66" s="1773" t="s">
        <v>1366</v>
      </c>
      <c r="F66" s="2489"/>
      <c r="G66" s="2489"/>
      <c r="H66" s="2497"/>
      <c r="I66" s="138"/>
      <c r="J66" s="3132"/>
      <c r="K66" s="2499" t="s">
        <v>2248</v>
      </c>
      <c r="L66" s="1749" t="e">
        <f>M49*0.5%</f>
        <v>#VALUE!</v>
      </c>
      <c r="M66" s="24" t="e">
        <f>IF(L66&gt;0.5,0.5,ROUND(L66,0))</f>
        <v>#VALUE!</v>
      </c>
      <c r="N66" s="138" t="s">
        <v>2249</v>
      </c>
      <c r="Z66" s="2423"/>
      <c r="AI66" s="2424"/>
    </row>
    <row r="67" spans="1:35" ht="14.25" customHeight="1">
      <c r="A67" s="203" t="s">
        <v>773</v>
      </c>
      <c r="B67" s="204" t="s">
        <v>2250</v>
      </c>
      <c r="C67" s="207">
        <f ca="1">C63-C66</f>
        <v>21340</v>
      </c>
      <c r="D67" s="200" t="s">
        <v>32</v>
      </c>
      <c r="E67" s="201"/>
      <c r="F67" s="2489"/>
      <c r="G67" s="2489"/>
      <c r="H67" s="2497"/>
      <c r="I67" s="138"/>
      <c r="J67" s="3132"/>
      <c r="K67" s="2499"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2252</v>
      </c>
      <c r="C68" s="210">
        <f ca="1">IF(C67&lt;=0,0,ROUND(C67*D68,0))</f>
        <v>1195</v>
      </c>
      <c r="D68" s="211">
        <f>'数据-取费表'!B41</f>
        <v>5.6000000000000001E-2</v>
      </c>
      <c r="E68" s="212"/>
      <c r="F68" s="2489"/>
      <c r="G68" s="2489"/>
      <c r="H68" s="2497"/>
      <c r="I68" s="138"/>
      <c r="J68" s="3132"/>
      <c r="K68" s="2499" t="s">
        <v>2253</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132"/>
      <c r="K69" s="2499" t="s">
        <v>2254</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5" thickBot="1">
      <c r="A70" s="3126" t="s">
        <v>2255</v>
      </c>
      <c r="B70" s="3127"/>
      <c r="C70" s="3127"/>
      <c r="D70" s="3127"/>
      <c r="E70" s="3127"/>
      <c r="F70" s="3127"/>
      <c r="G70" s="3127"/>
      <c r="H70" s="312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
      <c r="A71" s="3128" t="s">
        <v>2236</v>
      </c>
      <c r="B71" s="3129"/>
      <c r="C71" s="1801"/>
      <c r="D71" s="1801"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
      <c r="A72" s="203" t="s">
        <v>775</v>
      </c>
      <c r="B72" s="204" t="s">
        <v>2256</v>
      </c>
      <c r="C72" s="207">
        <f ca="1">ROUND(D45/(1+'数据-取费表'!C42),0)</f>
        <v>21340</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
      <c r="A73" s="203" t="s">
        <v>772</v>
      </c>
      <c r="B73" s="173" t="s">
        <v>2257</v>
      </c>
      <c r="C73" s="207">
        <f ca="1">C74+C78</f>
        <v>128</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6">
      <c r="A74" s="217" t="s">
        <v>770</v>
      </c>
      <c r="B74" s="198" t="s">
        <v>2258</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23" t="s">
        <v>2264</v>
      </c>
      <c r="F76" s="3124"/>
      <c r="G76" s="3124"/>
      <c r="H76" s="312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128</v>
      </c>
      <c r="D78" s="226">
        <f>'数据-取费表'!B43</f>
        <v>6.000000000000001E-3</v>
      </c>
      <c r="E78" s="3111" t="s">
        <v>2269</v>
      </c>
      <c r="F78" s="3112"/>
      <c r="G78" s="3112"/>
      <c r="H78" s="311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
      <c r="A79" s="2515" t="s">
        <v>779</v>
      </c>
      <c r="B79" s="204" t="s">
        <v>2270</v>
      </c>
      <c r="C79" s="207">
        <f ca="1">C72-C73</f>
        <v>21212</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6">
      <c r="A80" s="2515" t="s">
        <v>780</v>
      </c>
      <c r="B80" s="204" t="s">
        <v>2271</v>
      </c>
      <c r="C80" s="227">
        <f ca="1">IF(C79&lt;=0,0,C79/C73)</f>
        <v>165.71875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6.5" thickBot="1">
      <c r="A81" s="2516" t="s">
        <v>781</v>
      </c>
      <c r="B81" s="209" t="s">
        <v>2272</v>
      </c>
      <c r="C81" s="228">
        <f ca="1">ROUND(IF(C79&lt;=0,0,IF(C80&gt;=200%,C79*60%-C73*35%,IF(C80&gt;=100%,C79*50%-C73*15%,IF(C80&gt;=50%,C79*40%-C73*5%,IF(C80&lt;50%,C79*30%,0))))),0)</f>
        <v>12682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5" thickBot="1">
      <c r="A83" s="3126" t="s">
        <v>2273</v>
      </c>
      <c r="B83" s="3127"/>
      <c r="C83" s="3127"/>
      <c r="D83" s="3127"/>
      <c r="E83" s="3127"/>
      <c r="F83" s="3127"/>
      <c r="G83" s="3127"/>
      <c r="H83" s="312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
      <c r="A84" s="3128" t="s">
        <v>2236</v>
      </c>
      <c r="B84" s="3129"/>
      <c r="C84" s="1801"/>
      <c r="D84" s="1801"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
      <c r="A85" s="203" t="s">
        <v>775</v>
      </c>
      <c r="B85" s="204" t="s">
        <v>2256</v>
      </c>
      <c r="C85" s="207">
        <f ca="1">ROUND(D45/(1+'数据-取费表'!C42),0)</f>
        <v>21340</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
      <c r="A86" s="203" t="s">
        <v>772</v>
      </c>
      <c r="B86" s="173" t="s">
        <v>2257</v>
      </c>
      <c r="C86" s="207">
        <f ca="1">IF(H88="仅含出让金",C87+C90+C91+C92+C93+C94,C87+C91+C92+C93+C94)</f>
        <v>128</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
      <c r="A87" s="217" t="s">
        <v>770</v>
      </c>
      <c r="B87" s="198" t="s">
        <v>2274</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
      <c r="A88" s="217" t="s">
        <v>776</v>
      </c>
      <c r="B88" s="198" t="s">
        <v>2275</v>
      </c>
      <c r="C88" s="236"/>
      <c r="D88" s="226"/>
      <c r="E88" s="237" t="s">
        <v>2276</v>
      </c>
      <c r="F88" s="179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
      <c r="A89" s="217" t="s">
        <v>777</v>
      </c>
      <c r="B89" s="198" t="s">
        <v>2265</v>
      </c>
      <c r="C89" s="225">
        <f>ROUND(C88*D89,0)</f>
        <v>0</v>
      </c>
      <c r="D89" s="226">
        <f>'数据-取费表'!B48+'数据-取费表'!B49</f>
        <v>3.0499999999999999E-2</v>
      </c>
      <c r="E89" s="237" t="s">
        <v>2278</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
      <c r="A90" s="217" t="s">
        <v>771</v>
      </c>
      <c r="B90" s="198" t="s">
        <v>2279</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111" t="s">
        <v>2282</v>
      </c>
      <c r="F91" s="3112"/>
      <c r="G91" s="3112"/>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111" t="s">
        <v>2286</v>
      </c>
      <c r="F92" s="3112"/>
      <c r="G92" s="3112"/>
      <c r="H92" s="311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128</v>
      </c>
      <c r="D93" s="226">
        <f>'数据-取费表'!B43</f>
        <v>6.000000000000001E-3</v>
      </c>
      <c r="E93" s="3111" t="s">
        <v>2269</v>
      </c>
      <c r="F93" s="3112"/>
      <c r="G93" s="3112"/>
      <c r="H93" s="311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114" t="s">
        <v>2290</v>
      </c>
      <c r="F94" s="3115"/>
      <c r="G94" s="3115"/>
      <c r="H94" s="311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
      <c r="A95" s="2515" t="s">
        <v>779</v>
      </c>
      <c r="B95" s="204" t="s">
        <v>2270</v>
      </c>
      <c r="C95" s="207">
        <f ca="1">ROUND(C85-C86,0)</f>
        <v>21212</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6">
      <c r="A96" s="2515" t="s">
        <v>780</v>
      </c>
      <c r="B96" s="204" t="s">
        <v>2271</v>
      </c>
      <c r="C96" s="227">
        <f ca="1">IF(C95&lt;=0,0,C95/C86)</f>
        <v>165.71875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6.5" thickBot="1">
      <c r="A97" s="2516" t="s">
        <v>781</v>
      </c>
      <c r="B97" s="209" t="s">
        <v>2272</v>
      </c>
      <c r="C97" s="228">
        <f ca="1">ROUND(IF(C95&lt;=0,0,IF(C96&gt;=200%,C95*60%-C86*35%,IF(C96&gt;=100%,C95*50%-C86*15%,IF(C96&gt;=50%,C95*40%-C86*5%,IF(C96&lt;50%,C95*30%,0))))),0)</f>
        <v>12682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77" t="s">
        <v>2292</v>
      </c>
      <c r="B100" s="3078"/>
      <c r="C100" s="3078"/>
      <c r="D100" s="3117"/>
      <c r="E100" s="3078" t="s">
        <v>2293</v>
      </c>
      <c r="F100" s="3078"/>
      <c r="G100" s="3078"/>
      <c r="H100" s="3117"/>
      <c r="I100" s="138"/>
    </row>
    <row r="101" spans="1:35" ht="18.75" customHeight="1">
      <c r="A101" s="3118" t="s">
        <v>2294</v>
      </c>
      <c r="B101" s="3119"/>
      <c r="C101" s="736" t="str">
        <f>C4</f>
        <v>比较法-办公</v>
      </c>
      <c r="D101" s="737" t="str">
        <f>D4</f>
        <v>收益法</v>
      </c>
      <c r="E101" s="3120" t="s">
        <v>2295</v>
      </c>
      <c r="F101" s="3102"/>
      <c r="G101" s="2520" t="s">
        <v>2296</v>
      </c>
      <c r="H101" s="1045">
        <f ca="1">H118</f>
        <v>22407</v>
      </c>
      <c r="I101" s="138"/>
    </row>
    <row r="102" spans="1:35" ht="18.75" customHeight="1">
      <c r="A102" s="3099" t="s">
        <v>2297</v>
      </c>
      <c r="B102" s="2520" t="s">
        <v>2296</v>
      </c>
      <c r="C102" s="736">
        <f ca="1">C19</f>
        <v>24756</v>
      </c>
      <c r="D102" s="737">
        <f ca="1">D19</f>
        <v>18884</v>
      </c>
      <c r="E102" s="3120"/>
      <c r="F102" s="3102"/>
      <c r="G102" s="2520" t="s">
        <v>2298</v>
      </c>
      <c r="H102" s="371">
        <f ca="1">I118</f>
        <v>74672</v>
      </c>
      <c r="I102" s="138"/>
    </row>
    <row r="103" spans="1:35" ht="42.75" customHeight="1">
      <c r="A103" s="3099"/>
      <c r="B103" s="2520" t="s">
        <v>2298</v>
      </c>
      <c r="C103" s="738">
        <f ca="1">C20</f>
        <v>82500</v>
      </c>
      <c r="D103" s="739">
        <f ca="1">D20</f>
        <v>62931</v>
      </c>
      <c r="E103" s="3121" t="s">
        <v>2299</v>
      </c>
      <c r="F103" s="3122"/>
      <c r="G103" s="2521" t="s">
        <v>2300</v>
      </c>
      <c r="H103" s="1045">
        <f>IF(D36="正常操作",H104+H105+H106,H105+H106)</f>
        <v>0</v>
      </c>
      <c r="I103" s="138"/>
    </row>
    <row r="104" spans="1:35" ht="18.75" customHeight="1">
      <c r="A104" s="3099" t="s">
        <v>2301</v>
      </c>
      <c r="B104" s="2522" t="s">
        <v>2296</v>
      </c>
      <c r="C104" s="740">
        <f ca="1">H118</f>
        <v>22407</v>
      </c>
      <c r="D104" s="741"/>
      <c r="E104" s="2267" t="s">
        <v>2302</v>
      </c>
      <c r="F104" s="2258"/>
      <c r="G104" s="2521" t="s">
        <v>2300</v>
      </c>
      <c r="H104" s="1046">
        <f>IF(D36="同一抵押权人同一抵押物续贷",C36&amp;"（未扣减，详见特别提示）",C36)</f>
        <v>0</v>
      </c>
      <c r="I104" s="138"/>
    </row>
    <row r="105" spans="1:35" ht="18.75" customHeight="1" thickBot="1">
      <c r="A105" s="3100"/>
      <c r="B105" s="2523" t="s">
        <v>2298</v>
      </c>
      <c r="C105" s="742">
        <f ca="1">I118</f>
        <v>74672</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101" t="str">
        <f>IF(项目基本情况!E8="已注销","——","3.房地产抵押价值")</f>
        <v>3.房地产抵押价值</v>
      </c>
      <c r="F107" s="3102"/>
      <c r="G107" s="2520" t="s">
        <v>2296</v>
      </c>
      <c r="H107" s="1045">
        <f ca="1">IF(E107="——","——",H101-H103)</f>
        <v>22407</v>
      </c>
      <c r="I107" s="138"/>
    </row>
    <row r="108" spans="1:35" ht="18.75" customHeight="1">
      <c r="A108" s="138"/>
      <c r="B108" s="138"/>
      <c r="C108" s="138"/>
      <c r="D108" s="138"/>
      <c r="E108" s="3101"/>
      <c r="F108" s="3102"/>
      <c r="G108" s="2520" t="s">
        <v>2298</v>
      </c>
      <c r="H108" s="371">
        <f ca="1">ROUND(H107*10000/'数据-汇总表'!E3,0)</f>
        <v>74672</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102"/>
      <c r="G109" s="2520" t="s">
        <v>2296</v>
      </c>
      <c r="H109" s="348" t="str">
        <f>IF(E109="——","——",H101-H105-H106)</f>
        <v>——</v>
      </c>
      <c r="I109" s="138"/>
    </row>
    <row r="110" spans="1:35" ht="18.75" customHeight="1">
      <c r="A110" s="138"/>
      <c r="B110" s="138"/>
      <c r="C110" s="138"/>
      <c r="D110" s="138"/>
      <c r="E110" s="3101"/>
      <c r="F110" s="3102"/>
      <c r="G110" s="2520" t="s">
        <v>2298</v>
      </c>
      <c r="H110" s="371" t="str">
        <f>IF(H109="——","——",ROUND(H109*10000/'数据-汇总表'!E3,0))</f>
        <v>——</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20" t="s">
        <v>2296</v>
      </c>
      <c r="H111" s="1045" t="str">
        <f>IF(E111="——","——",N59)</f>
        <v>——</v>
      </c>
      <c r="I111" s="138"/>
    </row>
    <row r="112" spans="1:35" ht="18.75" customHeight="1" thickBot="1">
      <c r="A112" s="138"/>
      <c r="B112" s="138"/>
      <c r="C112" s="138"/>
      <c r="D112" s="138"/>
      <c r="E112" s="3105"/>
      <c r="F112" s="3106"/>
      <c r="G112" s="2525" t="s">
        <v>2298</v>
      </c>
      <c r="H112" s="790" t="str">
        <f>IF(E111="——","——",N61)</f>
        <v>——</v>
      </c>
      <c r="I112" s="138"/>
    </row>
    <row r="113" spans="1:11" ht="18.75" customHeight="1">
      <c r="A113" s="138"/>
      <c r="B113" s="138"/>
      <c r="C113" s="138"/>
      <c r="D113" s="138"/>
      <c r="E113" s="3107" t="s">
        <v>2304</v>
      </c>
      <c r="F113" s="3107"/>
      <c r="G113" s="3107"/>
      <c r="H113" s="3107"/>
      <c r="I113" s="138"/>
    </row>
    <row r="114" spans="1:11" ht="3.75" customHeight="1">
      <c r="A114" s="2418"/>
      <c r="B114" s="2418"/>
      <c r="C114" s="2418"/>
      <c r="D114" s="2418"/>
      <c r="E114" s="2496"/>
      <c r="F114" s="2496"/>
      <c r="G114" s="2496"/>
      <c r="H114" s="2496"/>
      <c r="I114" s="2418"/>
    </row>
    <row r="115" spans="1:11" ht="18.75" customHeight="1">
      <c r="A115" s="3108" t="s">
        <v>2306</v>
      </c>
      <c r="B115" s="3109"/>
      <c r="C115" s="3109"/>
      <c r="D115" s="3109"/>
      <c r="E115" s="3109"/>
      <c r="F115" s="3109"/>
      <c r="G115" s="3109"/>
      <c r="H115" s="3109"/>
      <c r="I115" s="3110"/>
    </row>
    <row r="116" spans="1:11" ht="27" customHeight="1">
      <c r="A116" s="3056" t="s">
        <v>2307</v>
      </c>
      <c r="B116" s="3094" t="s">
        <v>2308</v>
      </c>
      <c r="C116" s="3094" t="s">
        <v>2309</v>
      </c>
      <c r="D116" s="3096" t="s">
        <v>2310</v>
      </c>
      <c r="E116" s="3097"/>
      <c r="F116" s="3098" t="s">
        <v>2311</v>
      </c>
      <c r="G116" s="3098"/>
      <c r="H116" s="3056" t="s">
        <v>2312</v>
      </c>
      <c r="I116" s="3056"/>
    </row>
    <row r="117" spans="1:11" ht="18.75" customHeight="1">
      <c r="A117" s="3056"/>
      <c r="B117" s="3095"/>
      <c r="C117" s="3095"/>
      <c r="D117" s="1795" t="s">
        <v>2313</v>
      </c>
      <c r="E117" s="1795" t="s">
        <v>2314</v>
      </c>
      <c r="F117" s="1795" t="s">
        <v>2313</v>
      </c>
      <c r="G117" s="1795" t="s">
        <v>2315</v>
      </c>
      <c r="H117" s="1795" t="s">
        <v>2313</v>
      </c>
      <c r="I117" s="1795" t="s">
        <v>2315</v>
      </c>
    </row>
    <row r="118" spans="1:11" ht="24.75" customHeight="1">
      <c r="A118" s="2526" t="str">
        <f>项目基本情况!S2</f>
        <v>房地产</v>
      </c>
      <c r="B118" s="1795">
        <f>M18</f>
        <v>3000.7300000000005</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22407</v>
      </c>
      <c r="I118" s="1795">
        <f ca="1">ROUND(IF(D32="楼面单价",C32,H118*10000/B118),0)</f>
        <v>74672</v>
      </c>
    </row>
    <row r="119" spans="1:11" ht="18.75" customHeight="1">
      <c r="A119" s="3056" t="s">
        <v>2316</v>
      </c>
      <c r="B119" s="3056"/>
      <c r="C119" s="3056"/>
      <c r="D119" s="3083" t="e">
        <f ca="1">NUMBERSTRING(INT(D118*10000),2)&amp;"元整"</f>
        <v>#REF!</v>
      </c>
      <c r="E119" s="3085"/>
      <c r="F119" s="3083" t="e">
        <f ca="1">NUMBERSTRING(INT(F118*10000),2)&amp;"元整"</f>
        <v>#REF!</v>
      </c>
      <c r="G119" s="3085"/>
      <c r="H119" s="3083" t="str">
        <f ca="1">NUMBERSTRING(INT(H118*10000),2)&amp;"元整"</f>
        <v>贰亿贰仟肆佰零柒万元整</v>
      </c>
      <c r="I119" s="3085"/>
    </row>
    <row r="120" spans="1:11" ht="18.75" customHeight="1">
      <c r="A120" s="3088" t="str">
        <f>IF(项目基本情况!B9="房地产市场价值","",MID(E103,3,LEN(E103)-2))</f>
        <v>估价师知悉的法定优先受偿款</v>
      </c>
      <c r="B120" s="3089"/>
      <c r="C120" s="3090"/>
      <c r="D120" s="3088">
        <f>H103</f>
        <v>0</v>
      </c>
      <c r="E120" s="3089"/>
      <c r="F120" s="3089"/>
      <c r="G120" s="3089"/>
      <c r="H120" s="3089"/>
      <c r="I120" s="3090"/>
      <c r="K120" s="2423" t="str">
        <f>IF(D120=0,"故，本次评估不存在"&amp;A120,"故，本次评估"&amp;A120&amp;"为人民币"&amp;D120&amp;"万元整。")</f>
        <v>故，本次评估不存在估价师知悉的法定优先受偿款</v>
      </c>
    </row>
    <row r="121" spans="1:11" ht="18.75" customHeight="1">
      <c r="A121" s="3091" t="s">
        <v>2316</v>
      </c>
      <c r="B121" s="3092"/>
      <c r="C121" s="3093"/>
      <c r="D121" s="3083" t="str">
        <f>IF(D120=0,"零元整",NUMBERSTRING(INT(D120*10000),2)&amp;"元整")</f>
        <v>零元整</v>
      </c>
      <c r="E121" s="3084"/>
      <c r="F121" s="3084"/>
      <c r="G121" s="3084"/>
      <c r="H121" s="3084"/>
      <c r="I121" s="3085"/>
    </row>
    <row r="122" spans="1:11" ht="18.75" customHeight="1">
      <c r="A122" s="3087" t="str">
        <f>IF(项目基本情况!B9="房地产市场价值","",MID(E107,3,LEN(E107)-2))</f>
        <v>房地产抵押价值</v>
      </c>
      <c r="B122" s="3087"/>
      <c r="C122" s="3087"/>
      <c r="D122" s="3088">
        <f ca="1">H107</f>
        <v>22407</v>
      </c>
      <c r="E122" s="3089"/>
      <c r="F122" s="3089"/>
      <c r="G122" s="3089"/>
      <c r="H122" s="3089"/>
      <c r="I122" s="3090"/>
    </row>
    <row r="123" spans="1:11" ht="18.75" customHeight="1">
      <c r="A123" s="3056" t="s">
        <v>2316</v>
      </c>
      <c r="B123" s="3056"/>
      <c r="C123" s="3056"/>
      <c r="D123" s="3083" t="str">
        <f ca="1">NUMBERSTRING(INT(D122*10000),2)&amp;"元整"</f>
        <v>贰亿贰仟肆佰零柒万元整</v>
      </c>
      <c r="E123" s="3084"/>
      <c r="F123" s="3084"/>
      <c r="G123" s="3084"/>
      <c r="H123" s="3084"/>
      <c r="I123" s="3085"/>
    </row>
    <row r="124" spans="1:11" ht="18.75" customHeight="1">
      <c r="A124" s="3087" t="str">
        <f>IF(项目基本情况!B9="房地产市场价值","",MID(E109,3,LEN(E109)-2))</f>
        <v/>
      </c>
      <c r="B124" s="3087"/>
      <c r="C124" s="3087"/>
      <c r="D124" s="3088" t="str">
        <f>H109</f>
        <v>——</v>
      </c>
      <c r="E124" s="3089"/>
      <c r="F124" s="3089"/>
      <c r="G124" s="3089"/>
      <c r="H124" s="3089"/>
      <c r="I124" s="3090"/>
    </row>
    <row r="125" spans="1:11" ht="18.75" customHeight="1">
      <c r="A125" s="3056" t="s">
        <v>2316</v>
      </c>
      <c r="B125" s="3056"/>
      <c r="C125" s="3056"/>
      <c r="D125" s="3083" t="e">
        <f>NUMBERSTRING(INT(D124*10000),2)&amp;"元整"</f>
        <v>#VALUE!</v>
      </c>
      <c r="E125" s="3084"/>
      <c r="F125" s="3084"/>
      <c r="G125" s="3084"/>
      <c r="H125" s="3084"/>
      <c r="I125" s="3085"/>
    </row>
    <row r="126" spans="1:11" ht="18.75" customHeight="1">
      <c r="A126" s="3087" t="str">
        <f>IF(项目基本情况!B9="房地产市场价值","",MID(E111,3,LEN(E111)-2))</f>
        <v/>
      </c>
      <c r="B126" s="3087"/>
      <c r="C126" s="3087"/>
      <c r="D126" s="3088" t="str">
        <f>H111</f>
        <v>——</v>
      </c>
      <c r="E126" s="3089"/>
      <c r="F126" s="3089"/>
      <c r="G126" s="3089"/>
      <c r="H126" s="3089"/>
      <c r="I126" s="3090"/>
    </row>
    <row r="127" spans="1:11" ht="18.75" customHeight="1">
      <c r="A127" s="3056" t="s">
        <v>2316</v>
      </c>
      <c r="B127" s="3056"/>
      <c r="C127" s="3056"/>
      <c r="D127" s="3083" t="e">
        <f>NUMBERSTRING(INT(D126*10000),2)&amp;"元整"</f>
        <v>#VALUE!</v>
      </c>
      <c r="E127" s="3084"/>
      <c r="F127" s="3084"/>
      <c r="G127" s="3084"/>
      <c r="H127" s="3084"/>
      <c r="I127" s="3085"/>
    </row>
    <row r="128" spans="1:11" ht="21.75" customHeight="1">
      <c r="A128" s="3086" t="s">
        <v>2317</v>
      </c>
      <c r="B128" s="3086"/>
      <c r="C128" s="3086"/>
      <c r="D128" s="3086"/>
      <c r="E128" s="3086"/>
      <c r="F128" s="3086"/>
      <c r="G128" s="3086"/>
      <c r="H128" s="3086"/>
      <c r="I128" s="3086"/>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
  <cols>
    <col min="1" max="1" width="3.453125" style="1015" customWidth="1"/>
    <col min="2" max="9" width="10" style="1015" customWidth="1"/>
    <col min="10" max="16384" width="9" style="1015"/>
  </cols>
  <sheetData>
    <row r="36" spans="1:9">
      <c r="A36" s="1014" t="s">
        <v>818</v>
      </c>
      <c r="B36" s="1014" t="s">
        <v>819</v>
      </c>
    </row>
    <row r="37" spans="1:9" ht="27.75" customHeight="1">
      <c r="A37" s="1014"/>
      <c r="B37" s="2990" t="str">
        <f>项目基本情况!B1</f>
        <v>预评估</v>
      </c>
      <c r="C37" s="2990"/>
      <c r="D37" s="2990"/>
      <c r="E37" s="2990"/>
      <c r="F37" s="2990"/>
      <c r="G37" s="2990"/>
      <c r="H37" s="2990"/>
      <c r="I37" s="2990"/>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3.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9B3D8-D705-46F4-9AA4-3BD44C9F6FBB}">
  <sheetPr>
    <tabColor rgb="FFFF0000"/>
  </sheetPr>
  <dimension ref="A1:AI512"/>
  <sheetViews>
    <sheetView view="pageBreakPreview" topLeftCell="A4" zoomScaleNormal="100" zoomScaleSheetLayoutView="100" zoomScalePageLayoutView="80" workbookViewId="0">
      <selection activeCell="F24" sqref="F24"/>
    </sheetView>
  </sheetViews>
  <sheetFormatPr defaultColWidth="12.6328125" defaultRowHeight="21.75" customHeight="1"/>
  <cols>
    <col min="1" max="2" width="12.6328125" style="2424"/>
    <col min="3" max="4" width="12.6328125" style="2424" customWidth="1"/>
    <col min="5" max="9" width="12.6328125" style="2424"/>
    <col min="10" max="11" width="12.6328125" style="795" customWidth="1"/>
    <col min="12" max="12" width="12.6328125" style="795"/>
    <col min="13" max="13" width="14.08984375" style="795" bestFit="1" customWidth="1"/>
    <col min="14" max="26" width="12.6328125" style="795"/>
    <col min="27" max="35" width="12.6328125" style="2423"/>
    <col min="36" max="16384" width="12.6328125" style="2424"/>
  </cols>
  <sheetData>
    <row r="1" spans="1:12" ht="21.75" customHeight="1" thickBot="1">
      <c r="A1" s="2225" t="s">
        <v>2116</v>
      </c>
      <c r="B1" s="2418"/>
      <c r="C1" s="2419"/>
      <c r="D1" s="2418"/>
      <c r="E1" s="2418"/>
      <c r="F1" s="2420" t="s">
        <v>2117</v>
      </c>
      <c r="G1" s="2070" t="s">
        <v>3112</v>
      </c>
      <c r="H1" s="2421" t="str">
        <f>IF(G1="现房","——","估价对象范围")</f>
        <v>——</v>
      </c>
      <c r="I1" s="2422"/>
    </row>
    <row r="2" spans="1:12" ht="21.75" customHeight="1" thickBot="1">
      <c r="A2" s="3171" t="str">
        <f>项目基本情况!S2</f>
        <v>房地产</v>
      </c>
      <c r="B2" s="3172"/>
      <c r="C2" s="3172"/>
      <c r="D2" s="3172"/>
      <c r="E2" s="3172"/>
      <c r="F2" s="3172"/>
      <c r="G2" s="3172"/>
      <c r="H2" s="3172"/>
      <c r="I2" s="3173"/>
    </row>
    <row r="3" spans="1:12" ht="13">
      <c r="A3" s="3174" t="s">
        <v>2118</v>
      </c>
      <c r="B3" s="3175"/>
      <c r="C3" s="3175"/>
      <c r="D3" s="3175"/>
      <c r="E3" s="3175"/>
      <c r="F3" s="3175"/>
      <c r="G3" s="3175"/>
      <c r="H3" s="3175"/>
      <c r="I3" s="3175"/>
    </row>
    <row r="4" spans="1:12" ht="14">
      <c r="A4" s="2425" t="s">
        <v>2119</v>
      </c>
      <c r="B4" s="2426" t="s">
        <v>2120</v>
      </c>
      <c r="C4" s="2427" t="s">
        <v>3110</v>
      </c>
      <c r="D4" s="2427" t="s">
        <v>3083</v>
      </c>
      <c r="E4" s="3135" t="s">
        <v>2121</v>
      </c>
      <c r="F4" s="3137"/>
      <c r="G4" s="3137"/>
      <c r="H4" s="3137"/>
      <c r="I4" s="3136"/>
      <c r="K4" s="2428" t="str">
        <f>IF(ISNUMBER(FIND("比较法",'结果表 (2)'!C4)),"比较法",IF(ISNUMBER(FIND("成本法",'结果表 (2)'!C4)),"成本法",IF(ISNUMBER(FIND("假设开发法",'结果表 (2)'!C4)),"假设开发法",IF(ISNUMBER(FIND("收益法",'结果表 (2)'!C4)),"收益法","基准地价系数修正法"))))</f>
        <v>成本法</v>
      </c>
      <c r="L4" s="2428" t="str">
        <f>IF(ISNUMBER(FIND("比较法",'结果表 (2)'!D4)),"比较法",IF(ISNUMBER(FIND("成本法",'结果表 (2)'!D4)),"成本法",IF(ISNUMBER(FIND("假设开发法",'结果表 (2)'!D4)),"假设开发法",IF(ISNUMBER(FIND("收益法",'结果表 (2)'!D4)),"收益法","基准地价系数修正法"))))</f>
        <v>收益法</v>
      </c>
    </row>
    <row r="5" spans="1:12" ht="13">
      <c r="A5" s="3166" t="s">
        <v>2122</v>
      </c>
      <c r="B5" s="3056">
        <v>25</v>
      </c>
      <c r="C5" s="3167"/>
      <c r="D5" s="3169"/>
      <c r="E5" s="140" t="s">
        <v>2123</v>
      </c>
      <c r="F5" s="2429"/>
      <c r="G5" s="2429"/>
      <c r="H5" s="2429"/>
      <c r="I5" s="1831"/>
    </row>
    <row r="6" spans="1:12" ht="13">
      <c r="A6" s="3166"/>
      <c r="B6" s="3056"/>
      <c r="C6" s="3170"/>
      <c r="D6" s="3169"/>
      <c r="E6" s="140" t="s">
        <v>2124</v>
      </c>
      <c r="F6" s="2429"/>
      <c r="G6" s="2429"/>
      <c r="H6" s="2429"/>
      <c r="I6" s="1831"/>
    </row>
    <row r="7" spans="1:12" ht="13">
      <c r="A7" s="3166"/>
      <c r="B7" s="3056"/>
      <c r="C7" s="3168"/>
      <c r="D7" s="3169"/>
      <c r="E7" s="140" t="s">
        <v>2125</v>
      </c>
      <c r="F7" s="2429"/>
      <c r="G7" s="2429"/>
      <c r="H7" s="2429"/>
      <c r="I7" s="1831"/>
    </row>
    <row r="8" spans="1:12" ht="13">
      <c r="A8" s="3166" t="s">
        <v>2126</v>
      </c>
      <c r="B8" s="3056">
        <v>15</v>
      </c>
      <c r="C8" s="3167"/>
      <c r="D8" s="3169"/>
      <c r="E8" s="140" t="s">
        <v>2127</v>
      </c>
      <c r="F8" s="2429"/>
      <c r="G8" s="2429"/>
      <c r="H8" s="2429"/>
      <c r="I8" s="1831"/>
    </row>
    <row r="9" spans="1:12" ht="13">
      <c r="A9" s="3166"/>
      <c r="B9" s="3056"/>
      <c r="C9" s="3168"/>
      <c r="D9" s="3169"/>
      <c r="E9" s="140" t="s">
        <v>2128</v>
      </c>
      <c r="F9" s="2429"/>
      <c r="G9" s="2429"/>
      <c r="H9" s="2429"/>
      <c r="I9" s="1831"/>
    </row>
    <row r="10" spans="1:12" ht="13">
      <c r="A10" s="3166" t="s">
        <v>2129</v>
      </c>
      <c r="B10" s="3056">
        <v>15</v>
      </c>
      <c r="C10" s="3167"/>
      <c r="D10" s="3169"/>
      <c r="E10" s="140" t="s">
        <v>2130</v>
      </c>
      <c r="F10" s="2429"/>
      <c r="G10" s="2429"/>
      <c r="H10" s="2429"/>
      <c r="I10" s="1831"/>
    </row>
    <row r="11" spans="1:12" ht="13">
      <c r="A11" s="3166"/>
      <c r="B11" s="3056"/>
      <c r="C11" s="3168"/>
      <c r="D11" s="3169"/>
      <c r="E11" s="140" t="s">
        <v>2131</v>
      </c>
      <c r="F11" s="2429"/>
      <c r="G11" s="2429"/>
      <c r="H11" s="2429"/>
      <c r="I11" s="1831"/>
    </row>
    <row r="12" spans="1:12" ht="13">
      <c r="A12" s="3166" t="s">
        <v>2132</v>
      </c>
      <c r="B12" s="3056">
        <v>15</v>
      </c>
      <c r="C12" s="3167"/>
      <c r="D12" s="3169"/>
      <c r="E12" s="140" t="s">
        <v>2133</v>
      </c>
      <c r="F12" s="2429"/>
      <c r="G12" s="2429"/>
      <c r="H12" s="2429"/>
      <c r="I12" s="1831"/>
    </row>
    <row r="13" spans="1:12" ht="13">
      <c r="A13" s="3166"/>
      <c r="B13" s="3056"/>
      <c r="C13" s="3168"/>
      <c r="D13" s="3169"/>
      <c r="E13" s="140" t="s">
        <v>2134</v>
      </c>
      <c r="F13" s="2429"/>
      <c r="G13" s="2429"/>
      <c r="H13" s="2429"/>
      <c r="I13" s="1831"/>
    </row>
    <row r="14" spans="1:12" ht="13">
      <c r="A14" s="3166" t="s">
        <v>2135</v>
      </c>
      <c r="B14" s="3056">
        <v>30</v>
      </c>
      <c r="C14" s="3167">
        <v>4</v>
      </c>
      <c r="D14" s="3169">
        <v>6</v>
      </c>
      <c r="E14" s="140" t="s">
        <v>2136</v>
      </c>
      <c r="F14" s="2429"/>
      <c r="G14" s="2429"/>
      <c r="H14" s="2429"/>
      <c r="I14" s="1831"/>
    </row>
    <row r="15" spans="1:12" ht="13">
      <c r="A15" s="3166"/>
      <c r="B15" s="3056"/>
      <c r="C15" s="3170"/>
      <c r="D15" s="3169"/>
      <c r="E15" s="140" t="s">
        <v>2137</v>
      </c>
      <c r="F15" s="2429"/>
      <c r="G15" s="2429"/>
      <c r="H15" s="2429"/>
      <c r="I15" s="1831"/>
    </row>
    <row r="16" spans="1:12" ht="13">
      <c r="A16" s="3166"/>
      <c r="B16" s="3056"/>
      <c r="C16" s="3168"/>
      <c r="D16" s="3169"/>
      <c r="E16" s="140" t="s">
        <v>2138</v>
      </c>
      <c r="F16" s="2429"/>
      <c r="G16" s="2429"/>
      <c r="H16" s="2429"/>
      <c r="I16" s="1831"/>
    </row>
    <row r="17" spans="1:35" ht="14">
      <c r="A17" s="2430" t="s">
        <v>2139</v>
      </c>
      <c r="B17" s="64"/>
      <c r="C17" s="141">
        <f>SUM(C5:C16)</f>
        <v>4</v>
      </c>
      <c r="D17" s="141">
        <f>SUM(D5:D16)</f>
        <v>6</v>
      </c>
      <c r="E17" s="138"/>
      <c r="F17" s="138"/>
      <c r="G17" s="138"/>
      <c r="H17" s="138"/>
      <c r="I17" s="138"/>
      <c r="K17" s="2428"/>
      <c r="L17" s="2431" t="s">
        <v>2140</v>
      </c>
      <c r="M17" s="2431" t="s">
        <v>2141</v>
      </c>
    </row>
    <row r="18" spans="1:35" ht="14.5" thickBot="1">
      <c r="A18" s="2432" t="s">
        <v>2142</v>
      </c>
      <c r="B18" s="2433"/>
      <c r="C18" s="142">
        <f>ROUND(C17/SUM(C17:D17),2)</f>
        <v>0.4</v>
      </c>
      <c r="D18" s="142">
        <f>1-C18</f>
        <v>0.6</v>
      </c>
      <c r="E18" s="138"/>
      <c r="F18" s="138"/>
      <c r="G18" s="138"/>
      <c r="H18" s="138"/>
      <c r="I18" s="138"/>
      <c r="K18" s="2428" t="s">
        <v>2143</v>
      </c>
      <c r="L18" s="2428">
        <f>IF(C1="",'数据-汇总表'!E3,SUMIF(项目类型,C1,'数据-汇总表'!E17:E26)+SUMIF(项目类型,C1,'数据-汇总表'!I17:I26))</f>
        <v>3000.7300000000005</v>
      </c>
      <c r="M18" s="2428">
        <f>IF(C1="",'数据-汇总表'!E3,SUMIF(项目类型,C1,'数据-汇总表'!E17:E26))</f>
        <v>3000.7300000000005</v>
      </c>
    </row>
    <row r="19" spans="1:35" ht="14">
      <c r="A19" s="2434" t="s">
        <v>2144</v>
      </c>
      <c r="B19" s="2435" t="s">
        <v>2145</v>
      </c>
      <c r="C19" s="143">
        <f ca="1">SUMIF(INDIRECT("'"&amp;C4&amp;"'"&amp;"!A:A"),'结果表 (2)'!B19,INDIRECT("'"&amp;C4&amp;"'"&amp;"!B:B"))</f>
        <v>23301</v>
      </c>
      <c r="D19" s="144">
        <f ca="1">SUMIF(INDIRECT("'"&amp;D4&amp;"'"&amp;"!A:A"),'结果表 (2)'!B19,INDIRECT("'"&amp;D4&amp;"'"&amp;"!B:B"))</f>
        <v>18884</v>
      </c>
      <c r="E19" s="2434" t="s">
        <v>2146</v>
      </c>
      <c r="F19" s="2435" t="s">
        <v>2145</v>
      </c>
      <c r="G19" s="145">
        <f ca="1">ROUND(C19*$C$18+D19*$D$18,0)</f>
        <v>20651</v>
      </c>
      <c r="H19" s="2436" t="s">
        <v>2147</v>
      </c>
      <c r="I19" s="138"/>
      <c r="K19" s="2428" t="s">
        <v>2148</v>
      </c>
      <c r="L19" s="2428">
        <f>IF(C1="",'数据-汇总表'!D3,SUMIF(项目类型,C1,'数据-汇总表'!D17:D26)+SUMIF(项目类型,C1,'数据-汇总表'!H17:H27))</f>
        <v>0</v>
      </c>
      <c r="M19" s="2428">
        <f>IF(C1="",'数据-汇总表'!D3,SUMIF(项目类型,C1,'数据-汇总表'!D17:D26))</f>
        <v>0</v>
      </c>
    </row>
    <row r="20" spans="1:35" ht="14">
      <c r="A20" s="2437"/>
      <c r="B20" s="1247" t="s">
        <v>2149</v>
      </c>
      <c r="C20" s="146">
        <f ca="1">SUMIF(INDIRECT("'"&amp;C4&amp;"'"&amp;"!A:A"),'结果表 (2)'!B20,INDIRECT("'"&amp;C4&amp;"'"&amp;"!B:B"))</f>
        <v>77651</v>
      </c>
      <c r="D20" s="147">
        <f ca="1">SUMIF(INDIRECT("'"&amp;D4&amp;"'"&amp;"!A:A"),'结果表 (2)'!B20,INDIRECT("'"&amp;D4&amp;"'"&amp;"!B:B"))</f>
        <v>62931</v>
      </c>
      <c r="E20" s="2437"/>
      <c r="F20" s="1247" t="s">
        <v>2149</v>
      </c>
      <c r="G20" s="148">
        <f ca="1">ROUND(C20*$C$18+D20*$D$18,0)</f>
        <v>68819</v>
      </c>
      <c r="H20" s="980" t="s">
        <v>2150</v>
      </c>
      <c r="I20" s="138"/>
    </row>
    <row r="21" spans="1:35" ht="15" customHeight="1" thickBot="1">
      <c r="A21" s="1000"/>
      <c r="B21" s="2438" t="s">
        <v>2151</v>
      </c>
      <c r="C21" s="789" t="e">
        <f ca="1">ROUND(C19*10000/L19,0)</f>
        <v>#DIV/0!</v>
      </c>
      <c r="D21" s="790" t="e">
        <f ca="1">ROUND(D19*10000/L19,0)</f>
        <v>#DIV/0!</v>
      </c>
      <c r="E21" s="1000"/>
      <c r="F21" s="2438" t="s">
        <v>2151</v>
      </c>
      <c r="G21" s="149" t="e">
        <f ca="1">ROUND(G19*10000/L19,0)</f>
        <v>#DIV/0!</v>
      </c>
      <c r="H21" s="2439" t="s">
        <v>2150</v>
      </c>
      <c r="I21" s="138"/>
    </row>
    <row r="22" spans="1:35" ht="14.5" thickBot="1">
      <c r="A22" s="2281" t="s">
        <v>2152</v>
      </c>
      <c r="B22" s="2440"/>
      <c r="C22" s="2441"/>
      <c r="D22" s="791">
        <f ca="1">IF(C19&lt;D19,D19/C19-1,C19/D19-1)</f>
        <v>0.23390171573819107</v>
      </c>
      <c r="E22" s="138"/>
      <c r="F22" s="138"/>
      <c r="G22" s="138"/>
      <c r="H22" s="138"/>
      <c r="I22" s="138"/>
    </row>
    <row r="23" spans="1:35" ht="13" thickBot="1">
      <c r="A23" s="2418"/>
      <c r="B23" s="2418"/>
      <c r="C23" s="2418"/>
      <c r="D23" s="2418"/>
      <c r="E23" s="138"/>
      <c r="F23" s="138"/>
      <c r="G23" s="138"/>
      <c r="H23" s="138">
        <f ca="1">G19/(Sheet1!F2+Sheet1!F3*Sheet1!G3)</f>
        <v>9.3979547582066569</v>
      </c>
      <c r="I23" s="138"/>
    </row>
    <row r="24" spans="1:35" ht="14">
      <c r="A24" s="3154" t="s">
        <v>2153</v>
      </c>
      <c r="B24" s="2435" t="s">
        <v>2145</v>
      </c>
      <c r="C24" s="145">
        <f>IF(B30=0,0,D30)</f>
        <v>0</v>
      </c>
      <c r="D24" s="2442"/>
      <c r="E24" s="138"/>
      <c r="F24" s="138"/>
      <c r="G24" s="138"/>
      <c r="H24" s="138"/>
      <c r="I24" s="138"/>
    </row>
    <row r="25" spans="1:35" ht="14">
      <c r="A25" s="3155"/>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
      <c r="A27" s="2444"/>
      <c r="B27" s="151">
        <v>0</v>
      </c>
      <c r="C27" s="151">
        <v>0</v>
      </c>
      <c r="D27" s="152">
        <f>ROUND(C27*B27/10000,0)</f>
        <v>0</v>
      </c>
      <c r="E27" s="138"/>
      <c r="F27" s="138"/>
      <c r="G27" s="138"/>
      <c r="H27" s="138"/>
      <c r="I27" s="138"/>
    </row>
    <row r="28" spans="1:35" ht="14">
      <c r="A28" s="2444"/>
      <c r="B28" s="151"/>
      <c r="C28" s="151"/>
      <c r="D28" s="152"/>
      <c r="E28" s="138"/>
      <c r="F28" s="138"/>
      <c r="G28" s="138"/>
      <c r="H28" s="138"/>
      <c r="I28" s="138"/>
    </row>
    <row r="29" spans="1:35" ht="14">
      <c r="A29" s="2444"/>
      <c r="B29" s="151"/>
      <c r="C29" s="151"/>
      <c r="D29" s="152"/>
      <c r="E29" s="138"/>
      <c r="F29" s="138"/>
      <c r="G29" s="138"/>
      <c r="H29" s="138"/>
      <c r="I29" s="138"/>
    </row>
    <row r="30" spans="1:35" ht="14">
      <c r="A30" s="151" t="s">
        <v>2158</v>
      </c>
      <c r="B30" s="151"/>
      <c r="C30" s="151"/>
      <c r="D30" s="151"/>
      <c r="E30" s="2917" t="s">
        <v>3032</v>
      </c>
      <c r="F30" s="138"/>
      <c r="G30" s="138"/>
      <c r="H30" s="138"/>
      <c r="I30" s="138"/>
    </row>
    <row r="31" spans="1:35" s="2446" customFormat="1" ht="14.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4.5" thickBot="1">
      <c r="A32" s="2447" t="s">
        <v>2159</v>
      </c>
      <c r="B32" s="2448"/>
      <c r="C32" s="153">
        <f ca="1">IF(D32="总价",G19-C24,G20-C25)</f>
        <v>20651</v>
      </c>
      <c r="D32" s="2449" t="s">
        <v>2160</v>
      </c>
      <c r="E32" s="138"/>
      <c r="F32" s="138"/>
      <c r="G32" s="138"/>
      <c r="H32" s="138"/>
      <c r="I32" s="138"/>
    </row>
    <row r="33" spans="1:15" ht="14">
      <c r="A33" s="957" t="s">
        <v>2161</v>
      </c>
      <c r="B33" s="2450"/>
      <c r="C33" s="2451"/>
      <c r="D33" s="2452"/>
      <c r="E33" s="2453" t="s">
        <v>2162</v>
      </c>
      <c r="F33" s="2956" t="str">
        <f>IF(D32="楼面单价","取值（单价）","取值（总价）")</f>
        <v>取值（总价）</v>
      </c>
      <c r="G33" s="138"/>
      <c r="H33" s="138"/>
      <c r="I33" s="138"/>
    </row>
    <row r="34" spans="1:15" ht="14">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4.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4.5" thickBot="1">
      <c r="A36" s="3156" t="s">
        <v>2167</v>
      </c>
      <c r="B36" s="2461" t="s">
        <v>2168</v>
      </c>
      <c r="C36" s="154"/>
      <c r="D36" s="2462"/>
      <c r="E36" s="2463"/>
      <c r="F36" s="2464"/>
      <c r="G36" s="138"/>
      <c r="H36" s="138"/>
      <c r="I36" s="138"/>
    </row>
    <row r="37" spans="1:15" ht="14.5" thickBot="1">
      <c r="A37" s="3157"/>
      <c r="B37" s="2267" t="s">
        <v>2169</v>
      </c>
      <c r="C37" s="156"/>
      <c r="D37" s="1392"/>
      <c r="E37" s="1392"/>
      <c r="F37" s="2464"/>
      <c r="G37" s="138"/>
      <c r="H37" s="138"/>
      <c r="I37" s="138"/>
    </row>
    <row r="38" spans="1:15" ht="14.5" thickBot="1">
      <c r="A38" s="3158"/>
      <c r="B38" s="2465" t="s">
        <v>2170</v>
      </c>
      <c r="C38" s="727"/>
      <c r="D38" s="2466" t="s">
        <v>2171</v>
      </c>
      <c r="E38" s="1392"/>
      <c r="F38" s="2464"/>
      <c r="G38" s="138"/>
      <c r="H38" s="138"/>
      <c r="I38" s="138"/>
    </row>
    <row r="39" spans="1:15" ht="14">
      <c r="A39" s="2437" t="s">
        <v>2172</v>
      </c>
      <c r="B39" s="2467" t="s">
        <v>2155</v>
      </c>
      <c r="C39" s="2468" t="s">
        <v>2156</v>
      </c>
      <c r="D39" s="2468" t="s">
        <v>2175</v>
      </c>
      <c r="E39" s="2469" t="s">
        <v>2157</v>
      </c>
      <c r="F39" s="2464"/>
      <c r="G39" s="138"/>
      <c r="H39" s="138"/>
      <c r="I39" s="138"/>
    </row>
    <row r="40" spans="1:15" ht="14">
      <c r="A40" s="2470" t="s">
        <v>2177</v>
      </c>
      <c r="B40" s="158"/>
      <c r="C40" s="159"/>
      <c r="D40" s="159"/>
      <c r="E40" s="160"/>
      <c r="F40" s="2464"/>
      <c r="G40" s="138"/>
      <c r="H40" s="138"/>
      <c r="I40" s="138"/>
    </row>
    <row r="41" spans="1:15" ht="14">
      <c r="A41" s="2470" t="s">
        <v>2178</v>
      </c>
      <c r="B41" s="158"/>
      <c r="C41" s="159"/>
      <c r="D41" s="159"/>
      <c r="E41" s="160"/>
      <c r="F41" s="2464"/>
      <c r="G41" s="138"/>
      <c r="H41" s="138"/>
      <c r="I41" s="138"/>
    </row>
    <row r="42" spans="1:15" ht="14.5" thickBot="1">
      <c r="A42" s="2471"/>
      <c r="B42" s="161"/>
      <c r="C42" s="162"/>
      <c r="D42" s="162"/>
      <c r="E42" s="163"/>
      <c r="F42" s="2464"/>
      <c r="G42" s="138"/>
      <c r="H42" s="138"/>
      <c r="I42" s="138"/>
    </row>
    <row r="43" spans="1:15" ht="12.5">
      <c r="A43" s="2165"/>
      <c r="B43" s="2165"/>
      <c r="C43" s="2165"/>
      <c r="D43" s="2165"/>
      <c r="E43" s="2165"/>
      <c r="F43" s="2472"/>
      <c r="G43" s="2472"/>
      <c r="H43" s="2472"/>
      <c r="I43" s="2473"/>
    </row>
    <row r="44" spans="1:15" ht="18">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159" t="s">
        <v>2181</v>
      </c>
      <c r="B45" s="3160"/>
      <c r="C45" s="3161"/>
      <c r="D45" s="164">
        <f ca="1">ROUND(H101*F45,0)</f>
        <v>20651</v>
      </c>
      <c r="E45" s="165" t="s">
        <v>2182</v>
      </c>
      <c r="F45" s="166">
        <v>1</v>
      </c>
      <c r="G45" s="167" t="s">
        <v>2183</v>
      </c>
      <c r="H45" s="138"/>
      <c r="I45" s="138"/>
      <c r="J45" s="3147" t="s">
        <v>2184</v>
      </c>
      <c r="K45" s="3147"/>
      <c r="L45" s="3147"/>
      <c r="M45" s="3147"/>
      <c r="N45" s="3147"/>
      <c r="O45" s="3147"/>
    </row>
    <row r="46" spans="1:15" ht="14.25" customHeight="1">
      <c r="A46" s="3162" t="s">
        <v>2185</v>
      </c>
      <c r="B46" s="3163"/>
      <c r="C46" s="3163"/>
      <c r="D46" s="3163"/>
      <c r="E46" s="3163"/>
      <c r="F46" s="3163"/>
      <c r="G46" s="3164"/>
      <c r="H46" s="2480"/>
      <c r="I46" s="168"/>
      <c r="J46" s="2966">
        <v>1</v>
      </c>
      <c r="K46" s="3147" t="s">
        <v>2186</v>
      </c>
      <c r="L46" s="3147"/>
      <c r="M46" s="3165"/>
      <c r="N46" s="3165"/>
      <c r="O46" s="3165"/>
    </row>
    <row r="47" spans="1:15" ht="12" customHeight="1">
      <c r="A47" s="169" t="s">
        <v>2187</v>
      </c>
      <c r="B47" s="170"/>
      <c r="C47" s="171"/>
      <c r="D47" s="172" t="s">
        <v>2188</v>
      </c>
      <c r="E47" s="24" t="s">
        <v>2189</v>
      </c>
      <c r="F47" s="173" t="s">
        <v>2190</v>
      </c>
      <c r="G47" s="174" t="s">
        <v>2191</v>
      </c>
      <c r="H47" s="2480"/>
      <c r="I47" s="168"/>
      <c r="J47" s="2966">
        <v>2</v>
      </c>
      <c r="K47" s="3147" t="s">
        <v>2192</v>
      </c>
      <c r="L47" s="3147"/>
      <c r="M47" s="3148">
        <f>'数据-取费表'!B2</f>
        <v>43872</v>
      </c>
      <c r="N47" s="3148"/>
      <c r="O47" s="3148"/>
    </row>
    <row r="48" spans="1:15" ht="26">
      <c r="A48" s="3149" t="s">
        <v>2193</v>
      </c>
      <c r="B48" s="3144"/>
      <c r="C48" s="3144"/>
      <c r="D48" s="140">
        <f>IF(H48="情况1",0,IF(H48="情况2",D52,IF(H48="情况3",D53,IF(H48="情况4",D54))))</f>
        <v>0</v>
      </c>
      <c r="E48" s="2960" t="str">
        <f>IF(H48="情况4","(销售额-原购置价)×税（费）率","销售额×税（费）率")</f>
        <v>销售额×税（费）率</v>
      </c>
      <c r="F48" s="175" t="str">
        <f>IF(H48="情况1","免征",'数据-取费表'!B41)</f>
        <v>免征</v>
      </c>
      <c r="G48" s="2481" t="s">
        <v>2194</v>
      </c>
      <c r="H48" s="2482" t="s">
        <v>2195</v>
      </c>
      <c r="I48" s="2480"/>
      <c r="J48" s="2966">
        <v>3</v>
      </c>
      <c r="K48" s="3147" t="s">
        <v>2196</v>
      </c>
      <c r="L48" s="3147"/>
      <c r="M48" s="3150">
        <f ca="1">H101</f>
        <v>20651</v>
      </c>
      <c r="N48" s="3150"/>
      <c r="O48" s="3150"/>
    </row>
    <row r="49" spans="1:35" ht="25.5" customHeight="1">
      <c r="A49" s="176" t="s">
        <v>2197</v>
      </c>
      <c r="B49" s="3124" t="s">
        <v>2198</v>
      </c>
      <c r="C49" s="3124"/>
      <c r="D49" s="177">
        <v>0</v>
      </c>
      <c r="E49" s="23" t="s">
        <v>2199</v>
      </c>
      <c r="F49" s="28" t="s">
        <v>34</v>
      </c>
      <c r="G49" s="3151"/>
      <c r="H49" s="138"/>
      <c r="I49" s="2483"/>
      <c r="J49" s="2966">
        <v>4</v>
      </c>
      <c r="K49" s="3147" t="str">
        <f>IF(项目基本情况!E8="房地产抵押价值","房地产抵押价值","抵押担保权已注销时的房地产抵押价值")</f>
        <v>抵押担保权已注销时的房地产抵押价值</v>
      </c>
      <c r="L49" s="3147"/>
      <c r="M49" s="3150" t="str">
        <f>IF(项目基本情况!E8="房地产抵押价值",H107,H109)</f>
        <v>——</v>
      </c>
      <c r="N49" s="3150"/>
      <c r="O49" s="3150"/>
    </row>
    <row r="50" spans="1:35" ht="25.5" customHeight="1">
      <c r="A50" s="178"/>
      <c r="B50" s="3124" t="s">
        <v>2200</v>
      </c>
      <c r="C50" s="3124"/>
      <c r="D50" s="179"/>
      <c r="E50" s="31"/>
      <c r="F50" s="180"/>
      <c r="G50" s="3152"/>
      <c r="H50" s="138"/>
      <c r="I50" s="2483"/>
      <c r="J50" s="3147" t="s">
        <v>2201</v>
      </c>
      <c r="K50" s="3147"/>
      <c r="L50" s="3147"/>
      <c r="M50" s="3147"/>
      <c r="N50" s="3147"/>
      <c r="O50" s="3147"/>
    </row>
    <row r="51" spans="1:35" ht="12" customHeight="1">
      <c r="A51" s="181"/>
      <c r="B51" s="3124" t="s">
        <v>2202</v>
      </c>
      <c r="C51" s="3124"/>
      <c r="D51" s="182"/>
      <c r="E51" s="30"/>
      <c r="F51" s="180"/>
      <c r="G51" s="3153"/>
      <c r="H51" s="138"/>
      <c r="I51" s="2483"/>
      <c r="J51" s="2965" t="s">
        <v>2203</v>
      </c>
      <c r="K51" s="3147" t="s">
        <v>2204</v>
      </c>
      <c r="L51" s="3147"/>
      <c r="M51" s="2965" t="s">
        <v>2205</v>
      </c>
      <c r="N51" s="2965" t="s">
        <v>2206</v>
      </c>
      <c r="O51" s="2965" t="s">
        <v>2207</v>
      </c>
    </row>
    <row r="52" spans="1:35" ht="24" customHeight="1">
      <c r="A52" s="183" t="s">
        <v>2208</v>
      </c>
      <c r="B52" s="3124" t="s">
        <v>2209</v>
      </c>
      <c r="C52" s="3124"/>
      <c r="D52" s="182">
        <f ca="1">ROUND(D45*'数据-取费表'!B41/(1+'数据-取费表'!C42),0)</f>
        <v>1101</v>
      </c>
      <c r="E52" s="11" t="s">
        <v>2210</v>
      </c>
      <c r="F52" s="184">
        <f>'数据-取费表'!B41</f>
        <v>5.6000000000000001E-2</v>
      </c>
      <c r="G52" s="2485"/>
      <c r="H52" s="138"/>
      <c r="I52" s="2483"/>
      <c r="J52" s="2966">
        <v>1</v>
      </c>
      <c r="K52" s="3131" t="s">
        <v>2211</v>
      </c>
      <c r="L52" s="3131"/>
      <c r="M52" s="1751">
        <f>D48</f>
        <v>0</v>
      </c>
      <c r="N52" s="2966" t="str">
        <f>E48</f>
        <v>销售额×税（费）率</v>
      </c>
      <c r="O52" s="1752" t="str">
        <f>F48</f>
        <v>免征</v>
      </c>
    </row>
    <row r="53" spans="1:35" ht="12" customHeight="1">
      <c r="A53" s="183" t="s">
        <v>2212</v>
      </c>
      <c r="B53" s="3123" t="s">
        <v>2213</v>
      </c>
      <c r="C53" s="3142"/>
      <c r="D53" s="182">
        <f ca="1">ROUND(D45*'数据-取费表'!B41/(1+'数据-取费表'!C42),0)</f>
        <v>1101</v>
      </c>
      <c r="E53" s="11" t="s">
        <v>2210</v>
      </c>
      <c r="F53" s="184">
        <f>'数据-取费表'!B41</f>
        <v>5.6000000000000001E-2</v>
      </c>
      <c r="G53" s="2485"/>
      <c r="H53" s="138"/>
      <c r="I53" s="2483"/>
      <c r="J53" s="2966">
        <v>2</v>
      </c>
      <c r="K53" s="3131" t="s">
        <v>2214</v>
      </c>
      <c r="L53" s="3131"/>
      <c r="M53" s="1751">
        <f t="shared" ref="M53:O54" ca="1" si="0">D55</f>
        <v>10</v>
      </c>
      <c r="N53" s="2966" t="str">
        <f t="shared" si="0"/>
        <v>销售额×税（费）率</v>
      </c>
      <c r="O53" s="1752">
        <f t="shared" si="0"/>
        <v>5.0000000000000001E-4</v>
      </c>
    </row>
    <row r="54" spans="1:35" ht="12" customHeight="1">
      <c r="A54" s="183" t="s">
        <v>2215</v>
      </c>
      <c r="B54" s="3123" t="s">
        <v>2216</v>
      </c>
      <c r="C54" s="3142"/>
      <c r="D54" s="182">
        <f ca="1">C68</f>
        <v>1101</v>
      </c>
      <c r="E54" s="30" t="s">
        <v>2217</v>
      </c>
      <c r="F54" s="184">
        <f>'数据-取费表'!B41</f>
        <v>5.6000000000000001E-2</v>
      </c>
      <c r="G54" s="2485"/>
      <c r="H54" s="2486"/>
      <c r="I54" s="2483"/>
      <c r="J54" s="2966">
        <v>3</v>
      </c>
      <c r="K54" s="3131" t="s">
        <v>2218</v>
      </c>
      <c r="L54" s="3131"/>
      <c r="M54" s="1751">
        <f t="shared" ca="1" si="0"/>
        <v>11689</v>
      </c>
      <c r="N54" s="2966" t="str">
        <f t="shared" si="0"/>
        <v>增值额×税（费）率</v>
      </c>
      <c r="O54" s="1753" t="str">
        <f t="shared" si="0"/>
        <v>——</v>
      </c>
    </row>
    <row r="55" spans="1:35" ht="24" customHeight="1">
      <c r="A55" s="3143" t="s">
        <v>2219</v>
      </c>
      <c r="B55" s="3144"/>
      <c r="C55" s="3144"/>
      <c r="D55" s="185">
        <f ca="1">IF(H55="个人住宅",0,ROUND(D45*I55,0))</f>
        <v>10</v>
      </c>
      <c r="E55" s="11" t="s">
        <v>2220</v>
      </c>
      <c r="F55" s="184">
        <f>IF(H55="正常",I55,"免征")</f>
        <v>5.0000000000000001E-4</v>
      </c>
      <c r="G55" s="2485"/>
      <c r="H55" s="2482" t="s">
        <v>2221</v>
      </c>
      <c r="I55" s="186">
        <f>'数据-取费表'!B49</f>
        <v>5.0000000000000001E-4</v>
      </c>
      <c r="J55" s="2966" t="str">
        <f>IF(H59="非个人房产","",4)</f>
        <v/>
      </c>
      <c r="K55" s="3131" t="str">
        <f>IF(H59="非个人房产","——","个人所得税")</f>
        <v>——</v>
      </c>
      <c r="L55" s="3131"/>
      <c r="M55" s="1754" t="str">
        <f>D59</f>
        <v>——</v>
      </c>
      <c r="N55" s="2967" t="str">
        <f>E59</f>
        <v>——</v>
      </c>
      <c r="O55" s="1755" t="str">
        <f>F59</f>
        <v>——</v>
      </c>
    </row>
    <row r="56" spans="1:35" ht="26">
      <c r="A56" s="3143" t="s">
        <v>2222</v>
      </c>
      <c r="B56" s="3144"/>
      <c r="C56" s="3144"/>
      <c r="D56" s="185">
        <f ca="1">IF(H56="个人住宅",D57,D58)</f>
        <v>11689</v>
      </c>
      <c r="E56" s="11" t="s">
        <v>2223</v>
      </c>
      <c r="F56" s="184" t="str">
        <f>IF(H56="正常",F58,"免征")</f>
        <v>——</v>
      </c>
      <c r="G56" s="2487" t="s">
        <v>2224</v>
      </c>
      <c r="H56" s="2488" t="s">
        <v>2221</v>
      </c>
      <c r="I56" s="2489"/>
      <c r="J56" s="2966" t="str">
        <f>IF(项目基本情况!K6="上海银行",IF(J55="",4,J55+1),"")</f>
        <v/>
      </c>
      <c r="K56" s="3145" t="str">
        <f>IF(项目基本情况!K6="上海银行","其他处置费用","")</f>
        <v/>
      </c>
      <c r="L56" s="3146"/>
      <c r="M56" s="1751" t="str">
        <f>IF(项目基本情况!K6="上海银行",M69,"")</f>
        <v/>
      </c>
      <c r="N56" s="3133" t="str">
        <f>IF(项目基本情况!K6="上海银行","包含处置中涉及的律师、诉讼、拍卖、评估等费用","")</f>
        <v/>
      </c>
      <c r="O56" s="3134"/>
    </row>
    <row r="57" spans="1:35" ht="13">
      <c r="A57" s="183" t="s">
        <v>2197</v>
      </c>
      <c r="B57" s="3135" t="s">
        <v>2225</v>
      </c>
      <c r="C57" s="3136"/>
      <c r="D57" s="187">
        <v>0</v>
      </c>
      <c r="E57" s="23" t="s">
        <v>2199</v>
      </c>
      <c r="F57" s="155"/>
      <c r="G57" s="2485"/>
      <c r="H57" s="2489"/>
      <c r="I57" s="2489"/>
      <c r="J57" s="3131">
        <f>IF(AND(J55="",J56=""),4,IF(项目基本情况!K6="上海银行",'结果表 (2)'!J56+1,'结果表 (2)'!J55+1))</f>
        <v>4</v>
      </c>
      <c r="K57" s="3131" t="s">
        <v>2226</v>
      </c>
      <c r="L57" s="2490" t="s">
        <v>2227</v>
      </c>
      <c r="M57" s="1756"/>
      <c r="N57" s="1757">
        <f ca="1">SUMIF(M52:M56,"&lt;9e307")</f>
        <v>11699</v>
      </c>
      <c r="O57" s="2491"/>
      <c r="P57" s="1750" t="e">
        <f ca="1">N57/M49</f>
        <v>#VALUE!</v>
      </c>
    </row>
    <row r="58" spans="1:35" ht="26">
      <c r="A58" s="183" t="s">
        <v>2208</v>
      </c>
      <c r="B58" s="3135" t="s">
        <v>2228</v>
      </c>
      <c r="C58" s="3137"/>
      <c r="D58" s="185">
        <f ca="1">IF(H58="转让取得",C81,C97)</f>
        <v>11689</v>
      </c>
      <c r="E58" s="11" t="s">
        <v>2223</v>
      </c>
      <c r="F58" s="24" t="s">
        <v>34</v>
      </c>
      <c r="G58" s="2485"/>
      <c r="H58" s="2488" t="s">
        <v>2229</v>
      </c>
      <c r="I58" s="2489"/>
      <c r="J58" s="3131"/>
      <c r="K58" s="3131"/>
      <c r="L58" s="2490" t="s">
        <v>2230</v>
      </c>
      <c r="M58" s="1758"/>
      <c r="N58" s="2492" t="str">
        <f ca="1">NUMBERSTRING(INT(N57*10000),2)&amp;"元整"</f>
        <v>壹亿壹仟陆佰玖拾玖万元整</v>
      </c>
      <c r="O58" s="2493"/>
    </row>
    <row r="59" spans="1:35" ht="26.5" thickBot="1">
      <c r="A59" s="3138" t="s">
        <v>2231</v>
      </c>
      <c r="B59" s="3139"/>
      <c r="C59" s="3139"/>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40">
        <f>J57+1</f>
        <v>5</v>
      </c>
      <c r="K59" s="3131" t="s">
        <v>2233</v>
      </c>
      <c r="L59" s="2966" t="s">
        <v>2227</v>
      </c>
      <c r="M59" s="1759"/>
      <c r="N59" s="1760" t="e">
        <f ca="1">M49-N57</f>
        <v>#VALUE!</v>
      </c>
      <c r="O59" s="2495"/>
    </row>
    <row r="60" spans="1:35" ht="12" customHeight="1">
      <c r="A60" s="2496"/>
      <c r="B60" s="2418"/>
      <c r="C60" s="2418"/>
      <c r="D60" s="2418"/>
      <c r="E60" s="2166"/>
      <c r="F60" s="2489"/>
      <c r="G60" s="2489"/>
      <c r="H60" s="2497"/>
      <c r="I60" s="138"/>
      <c r="J60" s="3141"/>
      <c r="K60" s="3131"/>
      <c r="L60" s="2490" t="s">
        <v>2230</v>
      </c>
      <c r="M60" s="1758"/>
      <c r="N60" s="2492" t="e">
        <f ca="1">NUMBERSTRING(INT(N59*10000),2)&amp;"元整"</f>
        <v>#VALUE!</v>
      </c>
      <c r="O60" s="2493"/>
    </row>
    <row r="61" spans="1:35" ht="13.5" thickBot="1">
      <c r="A61" s="3130" t="s">
        <v>2234</v>
      </c>
      <c r="B61" s="3130"/>
      <c r="C61" s="3130"/>
      <c r="D61" s="3130"/>
      <c r="E61" s="3130"/>
      <c r="F61" s="2489"/>
      <c r="G61" s="2489"/>
      <c r="H61" s="2497"/>
      <c r="I61" s="138"/>
      <c r="J61" s="2966">
        <f>J59+1</f>
        <v>6</v>
      </c>
      <c r="K61" s="3131" t="s">
        <v>2235</v>
      </c>
      <c r="L61" s="3131"/>
      <c r="M61" s="1761"/>
      <c r="N61" s="1762" t="e">
        <f ca="1">ROUND(N59*10000/'数据-汇总表'!E3,0)</f>
        <v>#VALUE!</v>
      </c>
      <c r="O61" s="2498"/>
    </row>
    <row r="62" spans="1:35" ht="13">
      <c r="A62" s="3128" t="s">
        <v>2236</v>
      </c>
      <c r="B62" s="3129"/>
      <c r="C62" s="2963"/>
      <c r="D62" s="2963" t="s">
        <v>2237</v>
      </c>
      <c r="E62" s="192" t="s">
        <v>2238</v>
      </c>
      <c r="F62" s="2489"/>
      <c r="G62" s="2489"/>
      <c r="H62" s="2497"/>
      <c r="I62" s="138"/>
    </row>
    <row r="63" spans="1:35" ht="13">
      <c r="A63" s="203" t="s">
        <v>775</v>
      </c>
      <c r="B63" s="193" t="s">
        <v>2239</v>
      </c>
      <c r="C63" s="194">
        <f ca="1">ROUND((C64+C65)/(1+'数据-取费表'!C42),0)</f>
        <v>19668</v>
      </c>
      <c r="D63" s="195"/>
      <c r="E63" s="196"/>
      <c r="F63" s="2489"/>
      <c r="G63" s="2489"/>
      <c r="H63" s="2497"/>
      <c r="I63" s="138"/>
      <c r="J63" s="3132" t="s">
        <v>2240</v>
      </c>
      <c r="K63" s="2968" t="s">
        <v>2241</v>
      </c>
      <c r="L63" s="1749" t="e">
        <f>IF(M49&gt;10000,M49*0.5%,IF(AND(M49&gt;1000,M49&lt;=10000),M49*1%,IF(AND(M49&gt;100,M49&lt;=1000),M49*3%,IF(AND(M49&gt;10,M49&lt;=100),M49*5%,M49*8%))))</f>
        <v>#VALUE!</v>
      </c>
      <c r="M63" s="24" t="e">
        <f>ROUND(L63,1)</f>
        <v>#VALUE!</v>
      </c>
      <c r="Z63" s="2423"/>
      <c r="AI63" s="2424"/>
    </row>
    <row r="64" spans="1:35" ht="14.25" customHeight="1">
      <c r="A64" s="197" t="s">
        <v>770</v>
      </c>
      <c r="B64" s="198" t="s">
        <v>2242</v>
      </c>
      <c r="C64" s="199">
        <f ca="1">D45</f>
        <v>20651</v>
      </c>
      <c r="D64" s="200" t="s">
        <v>32</v>
      </c>
      <c r="E64" s="201"/>
      <c r="F64" s="2489"/>
      <c r="G64" s="2489"/>
      <c r="H64" s="2497"/>
      <c r="I64" s="138"/>
      <c r="J64" s="3132"/>
      <c r="K64" s="2968"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3"/>
      <c r="AI64" s="2424"/>
    </row>
    <row r="65" spans="1:35" ht="14.25" customHeight="1">
      <c r="A65" s="197" t="s">
        <v>771</v>
      </c>
      <c r="B65" s="198" t="s">
        <v>2245</v>
      </c>
      <c r="C65" s="202"/>
      <c r="D65" s="200"/>
      <c r="E65" s="201"/>
      <c r="F65" s="2489"/>
      <c r="G65" s="2489"/>
      <c r="H65" s="2497"/>
      <c r="I65" s="138"/>
      <c r="J65" s="3132"/>
      <c r="K65" s="2968" t="s">
        <v>2246</v>
      </c>
      <c r="L65" s="1749" t="e">
        <f>IF(M49&gt;1000,M49*0.1%,IF(AND(M49&gt;500,M49&lt;=1000),M49*0.5%,IF(AND(M49&gt;50,M49&lt;=500),M49*1%,IF(AND(M49&gt;1,M49&lt;=50),M49*1.5%))))</f>
        <v>#VALUE!</v>
      </c>
      <c r="M65" s="24" t="e">
        <f t="shared" si="1"/>
        <v>#VALUE!</v>
      </c>
      <c r="N65" s="138" t="s">
        <v>2244</v>
      </c>
      <c r="Z65" s="2423"/>
      <c r="AI65" s="2424"/>
    </row>
    <row r="66" spans="1:35" ht="14.25" customHeight="1">
      <c r="A66" s="203" t="s">
        <v>772</v>
      </c>
      <c r="B66" s="204" t="s">
        <v>2247</v>
      </c>
      <c r="C66" s="205"/>
      <c r="D66" s="206" t="s">
        <v>32</v>
      </c>
      <c r="E66" s="1773" t="s">
        <v>1366</v>
      </c>
      <c r="F66" s="2489"/>
      <c r="G66" s="2489"/>
      <c r="H66" s="2497"/>
      <c r="I66" s="138"/>
      <c r="J66" s="3132"/>
      <c r="K66" s="2968" t="s">
        <v>2248</v>
      </c>
      <c r="L66" s="1749" t="e">
        <f>M49*0.5%</f>
        <v>#VALUE!</v>
      </c>
      <c r="M66" s="24" t="e">
        <f>IF(L66&gt;0.5,0.5,ROUND(L66,0))</f>
        <v>#VALUE!</v>
      </c>
      <c r="N66" s="138" t="s">
        <v>2249</v>
      </c>
      <c r="Z66" s="2423"/>
      <c r="AI66" s="2424"/>
    </row>
    <row r="67" spans="1:35" ht="14.25" customHeight="1">
      <c r="A67" s="203" t="s">
        <v>773</v>
      </c>
      <c r="B67" s="204" t="s">
        <v>2250</v>
      </c>
      <c r="C67" s="207">
        <f ca="1">C63-C66</f>
        <v>19668</v>
      </c>
      <c r="D67" s="200" t="s">
        <v>32</v>
      </c>
      <c r="E67" s="201"/>
      <c r="F67" s="2489"/>
      <c r="G67" s="2489"/>
      <c r="H67" s="2497"/>
      <c r="I67" s="138"/>
      <c r="J67" s="3132"/>
      <c r="K67" s="2968"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2252</v>
      </c>
      <c r="C68" s="210">
        <f ca="1">IF(C67&lt;=0,0,ROUND(C67*D68,0))</f>
        <v>1101</v>
      </c>
      <c r="D68" s="211">
        <f>'数据-取费表'!B41</f>
        <v>5.6000000000000001E-2</v>
      </c>
      <c r="E68" s="212"/>
      <c r="F68" s="2489"/>
      <c r="G68" s="2489"/>
      <c r="H68" s="2497"/>
      <c r="I68" s="138"/>
      <c r="J68" s="3132"/>
      <c r="K68" s="2968" t="s">
        <v>2253</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132"/>
      <c r="K69" s="2968" t="s">
        <v>2254</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4.5" thickBot="1">
      <c r="A70" s="3126" t="s">
        <v>2255</v>
      </c>
      <c r="B70" s="3127"/>
      <c r="C70" s="3127"/>
      <c r="D70" s="3127"/>
      <c r="E70" s="3127"/>
      <c r="F70" s="3127"/>
      <c r="G70" s="3127"/>
      <c r="H70" s="312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
      <c r="A71" s="3128" t="s">
        <v>2236</v>
      </c>
      <c r="B71" s="3129"/>
      <c r="C71" s="2963"/>
      <c r="D71" s="2963"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
      <c r="A72" s="203" t="s">
        <v>775</v>
      </c>
      <c r="B72" s="204" t="s">
        <v>2256</v>
      </c>
      <c r="C72" s="207">
        <f ca="1">ROUND(D45/(1+'数据-取费表'!C42),0)</f>
        <v>19668</v>
      </c>
      <c r="D72" s="200" t="s">
        <v>32</v>
      </c>
      <c r="E72" s="2962"/>
      <c r="F72" s="2957"/>
      <c r="G72" s="295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
      <c r="A73" s="203" t="s">
        <v>772</v>
      </c>
      <c r="B73" s="173" t="s">
        <v>2257</v>
      </c>
      <c r="C73" s="207">
        <f ca="1">C74+C78</f>
        <v>118</v>
      </c>
      <c r="D73" s="200" t="s">
        <v>32</v>
      </c>
      <c r="E73" s="2962"/>
      <c r="F73" s="2957"/>
      <c r="G73" s="295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6">
      <c r="A74" s="217" t="s">
        <v>770</v>
      </c>
      <c r="B74" s="198" t="s">
        <v>2258</v>
      </c>
      <c r="C74" s="200">
        <f>ROUND(IF(G77="2016年5月1日后购买",C75/(1+'数据-取费表'!C42)+C76+C77,C75+C76+C77),0)</f>
        <v>0</v>
      </c>
      <c r="D74" s="200" t="s">
        <v>32</v>
      </c>
      <c r="E74" s="2962"/>
      <c r="F74" s="2957"/>
      <c r="G74" s="295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23" t="s">
        <v>2264</v>
      </c>
      <c r="F76" s="3124"/>
      <c r="G76" s="3124"/>
      <c r="H76" s="312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2969" t="s">
        <v>2266</v>
      </c>
      <c r="F77" s="224"/>
      <c r="G77" s="2513" t="s">
        <v>2267</v>
      </c>
      <c r="H77" s="2964"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118</v>
      </c>
      <c r="D78" s="226">
        <f>'数据-取费表'!B43</f>
        <v>6.000000000000001E-3</v>
      </c>
      <c r="E78" s="3111" t="s">
        <v>2269</v>
      </c>
      <c r="F78" s="3112"/>
      <c r="G78" s="3112"/>
      <c r="H78" s="311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
      <c r="A79" s="2515" t="s">
        <v>773</v>
      </c>
      <c r="B79" s="204" t="s">
        <v>2270</v>
      </c>
      <c r="C79" s="207">
        <f ca="1">C72-C73</f>
        <v>19550</v>
      </c>
      <c r="D79" s="200" t="s">
        <v>32</v>
      </c>
      <c r="E79" s="2962"/>
      <c r="F79" s="2957"/>
      <c r="G79" s="295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6">
      <c r="A80" s="2515" t="s">
        <v>780</v>
      </c>
      <c r="B80" s="204" t="s">
        <v>2271</v>
      </c>
      <c r="C80" s="227">
        <f ca="1">IF(C79&lt;=0,0,C79/C73)</f>
        <v>165.67796610169492</v>
      </c>
      <c r="D80" s="200" t="s">
        <v>32</v>
      </c>
      <c r="E80" s="2969" t="str">
        <f ca="1">IF(C80&gt;=200%,"增值额超过扣除项目金额200%",IF(C80&gt;=100%,"增值额超过扣除项目金额100%，未超过200%",IF(C80&gt;=50%,"增值额超过扣除项目金额50%，未超过100%",IF(C80&lt;50%,"增值额未超过扣除项目金额50%"))))</f>
        <v>增值额超过扣除项目金额200%</v>
      </c>
      <c r="F80" s="2957"/>
      <c r="G80" s="295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6.5" thickBot="1">
      <c r="A81" s="2516" t="s">
        <v>781</v>
      </c>
      <c r="B81" s="209" t="s">
        <v>2272</v>
      </c>
      <c r="C81" s="228">
        <f ca="1">ROUND(IF(C79&lt;=0,0,IF(C80&gt;=200%,C79*60%-C73*35%,IF(C80&gt;=100%,C79*50%-C73*15%,IF(C80&gt;=50%,C79*40%-C73*5%,IF(C80&lt;50%,C79*30%,0))))),0)</f>
        <v>11689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4.5" thickBot="1">
      <c r="A83" s="3126" t="s">
        <v>2273</v>
      </c>
      <c r="B83" s="3127"/>
      <c r="C83" s="3127"/>
      <c r="D83" s="3127"/>
      <c r="E83" s="3127"/>
      <c r="F83" s="3127"/>
      <c r="G83" s="3127"/>
      <c r="H83" s="312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
      <c r="A84" s="3128" t="s">
        <v>2236</v>
      </c>
      <c r="B84" s="3129"/>
      <c r="C84" s="2963"/>
      <c r="D84" s="2963"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
      <c r="A85" s="203" t="s">
        <v>775</v>
      </c>
      <c r="B85" s="204" t="s">
        <v>2256</v>
      </c>
      <c r="C85" s="207">
        <f ca="1">ROUND(D45/(1+'数据-取费表'!C42),0)</f>
        <v>19668</v>
      </c>
      <c r="D85" s="200" t="s">
        <v>32</v>
      </c>
      <c r="E85" s="2962"/>
      <c r="F85" s="2957"/>
      <c r="G85" s="295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
      <c r="A86" s="203" t="s">
        <v>772</v>
      </c>
      <c r="B86" s="173" t="s">
        <v>2257</v>
      </c>
      <c r="C86" s="207">
        <f ca="1">IF(H88="仅含出让金",C87+C90+C91+C92+C93+C94,C87+C91+C92+C93+C94)</f>
        <v>118</v>
      </c>
      <c r="D86" s="235"/>
      <c r="E86" s="2962"/>
      <c r="F86" s="2957"/>
      <c r="G86" s="295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
      <c r="A87" s="217" t="s">
        <v>770</v>
      </c>
      <c r="B87" s="198" t="s">
        <v>2274</v>
      </c>
      <c r="C87" s="225">
        <f>C88+C89</f>
        <v>0</v>
      </c>
      <c r="D87" s="226"/>
      <c r="E87" s="2958"/>
      <c r="F87" s="2959"/>
      <c r="G87" s="2959"/>
      <c r="H87" s="296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
      <c r="A88" s="217" t="s">
        <v>776</v>
      </c>
      <c r="B88" s="198" t="s">
        <v>2275</v>
      </c>
      <c r="C88" s="236"/>
      <c r="D88" s="226"/>
      <c r="E88" s="237" t="s">
        <v>2276</v>
      </c>
      <c r="F88" s="2959"/>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
      <c r="A89" s="217" t="s">
        <v>777</v>
      </c>
      <c r="B89" s="198" t="s">
        <v>2265</v>
      </c>
      <c r="C89" s="225">
        <f>ROUND(C88*D89,0)</f>
        <v>0</v>
      </c>
      <c r="D89" s="226">
        <f>'数据-取费表'!B48+'数据-取费表'!B49</f>
        <v>3.0499999999999999E-2</v>
      </c>
      <c r="E89" s="237" t="s">
        <v>2278</v>
      </c>
      <c r="F89" s="2959"/>
      <c r="G89" s="2959"/>
      <c r="H89" s="2961"/>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
      <c r="A90" s="217" t="s">
        <v>771</v>
      </c>
      <c r="B90" s="198" t="s">
        <v>2279</v>
      </c>
      <c r="C90" s="236"/>
      <c r="D90" s="226"/>
      <c r="E90" s="237" t="str">
        <f>IF(H88="-","土地取得成本中已包含该笔费用"," ")</f>
        <v xml:space="preserve"> </v>
      </c>
      <c r="F90" s="2959"/>
      <c r="G90" s="2959"/>
      <c r="H90" s="2961"/>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111" t="s">
        <v>2282</v>
      </c>
      <c r="F91" s="3112"/>
      <c r="G91" s="3112"/>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111" t="s">
        <v>2286</v>
      </c>
      <c r="F92" s="3112"/>
      <c r="G92" s="3112"/>
      <c r="H92" s="311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118</v>
      </c>
      <c r="D93" s="226">
        <f>'数据-取费表'!B43</f>
        <v>6.000000000000001E-3</v>
      </c>
      <c r="E93" s="3111" t="s">
        <v>2269</v>
      </c>
      <c r="F93" s="3112"/>
      <c r="G93" s="3112"/>
      <c r="H93" s="311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114" t="s">
        <v>2290</v>
      </c>
      <c r="F94" s="3115"/>
      <c r="G94" s="3115"/>
      <c r="H94" s="311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
      <c r="A95" s="2515" t="s">
        <v>773</v>
      </c>
      <c r="B95" s="204" t="s">
        <v>2270</v>
      </c>
      <c r="C95" s="207">
        <f ca="1">ROUND(C85-C86,0)</f>
        <v>19550</v>
      </c>
      <c r="D95" s="200" t="s">
        <v>32</v>
      </c>
      <c r="E95" s="2962"/>
      <c r="F95" s="2957"/>
      <c r="G95" s="295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6">
      <c r="A96" s="2515" t="s">
        <v>780</v>
      </c>
      <c r="B96" s="204" t="s">
        <v>2271</v>
      </c>
      <c r="C96" s="227">
        <f ca="1">IF(C95&lt;=0,0,C95/C86)</f>
        <v>165.67796610169492</v>
      </c>
      <c r="D96" s="200" t="s">
        <v>32</v>
      </c>
      <c r="E96" s="2969" t="str">
        <f ca="1">IF(C96&gt;=200%,"增值额超过扣除项目金额200%",IF(C96&gt;=100%,"增值额超过扣除项目金额100%，未超过200%",IF(C96&gt;=50%,"增值额超过扣除项目金额50%，未超过100%",IF(C96&lt;50%,"增值额未超过扣除项目金额50%"))))</f>
        <v>增值额超过扣除项目金额200%</v>
      </c>
      <c r="F96" s="2957"/>
      <c r="G96" s="295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6.5" thickBot="1">
      <c r="A97" s="2516" t="s">
        <v>781</v>
      </c>
      <c r="B97" s="209" t="s">
        <v>2272</v>
      </c>
      <c r="C97" s="228">
        <f ca="1">ROUND(IF(C95&lt;=0,0,IF(C96&gt;=200%,C95*60%-C86*35%,IF(C96&gt;=100%,C95*50%-C86*15%,IF(C96&gt;=50%,C95*40%-C86*5%,IF(C96&lt;50%,C95*30%,0))))),0)</f>
        <v>11689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77" t="s">
        <v>2292</v>
      </c>
      <c r="B100" s="3078"/>
      <c r="C100" s="3078"/>
      <c r="D100" s="3117"/>
      <c r="E100" s="3078" t="s">
        <v>2293</v>
      </c>
      <c r="F100" s="3078"/>
      <c r="G100" s="3078"/>
      <c r="H100" s="3117"/>
      <c r="I100" s="138"/>
    </row>
    <row r="101" spans="1:35" ht="18.75" customHeight="1">
      <c r="A101" s="3118" t="s">
        <v>2294</v>
      </c>
      <c r="B101" s="3119"/>
      <c r="C101" s="736" t="str">
        <f>C4</f>
        <v>成本法</v>
      </c>
      <c r="D101" s="737" t="str">
        <f>D4</f>
        <v>收益法</v>
      </c>
      <c r="E101" s="3120" t="s">
        <v>2295</v>
      </c>
      <c r="F101" s="3102"/>
      <c r="G101" s="2520" t="s">
        <v>2296</v>
      </c>
      <c r="H101" s="1045">
        <f ca="1">H118</f>
        <v>20651</v>
      </c>
      <c r="I101" s="138"/>
    </row>
    <row r="102" spans="1:35" ht="18.75" customHeight="1">
      <c r="A102" s="3099" t="s">
        <v>2297</v>
      </c>
      <c r="B102" s="2520" t="s">
        <v>2296</v>
      </c>
      <c r="C102" s="736">
        <f ca="1">C19</f>
        <v>23301</v>
      </c>
      <c r="D102" s="737">
        <f ca="1">D19</f>
        <v>18884</v>
      </c>
      <c r="E102" s="3120"/>
      <c r="F102" s="3102"/>
      <c r="G102" s="2520" t="s">
        <v>2298</v>
      </c>
      <c r="H102" s="371">
        <f ca="1">I118</f>
        <v>68820</v>
      </c>
      <c r="I102" s="138"/>
    </row>
    <row r="103" spans="1:35" ht="42.75" customHeight="1">
      <c r="A103" s="3099"/>
      <c r="B103" s="2520" t="s">
        <v>2298</v>
      </c>
      <c r="C103" s="738">
        <f ca="1">C20</f>
        <v>77651</v>
      </c>
      <c r="D103" s="739">
        <f ca="1">D20</f>
        <v>62931</v>
      </c>
      <c r="E103" s="3121" t="s">
        <v>2299</v>
      </c>
      <c r="F103" s="3122"/>
      <c r="G103" s="2521" t="s">
        <v>2300</v>
      </c>
      <c r="H103" s="1045">
        <f>IF(D36="正常操作",H104+H105+H106,H105+H106)</f>
        <v>0</v>
      </c>
      <c r="I103" s="138"/>
    </row>
    <row r="104" spans="1:35" ht="18.75" customHeight="1">
      <c r="A104" s="3099" t="s">
        <v>2301</v>
      </c>
      <c r="B104" s="2522" t="s">
        <v>2296</v>
      </c>
      <c r="C104" s="740">
        <f ca="1">H118</f>
        <v>20651</v>
      </c>
      <c r="D104" s="741"/>
      <c r="E104" s="2267" t="s">
        <v>2302</v>
      </c>
      <c r="F104" s="2258"/>
      <c r="G104" s="2521" t="s">
        <v>2300</v>
      </c>
      <c r="H104" s="1046">
        <f>IF(D36="同一抵押权人同一抵押物续贷",C36&amp;"（未扣减，详见特别提示）",C36)</f>
        <v>0</v>
      </c>
      <c r="I104" s="138"/>
    </row>
    <row r="105" spans="1:35" ht="18.75" customHeight="1" thickBot="1">
      <c r="A105" s="3100"/>
      <c r="B105" s="2523" t="s">
        <v>2298</v>
      </c>
      <c r="C105" s="742">
        <f ca="1">I118</f>
        <v>68820</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101" t="str">
        <f>IF(项目基本情况!E8="已注销","——","3.房地产抵押价值")</f>
        <v>3.房地产抵押价值</v>
      </c>
      <c r="F107" s="3102"/>
      <c r="G107" s="2520" t="s">
        <v>2296</v>
      </c>
      <c r="H107" s="1045">
        <f ca="1">IF(E107="——","——",H101-H103)</f>
        <v>20651</v>
      </c>
      <c r="I107" s="138"/>
    </row>
    <row r="108" spans="1:35" ht="18.75" customHeight="1">
      <c r="A108" s="138"/>
      <c r="B108" s="138"/>
      <c r="C108" s="138"/>
      <c r="D108" s="138"/>
      <c r="E108" s="3101"/>
      <c r="F108" s="3102"/>
      <c r="G108" s="2520" t="s">
        <v>2298</v>
      </c>
      <c r="H108" s="371">
        <f ca="1">ROUND(H107*10000/'数据-汇总表'!E3,0)</f>
        <v>68820</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102"/>
      <c r="G109" s="2520" t="s">
        <v>2296</v>
      </c>
      <c r="H109" s="348" t="str">
        <f>IF(E109="——","——",H101-H105-H106)</f>
        <v>——</v>
      </c>
      <c r="I109" s="138"/>
    </row>
    <row r="110" spans="1:35" ht="18.75" customHeight="1">
      <c r="A110" s="138"/>
      <c r="B110" s="138"/>
      <c r="C110" s="138"/>
      <c r="D110" s="138"/>
      <c r="E110" s="3101"/>
      <c r="F110" s="3102"/>
      <c r="G110" s="2520" t="s">
        <v>2298</v>
      </c>
      <c r="H110" s="371" t="str">
        <f>IF(H109="——","——",ROUND(H109*10000/'数据-汇总表'!E3,0))</f>
        <v>——</v>
      </c>
      <c r="I110" s="138"/>
    </row>
    <row r="111" spans="1:35" ht="18.75" customHeight="1">
      <c r="A111" s="138"/>
      <c r="B111" s="138"/>
      <c r="C111" s="138"/>
      <c r="D111" s="138"/>
      <c r="E111" s="3103" t="str">
        <f>IF(项目基本情况!E9="抵押净值",IF(OR(项目基本情况!E8="已注销",项目基本情况!E8="房地产抵押价值"),"4.抵押净值","5.抵押净值"),"——")</f>
        <v>——</v>
      </c>
      <c r="F111" s="3104"/>
      <c r="G111" s="2520" t="s">
        <v>2296</v>
      </c>
      <c r="H111" s="1045" t="str">
        <f>IF(E111="——","——",N59)</f>
        <v>——</v>
      </c>
      <c r="I111" s="138"/>
    </row>
    <row r="112" spans="1:35" ht="18.75" customHeight="1" thickBot="1">
      <c r="A112" s="138"/>
      <c r="B112" s="138"/>
      <c r="C112" s="138"/>
      <c r="D112" s="138"/>
      <c r="E112" s="3105"/>
      <c r="F112" s="3106"/>
      <c r="G112" s="2525" t="s">
        <v>2298</v>
      </c>
      <c r="H112" s="790" t="str">
        <f>IF(E111="——","——",N61)</f>
        <v>——</v>
      </c>
      <c r="I112" s="138"/>
    </row>
    <row r="113" spans="1:11" ht="18.75" customHeight="1">
      <c r="A113" s="138"/>
      <c r="B113" s="138"/>
      <c r="C113" s="138"/>
      <c r="D113" s="138"/>
      <c r="E113" s="3107" t="s">
        <v>2304</v>
      </c>
      <c r="F113" s="3107"/>
      <c r="G113" s="3107"/>
      <c r="H113" s="3107"/>
      <c r="I113" s="138"/>
    </row>
    <row r="114" spans="1:11" ht="3.75" customHeight="1">
      <c r="A114" s="2418"/>
      <c r="B114" s="2418"/>
      <c r="C114" s="2418"/>
      <c r="D114" s="2418"/>
      <c r="E114" s="2496"/>
      <c r="F114" s="2496"/>
      <c r="G114" s="2496"/>
      <c r="H114" s="2496"/>
      <c r="I114" s="2418"/>
    </row>
    <row r="115" spans="1:11" ht="18.75" customHeight="1">
      <c r="A115" s="3108" t="s">
        <v>2306</v>
      </c>
      <c r="B115" s="3109"/>
      <c r="C115" s="3109"/>
      <c r="D115" s="3109"/>
      <c r="E115" s="3109"/>
      <c r="F115" s="3109"/>
      <c r="G115" s="3109"/>
      <c r="H115" s="3109"/>
      <c r="I115" s="3110"/>
    </row>
    <row r="116" spans="1:11" ht="27" customHeight="1">
      <c r="A116" s="3056" t="s">
        <v>2307</v>
      </c>
      <c r="B116" s="3094" t="s">
        <v>2308</v>
      </c>
      <c r="C116" s="3094" t="s">
        <v>2309</v>
      </c>
      <c r="D116" s="3096" t="s">
        <v>2310</v>
      </c>
      <c r="E116" s="3097"/>
      <c r="F116" s="3098" t="s">
        <v>2311</v>
      </c>
      <c r="G116" s="3098"/>
      <c r="H116" s="3056" t="s">
        <v>2312</v>
      </c>
      <c r="I116" s="3056"/>
    </row>
    <row r="117" spans="1:11" ht="18.75" customHeight="1">
      <c r="A117" s="3056"/>
      <c r="B117" s="3095"/>
      <c r="C117" s="3095"/>
      <c r="D117" s="2955" t="s">
        <v>2313</v>
      </c>
      <c r="E117" s="2955" t="s">
        <v>2314</v>
      </c>
      <c r="F117" s="2955" t="s">
        <v>2313</v>
      </c>
      <c r="G117" s="2955" t="s">
        <v>2315</v>
      </c>
      <c r="H117" s="2955" t="s">
        <v>2313</v>
      </c>
      <c r="I117" s="2955" t="s">
        <v>2315</v>
      </c>
    </row>
    <row r="118" spans="1:11" ht="24.75" customHeight="1">
      <c r="A118" s="2526" t="str">
        <f>项目基本情况!S2</f>
        <v>房地产</v>
      </c>
      <c r="B118" s="2955">
        <f>M18</f>
        <v>3000.7300000000005</v>
      </c>
      <c r="C118" s="2955">
        <f>M19</f>
        <v>0</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20651</v>
      </c>
      <c r="I118" s="2955">
        <f ca="1">ROUND(IF(D32="楼面单价",C32,H118*10000/B118),0)</f>
        <v>68820</v>
      </c>
    </row>
    <row r="119" spans="1:11" ht="18.75" customHeight="1">
      <c r="A119" s="3056" t="s">
        <v>2316</v>
      </c>
      <c r="B119" s="3056"/>
      <c r="C119" s="3056"/>
      <c r="D119" s="3083" t="e">
        <f ca="1">NUMBERSTRING(INT(D118*10000),2)&amp;"元整"</f>
        <v>#REF!</v>
      </c>
      <c r="E119" s="3085"/>
      <c r="F119" s="3083" t="e">
        <f ca="1">NUMBERSTRING(INT(F118*10000),2)&amp;"元整"</f>
        <v>#REF!</v>
      </c>
      <c r="G119" s="3085"/>
      <c r="H119" s="3083" t="str">
        <f ca="1">NUMBERSTRING(INT(H118*10000),2)&amp;"元整"</f>
        <v>贰亿零陆佰伍拾壹万元整</v>
      </c>
      <c r="I119" s="3085"/>
    </row>
    <row r="120" spans="1:11" ht="18.75" customHeight="1">
      <c r="A120" s="3088" t="str">
        <f>IF(项目基本情况!B9="房地产市场价值","",MID(E103,3,LEN(E103)-2))</f>
        <v>估价师知悉的法定优先受偿款</v>
      </c>
      <c r="B120" s="3089"/>
      <c r="C120" s="3090"/>
      <c r="D120" s="3088">
        <f>H103</f>
        <v>0</v>
      </c>
      <c r="E120" s="3089"/>
      <c r="F120" s="3089"/>
      <c r="G120" s="3089"/>
      <c r="H120" s="3089"/>
      <c r="I120" s="3090"/>
      <c r="K120" s="2423" t="str">
        <f>IF(D120=0,"故，本次评估不存在"&amp;A120,"故，本次评估"&amp;A120&amp;"为人民币"&amp;D120&amp;"万元整。")</f>
        <v>故，本次评估不存在估价师知悉的法定优先受偿款</v>
      </c>
    </row>
    <row r="121" spans="1:11" ht="18.75" customHeight="1">
      <c r="A121" s="3091" t="s">
        <v>2316</v>
      </c>
      <c r="B121" s="3092"/>
      <c r="C121" s="3093"/>
      <c r="D121" s="3083" t="str">
        <f>IF(D120=0,"零元整",NUMBERSTRING(INT(D120*10000),2)&amp;"元整")</f>
        <v>零元整</v>
      </c>
      <c r="E121" s="3084"/>
      <c r="F121" s="3084"/>
      <c r="G121" s="3084"/>
      <c r="H121" s="3084"/>
      <c r="I121" s="3085"/>
    </row>
    <row r="122" spans="1:11" ht="18.75" customHeight="1">
      <c r="A122" s="3087" t="str">
        <f>IF(项目基本情况!B9="房地产市场价值","",MID(E107,3,LEN(E107)-2))</f>
        <v>房地产抵押价值</v>
      </c>
      <c r="B122" s="3087"/>
      <c r="C122" s="3087"/>
      <c r="D122" s="3088">
        <f ca="1">H107</f>
        <v>20651</v>
      </c>
      <c r="E122" s="3089"/>
      <c r="F122" s="3089"/>
      <c r="G122" s="3089"/>
      <c r="H122" s="3089"/>
      <c r="I122" s="3090"/>
    </row>
    <row r="123" spans="1:11" ht="18.75" customHeight="1">
      <c r="A123" s="3056" t="s">
        <v>2316</v>
      </c>
      <c r="B123" s="3056"/>
      <c r="C123" s="3056"/>
      <c r="D123" s="3083" t="str">
        <f ca="1">NUMBERSTRING(INT(D122*10000),2)&amp;"元整"</f>
        <v>贰亿零陆佰伍拾壹万元整</v>
      </c>
      <c r="E123" s="3084"/>
      <c r="F123" s="3084"/>
      <c r="G123" s="3084"/>
      <c r="H123" s="3084"/>
      <c r="I123" s="3085"/>
    </row>
    <row r="124" spans="1:11" ht="18.75" customHeight="1">
      <c r="A124" s="3087" t="str">
        <f>IF(项目基本情况!B9="房地产市场价值","",MID(E109,3,LEN(E109)-2))</f>
        <v/>
      </c>
      <c r="B124" s="3087"/>
      <c r="C124" s="3087"/>
      <c r="D124" s="3088" t="str">
        <f>H109</f>
        <v>——</v>
      </c>
      <c r="E124" s="3089"/>
      <c r="F124" s="3089"/>
      <c r="G124" s="3089"/>
      <c r="H124" s="3089"/>
      <c r="I124" s="3090"/>
    </row>
    <row r="125" spans="1:11" ht="18.75" customHeight="1">
      <c r="A125" s="3056" t="s">
        <v>2316</v>
      </c>
      <c r="B125" s="3056"/>
      <c r="C125" s="3056"/>
      <c r="D125" s="3083" t="e">
        <f>NUMBERSTRING(INT(D124*10000),2)&amp;"元整"</f>
        <v>#VALUE!</v>
      </c>
      <c r="E125" s="3084"/>
      <c r="F125" s="3084"/>
      <c r="G125" s="3084"/>
      <c r="H125" s="3084"/>
      <c r="I125" s="3085"/>
    </row>
    <row r="126" spans="1:11" ht="18.75" customHeight="1">
      <c r="A126" s="3087" t="str">
        <f>IF(项目基本情况!B9="房地产市场价值","",MID(E111,3,LEN(E111)-2))</f>
        <v/>
      </c>
      <c r="B126" s="3087"/>
      <c r="C126" s="3087"/>
      <c r="D126" s="3088" t="str">
        <f>H111</f>
        <v>——</v>
      </c>
      <c r="E126" s="3089"/>
      <c r="F126" s="3089"/>
      <c r="G126" s="3089"/>
      <c r="H126" s="3089"/>
      <c r="I126" s="3090"/>
    </row>
    <row r="127" spans="1:11" ht="18.75" customHeight="1">
      <c r="A127" s="3056" t="s">
        <v>2316</v>
      </c>
      <c r="B127" s="3056"/>
      <c r="C127" s="3056"/>
      <c r="D127" s="3083" t="e">
        <f>NUMBERSTRING(INT(D126*10000),2)&amp;"元整"</f>
        <v>#VALUE!</v>
      </c>
      <c r="E127" s="3084"/>
      <c r="F127" s="3084"/>
      <c r="G127" s="3084"/>
      <c r="H127" s="3084"/>
      <c r="I127" s="3085"/>
    </row>
    <row r="128" spans="1:11" ht="21.75" customHeight="1">
      <c r="A128" s="3086" t="s">
        <v>2317</v>
      </c>
      <c r="B128" s="3086"/>
      <c r="C128" s="3086"/>
      <c r="D128" s="3086"/>
      <c r="E128" s="3086"/>
      <c r="F128" s="3086"/>
      <c r="G128" s="3086"/>
      <c r="H128" s="3086"/>
      <c r="I128" s="3086"/>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xr:uid="{2AC86774-ABDA-4AA4-8CCD-0811B3EFB307}">
      <formula1>"2.估价师知悉的法定优先受偿款,2.估价师知悉的除抵押担保权以外的法定优先受偿款"</formula1>
    </dataValidation>
    <dataValidation type="list" allowBlank="1" showInputMessage="1" showErrorMessage="1" sqref="G77" xr:uid="{29FAF8E3-6AE4-4152-B865-FCB07EF937D5}">
      <formula1>"个人住宅,2016年5月1日前购买,2016年5月1日后购买"</formula1>
    </dataValidation>
    <dataValidation type="list" allowBlank="1" showInputMessage="1" showErrorMessage="1" sqref="C1" xr:uid="{AEAE980F-094C-4BD8-A1C3-DAA84F77E47D}">
      <formula1>项目类型</formula1>
    </dataValidation>
    <dataValidation type="list" allowBlank="1" showInputMessage="1" showErrorMessage="1" sqref="I1" xr:uid="{AEADADE6-B823-4701-B634-C2F51F9DC1D5}">
      <formula1>"项目局部,项目全部,——"</formula1>
    </dataValidation>
    <dataValidation type="list" showInputMessage="1" showErrorMessage="1" sqref="G1" xr:uid="{66209D46-7643-4619-9094-486F7C421243}">
      <formula1>"现房,在建,土地,-"</formula1>
    </dataValidation>
    <dataValidation type="list" allowBlank="1" showInputMessage="1" showErrorMessage="1" sqref="H59" xr:uid="{F61C5014-F7BF-4A14-978E-B2B01EA1B496}">
      <formula1>"非个人房产,个人住宅,个人非住宅"</formula1>
    </dataValidation>
    <dataValidation type="list" allowBlank="1" showInputMessage="1" showErrorMessage="1" sqref="C129" xr:uid="{5159711A-7A45-4DDD-B12F-793ADF071D67}">
      <formula1>"无,有"</formula1>
    </dataValidation>
    <dataValidation type="list" allowBlank="1" showInputMessage="1" showErrorMessage="1" sqref="F116:G116" xr:uid="{269D01F5-9364-4498-8A3E-236AAE9882FB}">
      <formula1>"建筑物价值,在建建筑物价值,建筑物/在建建筑物价值"</formula1>
    </dataValidation>
    <dataValidation type="list" allowBlank="1" showInputMessage="1" showErrorMessage="1" sqref="D116:E116" xr:uid="{E51BFEEE-5051-4AEB-BD8A-E05F43F5EE73}">
      <formula1>"出让国有建设用地使用权价值,划拨国有建设用地使用权价值"</formula1>
    </dataValidation>
    <dataValidation type="list" allowBlank="1" showInputMessage="1" showErrorMessage="1" sqref="C116:C117" xr:uid="{F9C1F4D7-8379-42A8-9042-EECB792EA48F}">
      <formula1>"土地面积,分摊土地面积,（分摊）土地面积"</formula1>
    </dataValidation>
    <dataValidation type="list" allowBlank="1" showInputMessage="1" showErrorMessage="1" sqref="B116:B117" xr:uid="{8CBECCDD-41BF-476F-925D-29A75CAA336A}">
      <formula1>"建筑面积,规划建筑面积,（规划）建筑面积"</formula1>
    </dataValidation>
    <dataValidation type="list" allowBlank="1" showInputMessage="1" showErrorMessage="1" sqref="D36" xr:uid="{54A11A5F-DB61-4B2C-8119-4A4A7E84413C}">
      <formula1>"同一抵押权人同一抵押物续贷,注销后放款,正常操作"</formula1>
    </dataValidation>
    <dataValidation type="list" allowBlank="1" showInputMessage="1" showErrorMessage="1" sqref="F75" xr:uid="{27293496-3595-45AC-8902-A34000704312}">
      <formula1>"买卖合同,购房发票"</formula1>
    </dataValidation>
    <dataValidation type="list" allowBlank="1" showInputMessage="1" showErrorMessage="1" sqref="H88" xr:uid="{324F43B3-E139-4B4A-A307-9DEED38BDD3E}">
      <formula1>"仅含出让金,出让金+开发费"</formula1>
    </dataValidation>
    <dataValidation type="list" allowBlank="1" showInputMessage="1" showErrorMessage="1" sqref="H91" xr:uid="{30BB5F8C-2B91-420D-94A8-004BC9D109E3}">
      <formula1>"企业提供（在右侧录入）,——"</formula1>
    </dataValidation>
    <dataValidation type="list" allowBlank="1" showInputMessage="1" showErrorMessage="1" sqref="C33" xr:uid="{883BD2AC-690B-4D77-BBF7-BC2CE1CFF043}">
      <formula1>"成本比率,收益比率,自定义"</formula1>
    </dataValidation>
    <dataValidation type="list" allowBlank="1" showInputMessage="1" showErrorMessage="1" sqref="F45" xr:uid="{EBDEA29C-3AA9-4487-96B7-4519D61898B1}">
      <formula1>"100%,80%,60%,64%"</formula1>
    </dataValidation>
    <dataValidation type="list" allowBlank="1" showInputMessage="1" showErrorMessage="1" sqref="D32" xr:uid="{82F7D771-4C13-4CA4-A1F3-40813BB14524}">
      <formula1>"总价,楼面单价"</formula1>
    </dataValidation>
    <dataValidation type="list" allowBlank="1" showInputMessage="1" showErrorMessage="1" sqref="H58" xr:uid="{A570CE91-B9F2-465C-9E4C-617F3507D5C9}">
      <formula1>"转让取得,自行开发建设"</formula1>
    </dataValidation>
    <dataValidation type="list" allowBlank="1" showInputMessage="1" showErrorMessage="1" sqref="H48" xr:uid="{03254E08-24DA-4FF8-82C3-868A95AB036F}">
      <formula1>"情况1,情况2,情况3,情况4"</formula1>
    </dataValidation>
    <dataValidation type="list" allowBlank="1" showInputMessage="1" showErrorMessage="1" sqref="H55:H56" xr:uid="{8A2F134D-8F33-43F9-A936-D7FBB4266E7F}">
      <formula1>"个人住宅,正常"</formula1>
    </dataValidation>
    <dataValidation type="list" allowBlank="1" showInputMessage="1" showErrorMessage="1" sqref="C4:D4 D33" xr:uid="{39D907E3-7156-4370-BCF8-8655A5DF72F5}">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workbookViewId="0">
      <selection activeCell="F7" sqref="F7"/>
    </sheetView>
  </sheetViews>
  <sheetFormatPr defaultColWidth="8.36328125" defaultRowHeight="12.5"/>
  <cols>
    <col min="1" max="1" width="9.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8" width="10.81640625" style="295" customWidth="1"/>
    <col min="9" max="254" width="9" style="295" customWidth="1"/>
    <col min="255" max="16384" width="8.36328125" style="295"/>
  </cols>
  <sheetData>
    <row r="1" spans="1:8" s="244" customFormat="1" ht="21">
      <c r="A1" s="240" t="s">
        <v>2325</v>
      </c>
      <c r="B1" s="1936"/>
      <c r="C1" s="2555"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1918</v>
      </c>
      <c r="C2" s="243" t="s">
        <v>2327</v>
      </c>
      <c r="D2" s="2549" t="s">
        <v>70</v>
      </c>
      <c r="E2" s="1440"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6392</v>
      </c>
      <c r="C3" s="243" t="s">
        <v>2329</v>
      </c>
      <c r="D3" s="243"/>
      <c r="E3" s="243"/>
      <c r="F3" s="243"/>
      <c r="G3" s="243"/>
    </row>
    <row r="4" spans="1:8" s="252" customFormat="1" ht="16">
      <c r="A4" s="249" t="s">
        <v>2330</v>
      </c>
      <c r="B4" s="250"/>
      <c r="C4" s="250"/>
      <c r="D4" s="250"/>
      <c r="E4" s="250"/>
      <c r="F4" s="250"/>
      <c r="G4" s="251"/>
    </row>
    <row r="5" spans="1:8" s="258" customFormat="1" ht="13.5" customHeight="1">
      <c r="A5" s="299" t="s">
        <v>2331</v>
      </c>
      <c r="B5" s="254" t="s">
        <v>2332</v>
      </c>
      <c r="C5" s="255">
        <f ca="1">C6+C7+C8</f>
        <v>600146</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ht="13">
      <c r="A8" s="949" t="s">
        <v>2340</v>
      </c>
      <c r="B8" s="259" t="s">
        <v>2341</v>
      </c>
      <c r="C8" s="264">
        <f ca="1">IF(G8="已包含在土地购买价格中",0,C9+C10)</f>
        <v>600146</v>
      </c>
      <c r="D8" s="266"/>
      <c r="E8" s="264"/>
      <c r="F8" s="265"/>
      <c r="G8" s="2552"/>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600146</v>
      </c>
      <c r="D10" s="1032">
        <f ca="1">IF(B1="",'数据-汇总表'!E6,IF(INDIRECT("'数据-取费表'!c"&amp;$G$1)="住宅",INDIRECT("'数据-取费表'!s"&amp;$G$1),INDIRECT("'数据-取费表'!k"&amp;$G$1)+INDIRECT("'数据-取费表'!s"&amp;$G$1)))</f>
        <v>3000.7300000000005</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600146</v>
      </c>
      <c r="D19" s="1036">
        <f ca="1">D9+D10</f>
        <v>3000.7300000000005</v>
      </c>
      <c r="E19" s="255">
        <f>'数据-取费表'!B31</f>
        <v>200</v>
      </c>
      <c r="F19" s="275"/>
      <c r="G19" s="2552"/>
    </row>
    <row r="20" spans="1:7" s="258" customFormat="1" ht="13.5" customHeight="1">
      <c r="A20" s="299" t="s">
        <v>2438</v>
      </c>
      <c r="B20" s="254" t="s">
        <v>2439</v>
      </c>
      <c r="C20" s="276">
        <f ca="1">ROUND((C5+C19)*F20,0)</f>
        <v>24006</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117876</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58368</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58368</v>
      </c>
      <c r="D24" s="282"/>
      <c r="E24" s="282"/>
      <c r="F24" s="283"/>
      <c r="G24" s="284" t="s">
        <v>2450</v>
      </c>
    </row>
    <row r="25" spans="1:7" s="258" customFormat="1" ht="26">
      <c r="A25" s="951" t="s">
        <v>2340</v>
      </c>
      <c r="B25" s="259" t="s">
        <v>2451</v>
      </c>
      <c r="C25" s="1381">
        <f ca="1">ROUND(IF('数据-取费表'!B22&lt;=1,C20*F22*'数据-取费表'!B22/2,C20*(POWER((1+F22),'数据-取费表'!B22/2)-1)),0)</f>
        <v>1140</v>
      </c>
      <c r="D25" s="282"/>
      <c r="E25" s="285"/>
      <c r="F25" s="283"/>
      <c r="G25" s="286" t="s">
        <v>2452</v>
      </c>
    </row>
    <row r="26" spans="1:7" s="258" customFormat="1" ht="13">
      <c r="A26" s="951" t="s">
        <v>795</v>
      </c>
      <c r="B26" s="259" t="s">
        <v>2375</v>
      </c>
      <c r="C26" s="282">
        <f ca="1">ROUND(IF('数据-取费表'!B22&lt;=1,F21*F22*'数据-取费表'!B22/2,F21*(POWER((1+F22),'数据-取费表'!B22/2)-1)),4)</f>
        <v>1E-3</v>
      </c>
      <c r="D26" s="282"/>
      <c r="E26" s="285"/>
      <c r="F26" s="283"/>
      <c r="G26" s="287"/>
    </row>
    <row r="27" spans="1:7" s="258" customFormat="1" ht="27">
      <c r="A27" s="299" t="s">
        <v>2376</v>
      </c>
      <c r="B27" s="288" t="s">
        <v>2377</v>
      </c>
      <c r="C27" s="289">
        <f ca="1">C28</f>
        <v>183645</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183645</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1653646</v>
      </c>
      <c r="D31" s="274"/>
      <c r="E31" s="255"/>
      <c r="F31" s="294"/>
      <c r="G31" s="278" t="s">
        <v>2386</v>
      </c>
    </row>
    <row r="32" spans="1:7" s="252" customFormat="1" ht="16">
      <c r="A32" s="296" t="s">
        <v>2453</v>
      </c>
      <c r="B32" s="297"/>
      <c r="C32" s="297"/>
      <c r="D32" s="297"/>
      <c r="E32" s="297"/>
      <c r="F32" s="297"/>
      <c r="G32" s="298"/>
    </row>
    <row r="33" spans="1:7" s="258" customFormat="1" ht="13.5" customHeight="1">
      <c r="A33" s="299" t="s">
        <v>782</v>
      </c>
      <c r="B33" s="254" t="s">
        <v>2454</v>
      </c>
      <c r="C33" s="300">
        <f ca="1">SUM(C34:C38)</f>
        <v>14711079</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13503285</v>
      </c>
      <c r="D34" s="261"/>
      <c r="E34" s="264"/>
      <c r="F34" s="301"/>
      <c r="G34" s="263"/>
    </row>
    <row r="35" spans="1:7" ht="13.5" customHeight="1">
      <c r="A35" s="951" t="s">
        <v>796</v>
      </c>
      <c r="B35" s="259" t="s">
        <v>2391</v>
      </c>
      <c r="C35" s="264">
        <f ca="1">ROUND(C34*F35,0)</f>
        <v>405099</v>
      </c>
      <c r="D35" s="264"/>
      <c r="E35" s="264"/>
      <c r="F35" s="303">
        <f>'数据-取费表'!B33</f>
        <v>0.03</v>
      </c>
      <c r="G35" s="263" t="s">
        <v>2392</v>
      </c>
    </row>
    <row r="36" spans="1:7" ht="26">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600146</v>
      </c>
      <c r="D37" s="261">
        <f ca="1">D19</f>
        <v>3000.7300000000005</v>
      </c>
      <c r="E37" s="293">
        <f>'数据-取费表'!B35</f>
        <v>200</v>
      </c>
      <c r="F37" s="303"/>
      <c r="G37" s="305"/>
    </row>
    <row r="38" spans="1:7" ht="13.5" customHeight="1">
      <c r="A38" s="951" t="s">
        <v>799</v>
      </c>
      <c r="B38" s="259" t="s">
        <v>2397</v>
      </c>
      <c r="C38" s="264">
        <f ca="1">ROUND(C34*F38,0)</f>
        <v>202549</v>
      </c>
      <c r="D38" s="264"/>
      <c r="E38" s="264"/>
      <c r="F38" s="303">
        <f>'数据-取费表'!B36</f>
        <v>1.4999999999999999E-2</v>
      </c>
      <c r="G38" s="263" t="s">
        <v>2392</v>
      </c>
    </row>
    <row r="39" spans="1:7" s="258" customFormat="1" ht="13.5" customHeight="1">
      <c r="A39" s="299" t="s">
        <v>2398</v>
      </c>
      <c r="B39" s="254" t="s">
        <v>2399</v>
      </c>
      <c r="C39" s="276">
        <f ca="1">ROUND(C33*F20,0)</f>
        <v>294222</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712752</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698776</v>
      </c>
      <c r="D42" s="282"/>
      <c r="E42" s="282"/>
      <c r="F42" s="283"/>
      <c r="G42" s="3176" t="s">
        <v>2455</v>
      </c>
    </row>
    <row r="43" spans="1:7" ht="13.5" customHeight="1">
      <c r="A43" s="951" t="s">
        <v>792</v>
      </c>
      <c r="B43" s="259" t="s">
        <v>2409</v>
      </c>
      <c r="C43" s="282">
        <f ca="1">ROUND(IF('数据-取费表'!B22&lt;=1,C39*F22*'数据-取费表'!B20/2,C39*(POWER((1+F22),'数据-取费表'!B20/2)-1)),0)</f>
        <v>13976</v>
      </c>
      <c r="D43" s="282"/>
      <c r="E43" s="282"/>
      <c r="F43" s="283"/>
      <c r="G43" s="3177"/>
    </row>
    <row r="44" spans="1:7" ht="13.5" customHeight="1">
      <c r="A44" s="951" t="s">
        <v>793</v>
      </c>
      <c r="B44" s="259" t="s">
        <v>2410</v>
      </c>
      <c r="C44" s="282">
        <f ca="1">ROUND(IF('数据-取费表'!B22&lt;=1,C40*F22*'数据-取费表'!B20/2,C40*(POWER((1+F22),'数据-取费表'!B20/2)-1)),4)</f>
        <v>1E-3</v>
      </c>
      <c r="D44" s="282"/>
      <c r="E44" s="282"/>
      <c r="F44" s="283"/>
      <c r="G44" s="3178"/>
    </row>
    <row r="45" spans="1:7" s="258" customFormat="1" ht="13.5" customHeight="1">
      <c r="A45" s="299" t="s">
        <v>2411</v>
      </c>
      <c r="B45" s="288" t="s">
        <v>2377</v>
      </c>
      <c r="C45" s="289">
        <f ca="1">C46</f>
        <v>2250795</v>
      </c>
      <c r="D45" s="279">
        <f ca="1">C47</f>
        <v>3.0000000000000001E-3</v>
      </c>
      <c r="E45" s="280" t="s">
        <v>2403</v>
      </c>
      <c r="F45" s="290"/>
      <c r="G45" s="291" t="s">
        <v>2412</v>
      </c>
    </row>
    <row r="46" spans="1:7" s="258" customFormat="1" ht="13.5" customHeight="1">
      <c r="A46" s="951" t="s">
        <v>791</v>
      </c>
      <c r="B46" s="292" t="s">
        <v>2413</v>
      </c>
      <c r="C46" s="293">
        <f ca="1">ROUND((C33+C39)*F27,0)</f>
        <v>2250795</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19474204</v>
      </c>
      <c r="D49" s="276"/>
      <c r="E49" s="276"/>
      <c r="F49" s="308"/>
      <c r="G49" s="278" t="s">
        <v>2418</v>
      </c>
    </row>
    <row r="50" spans="1:7" s="302" customFormat="1" ht="13.5">
      <c r="A50" s="299" t="s">
        <v>2419</v>
      </c>
      <c r="B50" s="254" t="s">
        <v>2420</v>
      </c>
      <c r="C50" s="276"/>
      <c r="D50" s="276"/>
      <c r="E50" s="276"/>
      <c r="F50" s="308">
        <f>IF('数据-取费表'!B24=0,'数据-取费表'!N16,1)</f>
        <v>0.9</v>
      </c>
      <c r="G50" s="291"/>
    </row>
    <row r="51" spans="1:7" ht="16.5" customHeight="1">
      <c r="A51" s="299" t="s">
        <v>2422</v>
      </c>
      <c r="B51" s="254" t="s">
        <v>2457</v>
      </c>
      <c r="C51" s="276">
        <f ca="1">ROUND(C49*F50,0)</f>
        <v>17526784</v>
      </c>
      <c r="D51" s="276"/>
      <c r="E51" s="276"/>
      <c r="F51" s="308"/>
      <c r="G51" s="278" t="s">
        <v>2424</v>
      </c>
    </row>
    <row r="52" spans="1:7" s="252" customFormat="1" ht="16.5" thickBot="1">
      <c r="A52" s="309" t="s">
        <v>2425</v>
      </c>
      <c r="B52" s="310"/>
      <c r="C52" s="311">
        <f ca="1">C31+C51</f>
        <v>19180430</v>
      </c>
      <c r="D52" s="310"/>
      <c r="E52" s="310"/>
      <c r="F52" s="310"/>
      <c r="G52" s="312"/>
    </row>
    <row r="55" spans="1:7" ht="15.5">
      <c r="B55" s="314" t="s">
        <v>2426</v>
      </c>
      <c r="C55" s="315"/>
    </row>
    <row r="56" spans="1:7" ht="13">
      <c r="B56" s="317" t="s">
        <v>1507</v>
      </c>
      <c r="C56" s="319">
        <f ca="1">1-C57</f>
        <v>8.5999999999999965E-2</v>
      </c>
    </row>
    <row r="57" spans="1:7" ht="13">
      <c r="B57" s="317" t="s">
        <v>1508</v>
      </c>
      <c r="C57" s="318">
        <f ca="1">ROUND(C51/C52,3)</f>
        <v>0.91400000000000003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topLeftCell="A4" workbookViewId="0">
      <selection activeCell="F24" sqref="F24"/>
    </sheetView>
  </sheetViews>
  <sheetFormatPr defaultColWidth="6.6328125" defaultRowHeight="12.5"/>
  <cols>
    <col min="1" max="1" width="9.81640625" style="798" customWidth="1"/>
    <col min="2" max="2" width="25.81640625" style="952" customWidth="1"/>
    <col min="3" max="3" width="10.36328125" style="995" customWidth="1"/>
    <col min="4" max="4" width="9.90625" style="952" customWidth="1"/>
    <col min="5" max="5" width="9.453125" style="798" customWidth="1"/>
    <col min="6" max="6" width="10.08984375" style="952" customWidth="1"/>
    <col min="7" max="7" width="10.81640625" style="952" customWidth="1"/>
    <col min="8" max="8" width="10" style="952" customWidth="1"/>
    <col min="9" max="11" width="9.453125" style="952" customWidth="1"/>
    <col min="12" max="12" width="9" style="952" customWidth="1"/>
    <col min="13" max="13" width="10.453125" style="952" bestFit="1" customWidth="1"/>
    <col min="14" max="254" width="9" style="952" customWidth="1"/>
    <col min="255" max="16384" width="6.6328125" style="952"/>
  </cols>
  <sheetData>
    <row r="1" spans="1:33" ht="21">
      <c r="A1" s="240" t="s">
        <v>2458</v>
      </c>
      <c r="B1" s="1581"/>
      <c r="C1" s="1582"/>
      <c r="D1" s="1580"/>
      <c r="E1" s="320"/>
      <c r="F1" s="320"/>
      <c r="G1" s="1581"/>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6">
      <c r="A5" s="957" t="s">
        <v>2462</v>
      </c>
      <c r="B5" s="958" t="s">
        <v>2463</v>
      </c>
      <c r="C5" s="2556" t="s">
        <v>2464</v>
      </c>
      <c r="D5" s="2556" t="s">
        <v>2465</v>
      </c>
      <c r="E5" s="2556" t="s">
        <v>2466</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3000.7300000000005</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3000.7300000000005</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8"/>
      <c r="H18" s="1577"/>
      <c r="I18" s="255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60</v>
      </c>
      <c r="D20" s="1033">
        <f ca="1">IF(C1="",'数据-汇总表'!E6,IF(INDIRECT("'数据-取费表'!c"&amp;$K$1)="住宅",INDIRECT("'数据-取费表'!s"&amp;$K$1),INDIRECT("'数据-取费表'!k"&amp;$K$1)+INDIRECT("'数据-取费表'!s"&amp;$K$1)))</f>
        <v>3000.7300000000005</v>
      </c>
      <c r="E20" s="24">
        <f>'数据-取费表'!B28</f>
        <v>200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2508</v>
      </c>
      <c r="B28" s="2561" t="s">
        <v>2509</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62"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topLeftCell="A25" zoomScale="70" zoomScaleNormal="70" zoomScaleSheetLayoutView="90" workbookViewId="0">
      <selection activeCell="K23" sqref="K23"/>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81640625" style="302" customWidth="1"/>
    <col min="6" max="6" width="10.6328125" style="302" customWidth="1"/>
    <col min="7" max="7" width="4.90625" style="302" customWidth="1"/>
    <col min="8" max="8" width="8.453125" style="302" customWidth="1"/>
    <col min="9" max="9" width="21.1796875" style="302" customWidth="1"/>
    <col min="10" max="10" width="12.1796875" style="302" customWidth="1"/>
    <col min="11" max="11" width="45.08984375" style="1934" customWidth="1"/>
    <col min="12" max="12" width="16.36328125" style="302" customWidth="1"/>
    <col min="13" max="13" width="13" style="302" customWidth="1"/>
    <col min="14" max="14" width="13.81640625" style="1842" customWidth="1"/>
    <col min="15" max="15" width="5.08984375" style="1842" customWidth="1"/>
    <col min="16" max="16" width="25.81640625" style="1842" customWidth="1"/>
    <col min="17" max="17" width="13.81640625" style="1842" customWidth="1"/>
    <col min="18" max="18" width="20.453125" style="1842" customWidth="1"/>
    <col min="19" max="19" width="13.1796875" style="1842" customWidth="1"/>
    <col min="20" max="37" width="9" style="1842"/>
    <col min="38" max="16384" width="9" style="302"/>
  </cols>
  <sheetData>
    <row r="1" spans="1:37" s="337" customFormat="1" ht="21">
      <c r="A1" s="1833" t="s">
        <v>1583</v>
      </c>
      <c r="B1" s="782"/>
      <c r="C1" s="1837" t="s">
        <v>1372</v>
      </c>
      <c r="D1" s="1820" t="s">
        <v>70</v>
      </c>
      <c r="E1" s="1821" t="s">
        <v>1381</v>
      </c>
      <c r="F1" s="1283">
        <f ca="1">J53</f>
        <v>29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18884</v>
      </c>
      <c r="C2" s="1845" t="s">
        <v>1510</v>
      </c>
      <c r="D2" s="1845"/>
      <c r="E2" s="1846"/>
      <c r="F2" s="1847"/>
      <c r="G2" s="1848"/>
      <c r="H2" s="1840"/>
      <c r="I2" s="1840"/>
      <c r="J2" s="1840"/>
      <c r="K2" s="1841"/>
      <c r="L2" s="1840"/>
      <c r="M2" s="1840"/>
    </row>
    <row r="3" spans="1:37" ht="18" customHeight="1" thickBot="1">
      <c r="A3" s="1849" t="s">
        <v>1511</v>
      </c>
      <c r="B3" s="1850">
        <f ca="1">IF(ISERROR(B2*10000/F43),0,ROUND(B2*10000/F43,0))</f>
        <v>62931</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1184</v>
      </c>
      <c r="D5" s="1822" t="s">
        <v>1396</v>
      </c>
      <c r="E5" s="1293"/>
      <c r="F5" s="1294"/>
      <c r="G5" s="1851"/>
      <c r="H5" s="344">
        <v>1</v>
      </c>
      <c r="I5" s="345" t="s">
        <v>1395</v>
      </c>
      <c r="J5" s="1292">
        <f ca="1">J6+J10+J12</f>
        <v>0</v>
      </c>
      <c r="K5" s="1822" t="s">
        <v>1396</v>
      </c>
      <c r="L5" s="1293"/>
      <c r="M5" s="1294"/>
    </row>
    <row r="6" spans="1:37" ht="18" customHeight="1">
      <c r="A6" s="1291" t="s">
        <v>1031</v>
      </c>
      <c r="B6" s="3181" t="s">
        <v>1397</v>
      </c>
      <c r="C6" s="1296">
        <f ca="1">ROUND(F6*F8*F7*(1-F9)/10000,0)</f>
        <v>1183</v>
      </c>
      <c r="D6" s="164" t="s">
        <v>3028</v>
      </c>
      <c r="E6" s="347" t="s">
        <v>1399</v>
      </c>
      <c r="F6" s="348">
        <f ca="1">INDIRECT("'数据-取费表'!u"&amp;$G$1)</f>
        <v>12</v>
      </c>
      <c r="G6" s="1851"/>
      <c r="H6" s="1291" t="s">
        <v>1031</v>
      </c>
      <c r="I6" s="3181" t="s">
        <v>1397</v>
      </c>
      <c r="J6" s="346">
        <f ca="1">ROUND(M6*M8*M7*(1-M9)/10000,0)</f>
        <v>0</v>
      </c>
      <c r="K6" s="164" t="s">
        <v>3027</v>
      </c>
      <c r="L6" s="347" t="s">
        <v>1399</v>
      </c>
      <c r="M6" s="348">
        <f ca="1">INDIRECT("'数据-取费表'!z"&amp;$G$1)</f>
        <v>0</v>
      </c>
    </row>
    <row r="7" spans="1:37" ht="18" customHeight="1">
      <c r="A7" s="1295"/>
      <c r="B7" s="3182"/>
      <c r="C7" s="1297"/>
      <c r="D7" s="352"/>
      <c r="E7" s="1298" t="s">
        <v>1400</v>
      </c>
      <c r="F7" s="348">
        <f ca="1">IF(INDIRECT("'数据-取费表'!ah"&amp;$G$1)="",INDIRECT("'数据-取费表'!k"&amp;$G$1),INDIRECT("'数据-取费表'!ah"&amp;$G$1))</f>
        <v>3000.7300000000005</v>
      </c>
      <c r="G7" s="1851"/>
      <c r="H7" s="349"/>
      <c r="I7" s="3182"/>
      <c r="J7" s="351"/>
      <c r="K7" s="352"/>
      <c r="L7" s="347" t="s">
        <v>1400</v>
      </c>
      <c r="M7" s="348">
        <f ca="1">F7</f>
        <v>3000.7300000000005</v>
      </c>
    </row>
    <row r="8" spans="1:37" ht="18" customHeight="1">
      <c r="A8" s="349"/>
      <c r="B8" s="3182"/>
      <c r="C8" s="351"/>
      <c r="D8" s="352"/>
      <c r="E8" s="347" t="s">
        <v>1401</v>
      </c>
      <c r="F8" s="348">
        <f ca="1">INDIRECT("'数据-取费表'!ai"&amp;$G$1)</f>
        <v>365</v>
      </c>
      <c r="G8" s="1851"/>
      <c r="H8" s="349"/>
      <c r="I8" s="3182"/>
      <c r="J8" s="351"/>
      <c r="K8" s="352"/>
      <c r="L8" s="347" t="s">
        <v>1401</v>
      </c>
      <c r="M8" s="348">
        <f ca="1">INDIRECT("'数据-取费表'!ai"&amp;$G$1)</f>
        <v>365</v>
      </c>
    </row>
    <row r="9" spans="1:37" ht="18" customHeight="1">
      <c r="A9" s="349"/>
      <c r="B9" s="3183"/>
      <c r="C9" s="351"/>
      <c r="D9" s="352"/>
      <c r="E9" s="347" t="s">
        <v>1402</v>
      </c>
      <c r="F9" s="357">
        <f ca="1">INDIRECT("'数据-取费表'!w"&amp;$G$1)</f>
        <v>0.1</v>
      </c>
      <c r="G9" s="1851"/>
      <c r="H9" s="349"/>
      <c r="I9" s="3183"/>
      <c r="J9" s="351"/>
      <c r="K9" s="352"/>
      <c r="L9" s="358" t="s">
        <v>1402</v>
      </c>
      <c r="M9" s="359">
        <f ca="1">INDIRECT("'数据-取费表'!ab"&amp;$G$1)</f>
        <v>0</v>
      </c>
    </row>
    <row r="10" spans="1:37" ht="18" customHeight="1">
      <c r="A10" s="1291" t="s">
        <v>1035</v>
      </c>
      <c r="B10" s="1823" t="s">
        <v>1403</v>
      </c>
      <c r="C10" s="361">
        <f ca="1">ROUND(IF(F10="押一",C6/12*F11,IF(F10="押二",C6/12*2*F11,IF(F10="押三",C6/12*3*F11,C11*F11))),0)</f>
        <v>1</v>
      </c>
      <c r="D10" s="1824" t="s">
        <v>3037</v>
      </c>
      <c r="E10" s="358" t="s">
        <v>1404</v>
      </c>
      <c r="F10" s="1366" t="s">
        <v>3084</v>
      </c>
      <c r="G10" s="1851"/>
      <c r="H10" s="1291" t="s">
        <v>1035</v>
      </c>
      <c r="I10" s="1823" t="s">
        <v>1403</v>
      </c>
      <c r="J10" s="346">
        <f ca="1">ROUND(IF(M10="押一",J6/12*M11,IF(M10="押二",J6/12*2*M11,IF(M10="押三",J6/12*3*M11,J11*M11))),0)</f>
        <v>0</v>
      </c>
      <c r="K10" s="1824" t="s">
        <v>3036</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1751</v>
      </c>
      <c r="D13" s="1331" t="s">
        <v>1409</v>
      </c>
      <c r="E13" s="1331" t="s">
        <v>1410</v>
      </c>
      <c r="F13" s="1332">
        <f ca="1">INDIRECT("'数据-取费表'!y"&amp;$G$1)</f>
        <v>0.9</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1350</v>
      </c>
      <c r="D14" s="1800" t="s">
        <v>1412</v>
      </c>
      <c r="E14" s="1794"/>
      <c r="F14" s="364"/>
      <c r="G14" s="1851"/>
      <c r="H14" s="1201" t="s">
        <v>1031</v>
      </c>
      <c r="I14" s="347" t="s">
        <v>1413</v>
      </c>
      <c r="J14" s="24">
        <f ca="1">C29</f>
        <v>1946</v>
      </c>
      <c r="K14" s="15"/>
      <c r="L14" s="979"/>
      <c r="M14" s="980"/>
    </row>
    <row r="15" spans="1:37" s="1858" customFormat="1" ht="18" customHeight="1" thickBot="1">
      <c r="A15" s="1201" t="s">
        <v>1032</v>
      </c>
      <c r="B15" s="347" t="s">
        <v>1414</v>
      </c>
      <c r="C15" s="24">
        <f ca="1">ROUND(C14*F15,0)</f>
        <v>41</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46</v>
      </c>
      <c r="K16" s="1337" t="s">
        <v>1419</v>
      </c>
      <c r="L16" s="1338"/>
      <c r="M16" s="1294"/>
    </row>
    <row r="17" spans="1:37" s="1858" customFormat="1" ht="18" customHeight="1">
      <c r="A17" s="1201" t="s">
        <v>1384</v>
      </c>
      <c r="B17" s="347" t="s">
        <v>1420</v>
      </c>
      <c r="C17" s="24">
        <f ca="1">ROUND(F17*(F43+INDIRECT("'数据-取费表'!S"&amp;$G$1))/10000,0)</f>
        <v>60</v>
      </c>
      <c r="D17" s="347" t="s">
        <v>1421</v>
      </c>
      <c r="E17" s="347" t="s">
        <v>1422</v>
      </c>
      <c r="F17" s="26">
        <f>'数据-取费表'!B35</f>
        <v>200</v>
      </c>
      <c r="G17" s="1854"/>
      <c r="H17" s="1201" t="s">
        <v>1031</v>
      </c>
      <c r="I17" s="347" t="s">
        <v>1423</v>
      </c>
      <c r="J17" s="24">
        <f ca="1">ROUND(IF(项目基本情况!B11="自然人",J6*M17/(1+'数据-取费表'!C42),J18+J19+J20),1)</f>
        <v>16.399999999999999</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20</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1471</v>
      </c>
      <c r="D19" s="140" t="s">
        <v>1430</v>
      </c>
      <c r="E19" s="1818"/>
      <c r="F19" s="26"/>
      <c r="G19" s="1851"/>
      <c r="H19" s="1201" t="s">
        <v>1032</v>
      </c>
      <c r="I19" s="347" t="s">
        <v>1431</v>
      </c>
      <c r="J19" s="24">
        <f ca="1">IF(K19="按租金收入计税",ROUND(J6*M19/(1+'数据-取费表'!C42),2),ROUND(C29*M19*0.7,2))</f>
        <v>16.350000000000001</v>
      </c>
      <c r="K19" s="1828" t="s">
        <v>1432</v>
      </c>
      <c r="L19" s="347" t="s">
        <v>1416</v>
      </c>
      <c r="M19" s="367">
        <f>IF(K19="按租金收入计税",'数据-取费表'!B51,'数据-取费表'!B50)</f>
        <v>1.2E-2</v>
      </c>
    </row>
    <row r="20" spans="1:37" s="1858" customFormat="1" ht="18" customHeight="1">
      <c r="A20" s="1201" t="s">
        <v>1035</v>
      </c>
      <c r="B20" s="347" t="s">
        <v>1433</v>
      </c>
      <c r="C20" s="24">
        <f ca="1">ROUND(C19*F20,0)</f>
        <v>29</v>
      </c>
      <c r="D20" s="369" t="s">
        <v>1434</v>
      </c>
      <c r="E20" s="347" t="s">
        <v>1416</v>
      </c>
      <c r="F20" s="367">
        <f>'数据-取费表'!B37</f>
        <v>0.02</v>
      </c>
      <c r="G20" s="1854"/>
      <c r="H20" s="1201" t="s">
        <v>1383</v>
      </c>
      <c r="I20" s="164" t="s">
        <v>1435</v>
      </c>
      <c r="J20" s="25">
        <f ca="1">ROUND(M20*M21/10000,2)</f>
        <v>0</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29.2</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71</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-46</v>
      </c>
      <c r="K25" s="1345" t="s">
        <v>1458</v>
      </c>
      <c r="L25" s="1346"/>
      <c r="M25" s="1347"/>
    </row>
    <row r="26" spans="1:37" ht="13">
      <c r="A26" s="1201" t="s">
        <v>1030</v>
      </c>
      <c r="B26" s="347" t="s">
        <v>1459</v>
      </c>
      <c r="C26" s="24">
        <f ca="1">ROUND((C19+C20)*F26,0)</f>
        <v>225</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1946</v>
      </c>
      <c r="D29" s="1342"/>
      <c r="E29" s="1340"/>
      <c r="F29" s="1343"/>
      <c r="G29" s="1854"/>
      <c r="H29" s="380" t="s">
        <v>1029</v>
      </c>
      <c r="I29" s="381" t="s">
        <v>1473</v>
      </c>
      <c r="J29" s="382">
        <f ca="1">ROUND(J26/(1+F40)^F41,0)</f>
        <v>0</v>
      </c>
      <c r="K29" s="383" t="s">
        <v>1474</v>
      </c>
      <c r="L29" s="384"/>
      <c r="M29" s="385">
        <f ca="1">INDIRECT("'数据-取费表'!k"&amp;$G$1)</f>
        <v>3000.7300000000005</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242</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198.3</v>
      </c>
      <c r="D31" s="1800" t="s">
        <v>1424</v>
      </c>
      <c r="E31" s="1798"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63.09</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135.19999999999999</v>
      </c>
      <c r="D33" s="1828" t="s">
        <v>3085</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29.2</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2.6</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11.8</v>
      </c>
      <c r="D38" s="1342" t="s">
        <v>1453</v>
      </c>
      <c r="E38" s="1340" t="s">
        <v>1449</v>
      </c>
      <c r="F38" s="1336">
        <f ca="1">INDIRECT("'数据-取费表'!Am"&amp;$G$1)</f>
        <v>0.01</v>
      </c>
      <c r="G38" s="1851"/>
      <c r="H38" s="1859"/>
      <c r="I38" s="1860"/>
      <c r="J38" s="1861"/>
      <c r="K38" s="1865"/>
      <c r="L38" s="1859"/>
      <c r="M38" s="1859"/>
    </row>
    <row r="39" spans="1:18" ht="24.65" customHeight="1" thickTop="1">
      <c r="A39" s="1329" t="s">
        <v>1027</v>
      </c>
      <c r="B39" s="1344" t="s">
        <v>1477</v>
      </c>
      <c r="C39" s="355">
        <f ca="1">C5-C30</f>
        <v>942</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18884</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29</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1029</v>
      </c>
      <c r="B43" s="381" t="s">
        <v>1481</v>
      </c>
      <c r="C43" s="382">
        <f ca="1">ROUND(C40*10000/F43,0)</f>
        <v>62931</v>
      </c>
      <c r="D43" s="383" t="s">
        <v>1482</v>
      </c>
      <c r="E43" s="384" t="s">
        <v>1483</v>
      </c>
      <c r="F43" s="385">
        <f ca="1">INDIRECT("'数据-取费表'!k"&amp;$G$1)</f>
        <v>3000.7300000000005</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4" thickBot="1">
      <c r="A46" s="1870" t="s">
        <v>1514</v>
      </c>
      <c r="C46" s="1871">
        <f ca="1">C68-C40</f>
        <v>-21679</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3086</v>
      </c>
      <c r="K47" s="1882" t="s">
        <v>1521</v>
      </c>
      <c r="L47" s="1883">
        <f ca="1">INDIRECT("'数据-取费表'!d"&amp;$G$1)</f>
        <v>40</v>
      </c>
      <c r="M47" s="1838" t="str">
        <f>IF(ISNUMBER(FIND("住宅",C1)),"住宅","非住宅")</f>
        <v>非住宅</v>
      </c>
      <c r="O47" s="1884" t="s">
        <v>1036</v>
      </c>
      <c r="P47" s="1885" t="s">
        <v>1522</v>
      </c>
      <c r="Q47" s="1886">
        <f ca="1">C40+J29</f>
        <v>18884</v>
      </c>
      <c r="R47" s="1886" t="s">
        <v>1523</v>
      </c>
    </row>
    <row r="48" spans="1:18" s="1842" customFormat="1" ht="43.5" thickBot="1">
      <c r="A48" s="1360" t="s">
        <v>1131</v>
      </c>
      <c r="B48" s="345" t="s">
        <v>1395</v>
      </c>
      <c r="C48" s="1817">
        <f ca="1">C49+C53+C55</f>
        <v>0</v>
      </c>
      <c r="D48" s="1362"/>
      <c r="E48" s="1363"/>
      <c r="F48" s="1181"/>
      <c r="G48" s="792"/>
      <c r="H48" s="793"/>
      <c r="I48" s="1887" t="s">
        <v>1524</v>
      </c>
      <c r="J48" s="1888" t="s">
        <v>3087</v>
      </c>
      <c r="K48" s="1889" t="s">
        <v>1525</v>
      </c>
      <c r="L48" s="1890">
        <f ca="1">INDIRECT("'数据-取费表'!f"&amp;$G$1)</f>
        <v>29</v>
      </c>
      <c r="O48" s="1884" t="s">
        <v>1037</v>
      </c>
      <c r="P48" s="1885" t="s">
        <v>1526</v>
      </c>
      <c r="Q48" s="1886" t="str">
        <f ca="1">J60</f>
        <v>0</v>
      </c>
      <c r="R48" s="1886" t="s">
        <v>1527</v>
      </c>
    </row>
    <row r="49" spans="1:18" s="1842" customFormat="1" ht="13.5" thickBot="1">
      <c r="A49" s="1194" t="s">
        <v>1132</v>
      </c>
      <c r="B49" s="1829" t="s">
        <v>1484</v>
      </c>
      <c r="C49" s="1364">
        <f ca="1">ROUND(F49*F51*F50*(1-F52)/10000,0)</f>
        <v>0</v>
      </c>
      <c r="D49" s="1276" t="s">
        <v>3029</v>
      </c>
      <c r="E49" s="1830" t="s">
        <v>1485</v>
      </c>
      <c r="F49" s="1281"/>
      <c r="G49" s="1891"/>
      <c r="H49" s="793"/>
      <c r="I49" s="1887" t="s">
        <v>1528</v>
      </c>
      <c r="J49" s="1892">
        <v>2011</v>
      </c>
      <c r="K49" s="1889" t="s">
        <v>1529</v>
      </c>
      <c r="L49" s="1893"/>
      <c r="O49" s="1894" t="s">
        <v>1038</v>
      </c>
      <c r="P49" s="1885" t="s">
        <v>1530</v>
      </c>
      <c r="Q49" s="1886">
        <f ca="1">C29</f>
        <v>1946</v>
      </c>
      <c r="R49" s="1886" t="s">
        <v>1523</v>
      </c>
    </row>
    <row r="50" spans="1:18" s="1842" customFormat="1" ht="13.5" thickBot="1">
      <c r="A50" s="1195"/>
      <c r="B50" s="1198"/>
      <c r="C50" s="1368"/>
      <c r="D50" s="1172"/>
      <c r="E50" s="1277" t="s">
        <v>1400</v>
      </c>
      <c r="F50" s="1278">
        <f ca="1">F7</f>
        <v>3000.7300000000005</v>
      </c>
      <c r="H50" s="793"/>
      <c r="I50" s="1887" t="s">
        <v>1531</v>
      </c>
      <c r="J50" s="1895">
        <f>SUMPRODUCT((I63:I65=J47)*(J62:L62=J48)*(J63:L65))</f>
        <v>60</v>
      </c>
      <c r="K50" s="1889" t="s">
        <v>1532</v>
      </c>
      <c r="L50" s="1893"/>
      <c r="M50" s="1896"/>
      <c r="O50" s="1894" t="s">
        <v>1039</v>
      </c>
      <c r="P50" s="1885" t="s">
        <v>1533</v>
      </c>
      <c r="Q50" s="1897" t="e">
        <f ca="1">J58</f>
        <v>#VALUE!</v>
      </c>
      <c r="R50" s="1886"/>
    </row>
    <row r="51" spans="1:18" s="1842" customFormat="1" ht="13.5" thickBot="1">
      <c r="A51" s="1196"/>
      <c r="B51" s="1198"/>
      <c r="C51" s="1199"/>
      <c r="D51" s="1172"/>
      <c r="E51" s="1200" t="s">
        <v>1401</v>
      </c>
      <c r="F51" s="348">
        <f ca="1">F8</f>
        <v>365</v>
      </c>
      <c r="I51" s="1898" t="s">
        <v>1534</v>
      </c>
      <c r="J51" s="1899">
        <f>IF(J49="",J50,J49+J50-YEAR('数据-取费表'!B2))</f>
        <v>51</v>
      </c>
      <c r="K51" s="1900" t="s">
        <v>1535</v>
      </c>
      <c r="L51" s="1901">
        <f ca="1">ROUND(-PV(INDIRECT("'数据-取费表'!h"&amp;$G$1),L48,(C39-C13*C76),0),0)</f>
        <v>12009</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29</v>
      </c>
      <c r="R52" s="1886" t="s">
        <v>1540</v>
      </c>
    </row>
    <row r="53" spans="1:18" s="1842" customFormat="1" ht="26.5" thickBot="1">
      <c r="A53" s="1405" t="s">
        <v>1133</v>
      </c>
      <c r="B53" s="1831" t="s">
        <v>1403</v>
      </c>
      <c r="C53" s="361">
        <f ca="1">ROUND(IF(F53="押一",C49/12*F11,IF(F53="押二",C49/12*2*F11,IF(F53="押三",C49/12*3*F11,C54*F11))),0)</f>
        <v>0</v>
      </c>
      <c r="D53" s="1824" t="s">
        <v>3036</v>
      </c>
      <c r="E53" s="358" t="s">
        <v>1404</v>
      </c>
      <c r="F53" s="1366"/>
      <c r="I53" s="1905" t="s">
        <v>1541</v>
      </c>
      <c r="J53" s="2952">
        <f ca="1">IF(M47="住宅",IF(D1="——",MAX(J51,L48),MAX(J51,L48-'数据-取费表'!B24)),IF(D1="——",MIN(J51,L48),MIN(J51,L48-'数据-取费表'!B24)))</f>
        <v>29</v>
      </c>
      <c r="K53" s="3179" t="s">
        <v>1542</v>
      </c>
      <c r="L53" s="3180"/>
      <c r="O53" s="1884" t="s">
        <v>1042</v>
      </c>
      <c r="P53" s="1885" t="s">
        <v>1543</v>
      </c>
      <c r="Q53" s="1886">
        <f ca="1">Q47+Q48</f>
        <v>18884</v>
      </c>
      <c r="R53" s="1886" t="s">
        <v>1043</v>
      </c>
    </row>
    <row r="54" spans="1:18" s="1842" customFormat="1" ht="26.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40" thickTop="1" thickBot="1">
      <c r="A56" s="1176">
        <v>2</v>
      </c>
      <c r="B56" s="1177" t="s">
        <v>1408</v>
      </c>
      <c r="C56" s="276">
        <f ca="1">C13</f>
        <v>1751</v>
      </c>
      <c r="D56" s="1913"/>
      <c r="E56" s="1914"/>
      <c r="F56" s="1906"/>
      <c r="I56" s="1915" t="s">
        <v>1548</v>
      </c>
      <c r="J56" s="1916" t="s">
        <v>3079</v>
      </c>
      <c r="K56" s="1887" t="s">
        <v>1549</v>
      </c>
      <c r="L56" s="1890" t="str">
        <f ca="1">IF(L48&lt;J51,"——",L48-J53)</f>
        <v>——</v>
      </c>
      <c r="O56" s="1884" t="s">
        <v>1036</v>
      </c>
      <c r="P56" s="1885" t="s">
        <v>1522</v>
      </c>
      <c r="Q56" s="1886">
        <f ca="1">C40+J29</f>
        <v>18884</v>
      </c>
      <c r="R56" s="1886" t="s">
        <v>1523</v>
      </c>
    </row>
    <row r="57" spans="1:18" s="1842" customFormat="1" ht="26.5" thickBot="1">
      <c r="A57" s="1917"/>
      <c r="B57" s="1169" t="s">
        <v>1472</v>
      </c>
      <c r="C57" s="282">
        <f ca="1">C29</f>
        <v>1946</v>
      </c>
      <c r="D57" s="1918"/>
      <c r="E57" s="1919"/>
      <c r="F57" s="1920"/>
      <c r="I57" s="1921" t="s">
        <v>1550</v>
      </c>
      <c r="J57" s="1922" t="str">
        <f ca="1">IF(OR(M47="住宅",J51&lt;L48,J56="是"),"——",J51-L48)</f>
        <v>——</v>
      </c>
      <c r="K57" s="1887" t="s">
        <v>1551</v>
      </c>
      <c r="L57" s="1890" t="str">
        <f ca="1">IF(L48&lt;J51,"——",IF(L55="比较法",L49,IF(L55="基准地价",L50,L51)))</f>
        <v>——</v>
      </c>
      <c r="O57" s="1884" t="s">
        <v>1037</v>
      </c>
      <c r="P57" s="1885" t="s">
        <v>1552</v>
      </c>
      <c r="Q57" s="1886">
        <f ca="1">L60</f>
        <v>0</v>
      </c>
      <c r="R57" s="1886" t="s">
        <v>1553</v>
      </c>
    </row>
    <row r="58" spans="1:18" s="1842" customFormat="1" ht="26.5" thickBot="1">
      <c r="A58" s="360" t="s">
        <v>1026</v>
      </c>
      <c r="B58" s="1177" t="s">
        <v>1418</v>
      </c>
      <c r="C58" s="361">
        <f ca="1">ROUND(C59+C64+C65+C66,0)</f>
        <v>195</v>
      </c>
      <c r="D58" s="1179" t="s">
        <v>1419</v>
      </c>
      <c r="E58" s="1180"/>
      <c r="F58" s="1181"/>
      <c r="I58" s="1921" t="s">
        <v>1554</v>
      </c>
      <c r="J58" s="1923" t="e">
        <f ca="1">IF(J55&lt;0.4,0.4,J55)</f>
        <v>#VALUE!</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ROUND(IF(项目基本情况!B11="自然人",C48*F59,C60+C61+C62),1)</f>
        <v>163.5</v>
      </c>
      <c r="D59" s="1182" t="s">
        <v>1424</v>
      </c>
      <c r="E59" s="1183" t="s">
        <v>1425</v>
      </c>
      <c r="F59" s="368">
        <f ca="1">IF(项目基本情况!B11="企业","",IF(INDIRECT("'数据-取费表'!c"&amp;$G$1)="住宅",5%,IF(F49*F50*F51/12/(1+'数据-取费表'!C42)&gt;20000,12%,7%)))</f>
        <v>7.0000000000000007E-2</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163.46</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3</v>
      </c>
      <c r="I62" s="1928" t="s">
        <v>1564</v>
      </c>
      <c r="J62" s="1929" t="s">
        <v>1565</v>
      </c>
      <c r="K62" s="1929" t="s">
        <v>1566</v>
      </c>
      <c r="L62" s="1929" t="s">
        <v>1567</v>
      </c>
      <c r="M62" s="1930" t="s">
        <v>1568</v>
      </c>
      <c r="O62" s="1884" t="s">
        <v>1042</v>
      </c>
      <c r="P62" s="1885" t="s">
        <v>1569</v>
      </c>
      <c r="Q62" s="1886">
        <f ca="1">Q56+Q57</f>
        <v>18884</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29.2</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2.6</v>
      </c>
      <c r="D65" s="1183" t="s">
        <v>1448</v>
      </c>
      <c r="E65" s="1169" t="s">
        <v>1449</v>
      </c>
      <c r="F65" s="376">
        <f t="shared" ca="1" si="0"/>
        <v>1.5E-3</v>
      </c>
      <c r="I65" s="1928" t="s">
        <v>1573</v>
      </c>
      <c r="J65" s="1929">
        <v>40</v>
      </c>
      <c r="K65" s="1929">
        <v>30</v>
      </c>
      <c r="L65" s="1929">
        <v>50</v>
      </c>
      <c r="M65" s="1931">
        <v>0.02</v>
      </c>
      <c r="O65" s="1884" t="s">
        <v>1036</v>
      </c>
      <c r="P65" s="1885" t="s">
        <v>1574</v>
      </c>
      <c r="Q65" s="1886">
        <f ca="1">C40+J29</f>
        <v>18884</v>
      </c>
      <c r="R65" s="1886" t="s">
        <v>1523</v>
      </c>
    </row>
    <row r="66" spans="1:18" s="1842" customFormat="1" ht="16"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26.5" thickBot="1">
      <c r="A67" s="1176" t="s">
        <v>1027</v>
      </c>
      <c r="B67" s="1186" t="s">
        <v>1457</v>
      </c>
      <c r="C67" s="361">
        <f ca="1">C48-C58</f>
        <v>-195</v>
      </c>
      <c r="D67" s="1182" t="s">
        <v>1458</v>
      </c>
      <c r="E67" s="1187"/>
      <c r="F67" s="1188"/>
      <c r="O67" s="1894" t="s">
        <v>1038</v>
      </c>
      <c r="P67" s="1885" t="s">
        <v>1556</v>
      </c>
      <c r="Q67" s="1932">
        <f ca="1">L51</f>
        <v>12009</v>
      </c>
      <c r="R67" s="1886" t="s">
        <v>1576</v>
      </c>
    </row>
    <row r="68" spans="1:18" s="1842" customFormat="1" ht="16" thickBot="1">
      <c r="A68" s="1166" t="s">
        <v>1028</v>
      </c>
      <c r="B68" s="1167" t="s">
        <v>1479</v>
      </c>
      <c r="C68" s="346">
        <f ca="1">ROUND(C67*(1-((1+F70)/(1+F68))^F69)/(F68-F70),0)</f>
        <v>-2795</v>
      </c>
      <c r="D68" s="1184" t="s">
        <v>1463</v>
      </c>
      <c r="E68" s="1169" t="s">
        <v>1464</v>
      </c>
      <c r="F68" s="357">
        <f ca="1">F40</f>
        <v>5.5E-2</v>
      </c>
      <c r="O68" s="1894" t="s">
        <v>1039</v>
      </c>
      <c r="P68" s="1933" t="s">
        <v>1577</v>
      </c>
      <c r="Q68" s="1886">
        <f ca="1">ROUND(Q69-Q70*Q71,0)</f>
        <v>793</v>
      </c>
      <c r="R68" s="1886" t="s">
        <v>1047</v>
      </c>
    </row>
    <row r="69" spans="1:18" s="1842" customFormat="1" ht="13.5" thickBot="1">
      <c r="A69" s="1170"/>
      <c r="B69" s="1171"/>
      <c r="C69" s="351"/>
      <c r="D69" s="1189" t="s">
        <v>1467</v>
      </c>
      <c r="E69" s="1169" t="s">
        <v>1468</v>
      </c>
      <c r="F69" s="379">
        <f ca="1">F41</f>
        <v>29</v>
      </c>
      <c r="O69" s="1894" t="s">
        <v>1044</v>
      </c>
      <c r="P69" s="1933" t="s">
        <v>1578</v>
      </c>
      <c r="Q69" s="1886">
        <f ca="1">C39</f>
        <v>942</v>
      </c>
      <c r="R69" s="1886" t="s">
        <v>1523</v>
      </c>
    </row>
    <row r="70" spans="1:18" s="1842" customFormat="1" ht="13.5" thickBot="1">
      <c r="A70" s="1173"/>
      <c r="B70" s="1174"/>
      <c r="C70" s="355"/>
      <c r="D70" s="1185"/>
      <c r="E70" s="1169" t="s">
        <v>1471</v>
      </c>
      <c r="F70" s="1275"/>
      <c r="O70" s="1894" t="s">
        <v>1045</v>
      </c>
      <c r="P70" s="1933" t="s">
        <v>1579</v>
      </c>
      <c r="Q70" s="1886">
        <f ca="1">C13</f>
        <v>1751</v>
      </c>
      <c r="R70" s="1886" t="s">
        <v>1523</v>
      </c>
    </row>
    <row r="71" spans="1:18" s="1842" customFormat="1" ht="13.5" thickBot="1">
      <c r="A71" s="1190" t="s">
        <v>1029</v>
      </c>
      <c r="B71" s="1191" t="s">
        <v>1481</v>
      </c>
      <c r="C71" s="382">
        <f ca="1">ROUND(C68*10000/F71,0)</f>
        <v>-9314</v>
      </c>
      <c r="D71" s="1192" t="s">
        <v>1482</v>
      </c>
      <c r="E71" s="1193" t="s">
        <v>1483</v>
      </c>
      <c r="F71" s="385">
        <f ca="1">F43</f>
        <v>3000.7300000000005</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149</v>
      </c>
      <c r="D75" s="1842"/>
      <c r="E75" s="1842"/>
      <c r="F75" s="1842"/>
      <c r="K75" s="1868"/>
      <c r="L75" s="1842"/>
      <c r="O75" s="1884" t="s">
        <v>1042</v>
      </c>
      <c r="P75" s="1885" t="s">
        <v>1543</v>
      </c>
      <c r="Q75" s="1886">
        <f ca="1">Q65+Q66</f>
        <v>18884</v>
      </c>
      <c r="R75" s="1886" t="s">
        <v>1043</v>
      </c>
    </row>
    <row r="76" spans="1:18" ht="13">
      <c r="B76" s="388" t="s">
        <v>1501</v>
      </c>
      <c r="C76" s="389">
        <f ca="1">INDIRECT("'数据-取费表'!j"&amp;$G$1)</f>
        <v>8.5000000000000006E-2</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f ca="1">1-C80</f>
        <v>0.84199999999999997</v>
      </c>
    </row>
    <row r="80" spans="1:18" ht="13">
      <c r="B80" s="386" t="s">
        <v>1505</v>
      </c>
      <c r="C80" s="318">
        <f ca="1">ROUND(C75/C39,3)</f>
        <v>0.158</v>
      </c>
    </row>
    <row r="81" spans="2:3" ht="13.5">
      <c r="B81" s="314" t="s">
        <v>1506</v>
      </c>
      <c r="C81" s="282"/>
    </row>
    <row r="82" spans="2:3" ht="13">
      <c r="B82" s="317" t="s">
        <v>1507</v>
      </c>
      <c r="C82" s="319">
        <f ca="1">1-C83</f>
        <v>0.90700000000000003</v>
      </c>
    </row>
    <row r="83" spans="2:3" ht="13">
      <c r="B83" s="317" t="s">
        <v>1508</v>
      </c>
      <c r="C83" s="318">
        <f ca="1">ROUND(C13/C40,3)</f>
        <v>9.2999999999999999E-2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topLeftCell="A22" zoomScale="70" zoomScaleNormal="70" zoomScaleSheetLayoutView="90" workbookViewId="0">
      <selection activeCell="J53" sqref="J53"/>
    </sheetView>
  </sheetViews>
  <sheetFormatPr defaultColWidth="9" defaultRowHeight="12.5"/>
  <cols>
    <col min="1" max="1" width="9" style="302" customWidth="1"/>
    <col min="2" max="2" width="20.6328125" style="707" customWidth="1"/>
    <col min="3" max="3" width="11.90625" style="707" customWidth="1"/>
    <col min="4" max="4" width="40.453125" style="302" customWidth="1"/>
    <col min="5" max="5" width="15.81640625" style="302" customWidth="1"/>
    <col min="6" max="6" width="10.6328125" style="302" customWidth="1"/>
    <col min="7" max="7" width="4.90625" style="302" customWidth="1"/>
    <col min="8" max="8" width="8.453125" style="302" customWidth="1"/>
    <col min="9" max="9" width="21.1796875" style="302" customWidth="1"/>
    <col min="10" max="10" width="12.1796875" style="302" customWidth="1"/>
    <col min="11" max="11" width="40.08984375" style="1934" customWidth="1"/>
    <col min="12" max="12" width="16.36328125" style="302" customWidth="1"/>
    <col min="13" max="13" width="13" style="302" customWidth="1"/>
    <col min="14" max="14" width="13.81640625" style="1842" customWidth="1"/>
    <col min="15" max="15" width="5.08984375" style="1842" customWidth="1"/>
    <col min="16" max="16" width="25.81640625" style="1842" customWidth="1"/>
    <col min="17" max="17" width="13.81640625" style="1842" customWidth="1"/>
    <col min="18" max="18" width="20.453125" style="1842" customWidth="1"/>
    <col min="19" max="19" width="13.179687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81" t="s">
        <v>1397</v>
      </c>
      <c r="C6" s="1296">
        <f ca="1">ROUND(F6*F8*F7*(1-F9),0)</f>
        <v>0</v>
      </c>
      <c r="D6" s="164" t="s">
        <v>3025</v>
      </c>
      <c r="E6" s="347" t="s">
        <v>1399</v>
      </c>
      <c r="F6" s="348">
        <f ca="1">INDIRECT("'数据-取费表'!u"&amp;$G$1)</f>
        <v>0</v>
      </c>
      <c r="G6" s="1851"/>
      <c r="H6" s="1291" t="s">
        <v>1031</v>
      </c>
      <c r="I6" s="3181" t="s">
        <v>1397</v>
      </c>
      <c r="J6" s="346">
        <f ca="1">ROUND(M6*M8*M7*(1-M9),0)</f>
        <v>0</v>
      </c>
      <c r="K6" s="1834" t="s">
        <v>3026</v>
      </c>
      <c r="L6" s="347" t="s">
        <v>1399</v>
      </c>
      <c r="M6" s="348">
        <f ca="1">INDIRECT("'数据-取费表'!z"&amp;$G$1)</f>
        <v>0</v>
      </c>
    </row>
    <row r="7" spans="1:37" ht="18" customHeight="1">
      <c r="A7" s="1295"/>
      <c r="B7" s="3182"/>
      <c r="C7" s="1297"/>
      <c r="D7" s="352"/>
      <c r="E7" s="1298" t="s">
        <v>1400</v>
      </c>
      <c r="F7" s="348">
        <f ca="1">IF(INDIRECT("'数据-取费表'!ah"&amp;$G$1)="",INDIRECT("'数据-取费表'!k"&amp;$G$1),INDIRECT("'数据-取费表'!ah"&amp;$G$1))</f>
        <v>0</v>
      </c>
      <c r="G7" s="1851"/>
      <c r="H7" s="349"/>
      <c r="I7" s="3182"/>
      <c r="J7" s="351"/>
      <c r="K7" s="352"/>
      <c r="L7" s="347" t="s">
        <v>1400</v>
      </c>
      <c r="M7" s="348">
        <f ca="1">F7</f>
        <v>0</v>
      </c>
    </row>
    <row r="8" spans="1:37" ht="18" customHeight="1">
      <c r="A8" s="349"/>
      <c r="B8" s="3182"/>
      <c r="C8" s="351"/>
      <c r="D8" s="352"/>
      <c r="E8" s="347" t="s">
        <v>1401</v>
      </c>
      <c r="F8" s="348">
        <f ca="1">INDIRECT("'数据-取费表'!ai"&amp;$G$1)</f>
        <v>0</v>
      </c>
      <c r="G8" s="1851"/>
      <c r="H8" s="349"/>
      <c r="I8" s="3182"/>
      <c r="J8" s="351"/>
      <c r="K8" s="352"/>
      <c r="L8" s="347" t="s">
        <v>1401</v>
      </c>
      <c r="M8" s="348">
        <f ca="1">INDIRECT("'数据-取费表'!ai"&amp;$G$1)</f>
        <v>0</v>
      </c>
    </row>
    <row r="9" spans="1:37" ht="18" customHeight="1">
      <c r="A9" s="349"/>
      <c r="B9" s="3183"/>
      <c r="C9" s="351"/>
      <c r="D9" s="352"/>
      <c r="E9" s="347" t="s">
        <v>1402</v>
      </c>
      <c r="F9" s="357">
        <f ca="1">INDIRECT("'数据-取费表'!w"&amp;$G$1)</f>
        <v>0</v>
      </c>
      <c r="G9" s="1851"/>
      <c r="H9" s="349"/>
      <c r="I9" s="3183"/>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3036</v>
      </c>
      <c r="E10" s="358" t="s">
        <v>1404</v>
      </c>
      <c r="F10" s="1366"/>
      <c r="G10" s="1851"/>
      <c r="H10" s="1291" t="s">
        <v>1035</v>
      </c>
      <c r="I10" s="1823" t="s">
        <v>1403</v>
      </c>
      <c r="J10" s="346">
        <f ca="1">ROUND(IF(M10="押一",J6/12*M11,IF(M10="押二",J6/12*2*M11,IF(M10="押三",J6/12*3*M11,J11*M11))),0)</f>
        <v>0</v>
      </c>
      <c r="K10" s="1835" t="s">
        <v>3038</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3</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5"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4"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43.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3039</v>
      </c>
      <c r="E53" s="358" t="s">
        <v>1404</v>
      </c>
      <c r="F53" s="1366"/>
      <c r="I53" s="1905" t="s">
        <v>1541</v>
      </c>
      <c r="J53" s="2952">
        <f ca="1">IF(M47="住宅",IF(D1="——",MAX(J51,L48),MAX(J51,L48-'数据-取费表'!B24)),IF(D1="——",MIN(J51,L48),MIN(J51,L48-'数据-取费表'!B24)))</f>
        <v>0</v>
      </c>
      <c r="K53" s="3179" t="s">
        <v>1542</v>
      </c>
      <c r="L53" s="3180"/>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6.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6.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6.5" thickBot="1">
      <c r="A59" s="1201" t="s">
        <v>1031</v>
      </c>
      <c r="B59" s="1169" t="s">
        <v>1423</v>
      </c>
      <c r="C59" s="24">
        <f ca="1">ROUND(IF(项目基本情况!B11="自然人",C48*F59,C60+C61+C62),0)</f>
        <v>0</v>
      </c>
      <c r="D59" s="1182" t="s">
        <v>1424</v>
      </c>
      <c r="E59" s="1183" t="s">
        <v>1425</v>
      </c>
      <c r="F59" s="368">
        <f ca="1">IF(项目基本情况!B11="企业","",IF(INDIRECT("'数据-取费表'!c"&amp;$G$1)="住宅",5%,IF(F49*F50*F51/12/(1+'数据-取费表'!C42)&gt;20000,12%,7%)))</f>
        <v>7.0000000000000007E-2</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3</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2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ht="13">
      <c r="B76" s="388" t="s">
        <v>1501</v>
      </c>
      <c r="C76" s="389">
        <f ca="1">INDIRECT("'数据-取费表'!j"&amp;$G$1)</f>
        <v>0</v>
      </c>
      <c r="I76" s="1842"/>
      <c r="J76" s="1842"/>
      <c r="K76" s="1868"/>
      <c r="L76" s="1842"/>
    </row>
    <row r="77" spans="1:18" ht="13.5">
      <c r="B77" s="390" t="s">
        <v>1502</v>
      </c>
      <c r="C77" s="391"/>
      <c r="I77" s="1842"/>
      <c r="J77" s="1842"/>
      <c r="K77" s="1868"/>
      <c r="L77" s="1842"/>
    </row>
    <row r="78" spans="1:18" ht="13.5">
      <c r="B78" s="314" t="s">
        <v>1503</v>
      </c>
      <c r="C78" s="392"/>
    </row>
    <row r="79" spans="1:18" ht="13">
      <c r="B79" s="386" t="s">
        <v>1504</v>
      </c>
      <c r="C79" s="318" t="e">
        <f ca="1">1-C80</f>
        <v>#DIV/0!</v>
      </c>
    </row>
    <row r="80" spans="1:18" ht="13">
      <c r="B80" s="386" t="s">
        <v>1505</v>
      </c>
      <c r="C80" s="318" t="e">
        <f ca="1">ROUND(C75/C39,3)</f>
        <v>#DIV/0!</v>
      </c>
    </row>
    <row r="81" spans="2:3" ht="13.5">
      <c r="B81" s="314" t="s">
        <v>1506</v>
      </c>
      <c r="C81" s="282"/>
    </row>
    <row r="82" spans="2:3" ht="13">
      <c r="B82" s="317" t="s">
        <v>1507</v>
      </c>
      <c r="C82" s="319" t="e">
        <f ca="1">1-C83</f>
        <v>#DIV/0!</v>
      </c>
    </row>
    <row r="83" spans="2:3" ht="1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F13"/>
  <sheetViews>
    <sheetView workbookViewId="0">
      <selection activeCell="F19" sqref="F19"/>
    </sheetView>
  </sheetViews>
  <sheetFormatPr defaultColWidth="9" defaultRowHeight="14"/>
  <cols>
    <col min="1" max="1" width="23.6328125" style="1944" customWidth="1"/>
    <col min="2" max="2" width="12" style="1944" customWidth="1"/>
    <col min="3" max="3" width="9" style="1944"/>
    <col min="4" max="4" width="14.08984375" style="1944" customWidth="1"/>
    <col min="5" max="5" width="9" style="1944"/>
    <col min="6" max="6" width="12.90625" style="1944" customWidth="1"/>
    <col min="7" max="16384" width="9" style="1944"/>
  </cols>
  <sheetData>
    <row r="1" spans="1:6" ht="21">
      <c r="A1" s="2563" t="s">
        <v>2525</v>
      </c>
      <c r="B1" s="2564"/>
      <c r="C1" s="2564"/>
      <c r="D1" s="2564"/>
      <c r="E1" s="2565"/>
    </row>
    <row r="2" spans="1:6" ht="15.5">
      <c r="A2" s="2566" t="s">
        <v>2326</v>
      </c>
      <c r="B2" s="2567">
        <f ca="1">SUMIF(B6:B13,"&lt;&gt;#ref!",B6:B13)</f>
        <v>18884</v>
      </c>
      <c r="C2" s="2568" t="s">
        <v>2518</v>
      </c>
      <c r="D2" s="2569" t="s">
        <v>2519</v>
      </c>
      <c r="E2" s="2570">
        <f>SUM(E6:E13)</f>
        <v>3000.7300000000005</v>
      </c>
    </row>
    <row r="3" spans="1:6" ht="15.5">
      <c r="A3" s="2566" t="s">
        <v>1389</v>
      </c>
      <c r="B3" s="2567">
        <f ca="1">ROUND(B2*10000/E2,0)</f>
        <v>62931</v>
      </c>
      <c r="C3" s="2568" t="s">
        <v>2526</v>
      </c>
      <c r="D3" s="2571"/>
      <c r="E3" s="2572"/>
    </row>
    <row r="4" spans="1:6" ht="15.5">
      <c r="A4" s="2573"/>
      <c r="B4" s="2571"/>
      <c r="C4" s="2571"/>
      <c r="D4" s="2571"/>
      <c r="E4" s="2572"/>
    </row>
    <row r="5" spans="1:6">
      <c r="A5" s="2574" t="s">
        <v>2520</v>
      </c>
      <c r="B5" s="3184" t="s">
        <v>2521</v>
      </c>
      <c r="C5" s="3184"/>
      <c r="D5" s="2575"/>
      <c r="E5" s="2576" t="s">
        <v>2522</v>
      </c>
      <c r="F5" s="2577" t="s">
        <v>2523</v>
      </c>
    </row>
    <row r="6" spans="1:6">
      <c r="A6" s="2578" t="str">
        <f>'数据-取费表'!AN6</f>
        <v>收益法</v>
      </c>
      <c r="B6" s="2577">
        <f ca="1">IF(F6="是",'数据-取费表'!AO6,0)</f>
        <v>18884</v>
      </c>
      <c r="C6" s="2568" t="s">
        <v>2518</v>
      </c>
      <c r="D6" s="2571"/>
      <c r="E6" s="2579">
        <f>IF(OR(A6=0,F6="否"),0,'数据-取费表'!K6+'数据-取费表'!S6)</f>
        <v>3000.7300000000005</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4.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4" type="noConversion"/>
  <dataValidations count="1">
    <dataValidation type="list" allowBlank="1" showInputMessage="1" showErrorMessage="1" sqref="F6:F13" xr:uid="{00000000-0002-0000-1700-000000000000}">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workbookViewId="0">
      <selection activeCell="B6" sqref="B6:C6"/>
    </sheetView>
  </sheetViews>
  <sheetFormatPr defaultRowHeight="14"/>
  <cols>
    <col min="1" max="1" width="10.453125" customWidth="1"/>
    <col min="2" max="2" width="12.90625" customWidth="1"/>
    <col min="3" max="3" width="8.81640625" customWidth="1"/>
  </cols>
  <sheetData>
    <row r="1" spans="1:9" ht="15">
      <c r="A1" s="3185" t="s">
        <v>1072</v>
      </c>
      <c r="B1" s="3186"/>
      <c r="C1" s="3187"/>
      <c r="D1" s="3188">
        <f>SUM(I10,I15,I20,I21,I23)</f>
        <v>0</v>
      </c>
      <c r="E1" s="3188"/>
      <c r="F1" s="3188"/>
      <c r="G1" s="3188"/>
      <c r="H1" s="3188"/>
      <c r="I1" s="3189"/>
    </row>
    <row r="2" spans="1:9">
      <c r="A2" s="3190" t="s">
        <v>1073</v>
      </c>
      <c r="B2" s="3191" t="s">
        <v>1074</v>
      </c>
      <c r="C2" s="3191"/>
      <c r="D2" s="1301" t="s">
        <v>1075</v>
      </c>
      <c r="E2" s="1301" t="s">
        <v>1076</v>
      </c>
      <c r="F2" s="1301" t="s">
        <v>1077</v>
      </c>
      <c r="G2" s="1301" t="s">
        <v>1078</v>
      </c>
      <c r="H2" s="1301" t="s">
        <v>1079</v>
      </c>
      <c r="I2" s="1302" t="s">
        <v>1080</v>
      </c>
    </row>
    <row r="3" spans="1:9">
      <c r="A3" s="3190"/>
      <c r="B3" s="3191" t="s">
        <v>1081</v>
      </c>
      <c r="C3" s="3191"/>
      <c r="D3" s="1303"/>
      <c r="E3" s="1301"/>
      <c r="F3" s="1304"/>
      <c r="G3" s="1304"/>
      <c r="H3" s="1305"/>
      <c r="I3" s="1306">
        <f>ROUND(D3*E3*F3*G3*H3/10000,0)</f>
        <v>0</v>
      </c>
    </row>
    <row r="4" spans="1:9">
      <c r="A4" s="3190"/>
      <c r="B4" s="3191" t="s">
        <v>1082</v>
      </c>
      <c r="C4" s="3191"/>
      <c r="D4" s="1303"/>
      <c r="E4" s="1301"/>
      <c r="F4" s="1304"/>
      <c r="G4" s="1304"/>
      <c r="H4" s="1305"/>
      <c r="I4" s="1306">
        <f t="shared" ref="I4:I9" si="0">ROUND(D4*E4*F4*G4*H4/10000,0)</f>
        <v>0</v>
      </c>
    </row>
    <row r="5" spans="1:9">
      <c r="A5" s="3190"/>
      <c r="B5" s="3191" t="s">
        <v>1083</v>
      </c>
      <c r="C5" s="3191"/>
      <c r="D5" s="1303"/>
      <c r="E5" s="1301"/>
      <c r="F5" s="1304"/>
      <c r="G5" s="1304"/>
      <c r="H5" s="1305"/>
      <c r="I5" s="1306">
        <f t="shared" si="0"/>
        <v>0</v>
      </c>
    </row>
    <row r="6" spans="1:9">
      <c r="A6" s="3190"/>
      <c r="B6" s="3191" t="s">
        <v>1084</v>
      </c>
      <c r="C6" s="3191"/>
      <c r="D6" s="1303"/>
      <c r="E6" s="1301"/>
      <c r="F6" s="1304"/>
      <c r="G6" s="1304"/>
      <c r="H6" s="1305"/>
      <c r="I6" s="1306">
        <f t="shared" si="0"/>
        <v>0</v>
      </c>
    </row>
    <row r="7" spans="1:9">
      <c r="A7" s="3190"/>
      <c r="B7" s="3191" t="s">
        <v>1085</v>
      </c>
      <c r="C7" s="3191"/>
      <c r="D7" s="1303"/>
      <c r="E7" s="1301"/>
      <c r="F7" s="1304"/>
      <c r="G7" s="1304"/>
      <c r="H7" s="1305"/>
      <c r="I7" s="1306">
        <f t="shared" si="0"/>
        <v>0</v>
      </c>
    </row>
    <row r="8" spans="1:9">
      <c r="A8" s="3190"/>
      <c r="B8" s="3191" t="s">
        <v>1086</v>
      </c>
      <c r="C8" s="3191"/>
      <c r="D8" s="1303"/>
      <c r="E8" s="1301"/>
      <c r="F8" s="1304"/>
      <c r="G8" s="1304"/>
      <c r="H8" s="1305"/>
      <c r="I8" s="1306">
        <f t="shared" si="0"/>
        <v>0</v>
      </c>
    </row>
    <row r="9" spans="1:9">
      <c r="A9" s="3190"/>
      <c r="B9" s="3191" t="s">
        <v>1087</v>
      </c>
      <c r="C9" s="3191"/>
      <c r="D9" s="1303"/>
      <c r="E9" s="1301"/>
      <c r="F9" s="1304"/>
      <c r="G9" s="1304"/>
      <c r="H9" s="1305"/>
      <c r="I9" s="1306">
        <f t="shared" si="0"/>
        <v>0</v>
      </c>
    </row>
    <row r="10" spans="1:9">
      <c r="A10" s="3190"/>
      <c r="B10" s="3192" t="s">
        <v>1088</v>
      </c>
      <c r="C10" s="3192"/>
      <c r="D10" s="1307"/>
      <c r="E10" s="1307" t="e">
        <f>ROUND(D1*10000/D10/H9,0)</f>
        <v>#DIV/0!</v>
      </c>
      <c r="F10" s="1308"/>
      <c r="G10" s="1308"/>
      <c r="H10" s="1309"/>
      <c r="I10" s="1310">
        <f>SUM(I3:I9)</f>
        <v>0</v>
      </c>
    </row>
    <row r="11" spans="1:9" ht="15">
      <c r="A11" s="3190" t="s">
        <v>1089</v>
      </c>
      <c r="B11" s="3191" t="s">
        <v>1090</v>
      </c>
      <c r="C11" s="3191"/>
      <c r="D11" s="1303" t="s">
        <v>1091</v>
      </c>
      <c r="E11" s="1303" t="s">
        <v>1092</v>
      </c>
      <c r="F11" s="1304" t="s">
        <v>1093</v>
      </c>
      <c r="G11" s="1304" t="s">
        <v>1079</v>
      </c>
      <c r="H11" s="1311" t="s">
        <v>1094</v>
      </c>
      <c r="I11" s="1302" t="s">
        <v>1080</v>
      </c>
    </row>
    <row r="12" spans="1:9">
      <c r="A12" s="3190"/>
      <c r="B12" s="3191" t="s">
        <v>1095</v>
      </c>
      <c r="C12" s="3191"/>
      <c r="D12" s="1303"/>
      <c r="E12" s="1303"/>
      <c r="F12" s="1304"/>
      <c r="G12" s="1305"/>
      <c r="H12" s="1312"/>
      <c r="I12" s="1302">
        <f>ROUND(D12*E12*F12*G12/10000,0)</f>
        <v>0</v>
      </c>
    </row>
    <row r="13" spans="1:9">
      <c r="A13" s="3190"/>
      <c r="B13" s="3191" t="s">
        <v>1096</v>
      </c>
      <c r="C13" s="3191"/>
      <c r="D13" s="1303"/>
      <c r="E13" s="1303"/>
      <c r="F13" s="1304"/>
      <c r="G13" s="1305"/>
      <c r="H13" s="1312"/>
      <c r="I13" s="1302">
        <f>ROUND(D13*E13*F13*G13/10000,0)</f>
        <v>0</v>
      </c>
    </row>
    <row r="14" spans="1:9">
      <c r="A14" s="3190"/>
      <c r="B14" s="3191" t="s">
        <v>1097</v>
      </c>
      <c r="C14" s="3191"/>
      <c r="D14" s="1303"/>
      <c r="E14" s="1303"/>
      <c r="F14" s="1304"/>
      <c r="G14" s="1305"/>
      <c r="H14" s="1312"/>
      <c r="I14" s="1302">
        <f>ROUND(D14*E14*F14*G14/10000,0)</f>
        <v>0</v>
      </c>
    </row>
    <row r="15" spans="1:9">
      <c r="A15" s="3190"/>
      <c r="B15" s="3192" t="s">
        <v>1088</v>
      </c>
      <c r="C15" s="3192"/>
      <c r="D15" s="1307"/>
      <c r="E15" s="1307">
        <f>SUM(E12:E14)</f>
        <v>0</v>
      </c>
      <c r="F15" s="1308"/>
      <c r="G15" s="1305"/>
      <c r="H15" s="1312"/>
      <c r="I15" s="1313">
        <f>SUM(I12:I14)</f>
        <v>0</v>
      </c>
    </row>
    <row r="16" spans="1:9" ht="26">
      <c r="A16" s="3190" t="s">
        <v>1098</v>
      </c>
      <c r="B16" s="3191" t="s">
        <v>1099</v>
      </c>
      <c r="C16" s="3191"/>
      <c r="D16" s="1303" t="s">
        <v>1075</v>
      </c>
      <c r="E16" s="1314" t="s">
        <v>1100</v>
      </c>
      <c r="F16" s="1304" t="s">
        <v>1101</v>
      </c>
      <c r="G16" s="1305" t="s">
        <v>1079</v>
      </c>
      <c r="H16" s="1311" t="s">
        <v>1094</v>
      </c>
      <c r="I16" s="1302" t="s">
        <v>1080</v>
      </c>
    </row>
    <row r="17" spans="1:9" ht="15">
      <c r="A17" s="3190"/>
      <c r="B17" s="3191" t="s">
        <v>1102</v>
      </c>
      <c r="C17" s="3191"/>
      <c r="D17" s="1303"/>
      <c r="E17" s="1303"/>
      <c r="F17" s="1304"/>
      <c r="G17" s="1305"/>
      <c r="H17" s="1315"/>
      <c r="I17" s="1316">
        <f>ROUND(D17*E17*F17*G17/10000,0)</f>
        <v>0</v>
      </c>
    </row>
    <row r="18" spans="1:9" ht="15">
      <c r="A18" s="3190"/>
      <c r="B18" s="3191" t="s">
        <v>1103</v>
      </c>
      <c r="C18" s="3191"/>
      <c r="D18" s="1303"/>
      <c r="E18" s="1303"/>
      <c r="F18" s="1304"/>
      <c r="G18" s="1305"/>
      <c r="H18" s="1315"/>
      <c r="I18" s="1316">
        <f>ROUND(D18*E18*F18*G18/10000,0)</f>
        <v>0</v>
      </c>
    </row>
    <row r="19" spans="1:9" ht="15">
      <c r="A19" s="3190"/>
      <c r="B19" s="3191" t="s">
        <v>1104</v>
      </c>
      <c r="C19" s="3191"/>
      <c r="D19" s="1303"/>
      <c r="E19" s="1303"/>
      <c r="F19" s="1304"/>
      <c r="G19" s="1305"/>
      <c r="H19" s="1315"/>
      <c r="I19" s="1316">
        <f>ROUND(D19*E19*F19*G19/10000,0)</f>
        <v>0</v>
      </c>
    </row>
    <row r="20" spans="1:9">
      <c r="A20" s="3190"/>
      <c r="B20" s="3192" t="s">
        <v>1088</v>
      </c>
      <c r="C20" s="3192"/>
      <c r="D20" s="1307">
        <f>SUM(D17:D19)</f>
        <v>0</v>
      </c>
      <c r="E20" s="1307"/>
      <c r="F20" s="1308"/>
      <c r="G20" s="1305"/>
      <c r="H20" s="1312"/>
      <c r="I20" s="1313">
        <f>SUM(I17:I19)</f>
        <v>0</v>
      </c>
    </row>
    <row r="21" spans="1:9">
      <c r="A21" s="3190" t="s">
        <v>1105</v>
      </c>
      <c r="B21" s="3194"/>
      <c r="C21" s="3194"/>
      <c r="D21" s="3194"/>
      <c r="E21" s="3194"/>
      <c r="F21" s="3194"/>
      <c r="G21" s="3194"/>
      <c r="H21" s="1765">
        <v>0.1</v>
      </c>
      <c r="I21" s="1310">
        <f>ROUND(I10*H21,0)</f>
        <v>0</v>
      </c>
    </row>
    <row r="22" spans="1:9" ht="15">
      <c r="A22" s="3195" t="s">
        <v>1106</v>
      </c>
      <c r="B22" s="3196"/>
      <c r="C22" s="3197"/>
      <c r="D22" s="1317" t="s">
        <v>1107</v>
      </c>
      <c r="E22" s="1317" t="s">
        <v>1108</v>
      </c>
      <c r="F22" s="1318" t="s">
        <v>1109</v>
      </c>
      <c r="G22" s="1318" t="s">
        <v>1110</v>
      </c>
      <c r="H22" s="1311" t="s">
        <v>1111</v>
      </c>
      <c r="I22" s="1302" t="s">
        <v>1112</v>
      </c>
    </row>
    <row r="23" spans="1:9" ht="14.5" thickBot="1">
      <c r="A23" s="3198"/>
      <c r="B23" s="3199"/>
      <c r="C23" s="3200"/>
      <c r="D23" s="1319"/>
      <c r="E23" s="1319"/>
      <c r="F23" s="1319"/>
      <c r="G23" s="1320"/>
      <c r="H23" s="1321"/>
      <c r="I23" s="1322">
        <f>ROUND(E23*D23*F23*(1-G23)/10000,0)</f>
        <v>0</v>
      </c>
    </row>
    <row r="26" spans="1:9">
      <c r="A26" s="1323" t="s">
        <v>1113</v>
      </c>
      <c r="B26" s="1323"/>
      <c r="C26" s="1323"/>
      <c r="D26" s="1323"/>
      <c r="E26" s="3201">
        <f>C27-C30-C31-C32</f>
        <v>0</v>
      </c>
      <c r="F26" s="3201"/>
      <c r="G26" s="3201"/>
      <c r="H26" s="1737" t="s">
        <v>1335</v>
      </c>
    </row>
    <row r="27" spans="1:9">
      <c r="A27" s="1324">
        <v>1</v>
      </c>
      <c r="B27" s="1325" t="s">
        <v>1114</v>
      </c>
      <c r="C27" s="1325">
        <f>C28+C29</f>
        <v>0</v>
      </c>
      <c r="D27" s="1325"/>
      <c r="E27" s="3202"/>
      <c r="F27" s="3202"/>
      <c r="G27" s="3202"/>
    </row>
    <row r="28" spans="1:9">
      <c r="A28" s="1326" t="s">
        <v>1115</v>
      </c>
      <c r="B28" s="1325" t="s">
        <v>1116</v>
      </c>
      <c r="C28" s="1325"/>
      <c r="D28" s="1325"/>
      <c r="E28" s="3202"/>
      <c r="F28" s="3202"/>
      <c r="G28" s="3202"/>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93"/>
      <c r="F32" s="3193"/>
      <c r="G32" s="3193"/>
    </row>
    <row r="33" spans="1:7" hidden="1">
      <c r="A33" s="3203" t="s">
        <v>1125</v>
      </c>
      <c r="B33" s="3204"/>
      <c r="C33" s="3204"/>
      <c r="D33" s="3205"/>
      <c r="E33" s="3201"/>
      <c r="F33" s="3201"/>
      <c r="G33" s="3201"/>
    </row>
    <row r="34" spans="1:7" hidden="1">
      <c r="A34" s="1328">
        <v>1</v>
      </c>
      <c r="B34" s="1325" t="s">
        <v>1126</v>
      </c>
      <c r="C34" s="1325"/>
      <c r="D34" s="1325"/>
      <c r="E34" s="3202"/>
      <c r="F34" s="3202"/>
      <c r="G34" s="3202"/>
    </row>
    <row r="35" spans="1:7" hidden="1">
      <c r="A35" s="1328">
        <v>2</v>
      </c>
      <c r="B35" s="1325" t="s">
        <v>1127</v>
      </c>
      <c r="C35" s="1325"/>
      <c r="D35" s="1325"/>
      <c r="E35" s="3202"/>
      <c r="F35" s="3202"/>
      <c r="G35" s="3202"/>
    </row>
    <row r="36" spans="1:7" hidden="1">
      <c r="A36" s="1328">
        <v>3</v>
      </c>
      <c r="B36" s="1325" t="s">
        <v>1128</v>
      </c>
      <c r="C36" s="1325"/>
      <c r="D36" s="1325"/>
      <c r="E36" s="3202"/>
      <c r="F36" s="3202"/>
      <c r="G36" s="3202"/>
    </row>
    <row r="37" spans="1:7" hidden="1">
      <c r="A37" s="1328">
        <v>4</v>
      </c>
      <c r="B37" s="1325" t="s">
        <v>1129</v>
      </c>
      <c r="C37" s="1325"/>
      <c r="D37" s="1325"/>
      <c r="E37" s="3202"/>
      <c r="F37" s="3202"/>
      <c r="G37" s="3202"/>
    </row>
    <row r="38" spans="1:7" hidden="1">
      <c r="A38" s="3203" t="s">
        <v>1130</v>
      </c>
      <c r="B38" s="3204"/>
      <c r="C38" s="3204"/>
      <c r="D38" s="3205"/>
      <c r="E38" s="3201"/>
      <c r="F38" s="3201"/>
      <c r="G38" s="32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zoomScale="90" zoomScaleNormal="90" workbookViewId="0">
      <selection activeCell="E15" sqref="E15"/>
    </sheetView>
  </sheetViews>
  <sheetFormatPr defaultColWidth="9" defaultRowHeight="14"/>
  <cols>
    <col min="1" max="1" width="10.453125" style="403" customWidth="1"/>
    <col min="2" max="2" width="15.81640625" style="403" customWidth="1"/>
    <col min="3" max="3" width="15.0898437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2626"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2527</v>
      </c>
      <c r="B1" s="2584" t="s">
        <v>2528</v>
      </c>
      <c r="C1" s="1634" t="s">
        <v>2529</v>
      </c>
      <c r="D1" s="1621"/>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2533</v>
      </c>
      <c r="D3" s="399">
        <f>IF(D1="",'数据-汇总表'!E3,SUMIF('数据-汇总表'!$C19:$C33,D1,'数据-汇总表'!$E19:$E33))</f>
        <v>3000.7300000000005</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c r="A4" s="401" t="s">
        <v>2534</v>
      </c>
      <c r="B4" s="402"/>
      <c r="C4" s="3224" t="s">
        <v>2535</v>
      </c>
      <c r="D4" s="3225"/>
      <c r="E4" s="3226" t="s">
        <v>2536</v>
      </c>
      <c r="F4" s="3227"/>
      <c r="G4" s="3224" t="s">
        <v>2537</v>
      </c>
      <c r="H4" s="3225"/>
      <c r="I4" s="3224" t="s">
        <v>2538</v>
      </c>
      <c r="J4" s="3225"/>
      <c r="K4" s="2598" t="s">
        <v>2539</v>
      </c>
      <c r="L4" s="1130"/>
      <c r="M4" s="1131"/>
      <c r="N4" s="1131"/>
      <c r="O4" s="1131"/>
      <c r="P4" s="3228" t="s">
        <v>2540</v>
      </c>
      <c r="Q4" s="3229"/>
      <c r="R4" s="3211" t="s">
        <v>2536</v>
      </c>
      <c r="S4" s="3212"/>
      <c r="T4" s="3211" t="s">
        <v>2537</v>
      </c>
      <c r="U4" s="3212"/>
      <c r="V4" s="3236" t="s">
        <v>2538</v>
      </c>
      <c r="W4" s="3236"/>
      <c r="X4" s="1813"/>
      <c r="Y4" s="3211" t="s">
        <v>2540</v>
      </c>
      <c r="Z4" s="3212"/>
      <c r="AA4" s="3206" t="s">
        <v>2536</v>
      </c>
      <c r="AB4" s="3206" t="s">
        <v>2537</v>
      </c>
      <c r="AC4" s="3206" t="s">
        <v>2538</v>
      </c>
    </row>
    <row r="5" spans="1:29">
      <c r="A5" s="404"/>
      <c r="B5" s="405"/>
      <c r="C5" s="3217" t="s">
        <v>2541</v>
      </c>
      <c r="D5" s="3218"/>
      <c r="E5" s="3215" t="s">
        <v>2542</v>
      </c>
      <c r="F5" s="3216"/>
      <c r="G5" s="3217" t="s">
        <v>2543</v>
      </c>
      <c r="H5" s="3218"/>
      <c r="I5" s="3217" t="s">
        <v>2544</v>
      </c>
      <c r="J5" s="3218"/>
      <c r="K5" s="2599"/>
      <c r="L5" s="1130"/>
      <c r="M5" s="1131"/>
      <c r="N5" s="1131"/>
      <c r="O5" s="1131"/>
      <c r="P5" s="3230"/>
      <c r="Q5" s="3231"/>
      <c r="R5" s="3213"/>
      <c r="S5" s="3214"/>
      <c r="T5" s="3213"/>
      <c r="U5" s="3214"/>
      <c r="V5" s="3236"/>
      <c r="W5" s="3236"/>
      <c r="X5" s="1813"/>
      <c r="Y5" s="3213"/>
      <c r="Z5" s="3214"/>
      <c r="AA5" s="3207"/>
      <c r="AB5" s="3207"/>
      <c r="AC5" s="3207"/>
    </row>
    <row r="6" spans="1:29" ht="15" thickBot="1">
      <c r="A6" s="406"/>
      <c r="B6" s="407"/>
      <c r="C6" s="3219" t="s">
        <v>2545</v>
      </c>
      <c r="D6" s="3220"/>
      <c r="E6" s="3221" t="s">
        <v>2545</v>
      </c>
      <c r="F6" s="3222"/>
      <c r="G6" s="3219" t="s">
        <v>2545</v>
      </c>
      <c r="H6" s="3220"/>
      <c r="I6" s="3219" t="s">
        <v>2545</v>
      </c>
      <c r="J6" s="3220"/>
      <c r="K6" s="2599" t="s">
        <v>2546</v>
      </c>
      <c r="L6" s="1130"/>
      <c r="M6" s="1131"/>
      <c r="N6" s="1131"/>
      <c r="O6" s="1131"/>
      <c r="P6" s="3232"/>
      <c r="Q6" s="3233"/>
      <c r="R6" s="3213"/>
      <c r="S6" s="3214"/>
      <c r="T6" s="3234"/>
      <c r="U6" s="3235"/>
      <c r="V6" s="3236"/>
      <c r="W6" s="3236"/>
      <c r="X6" s="1813"/>
      <c r="Y6" s="3234"/>
      <c r="Z6" s="3235"/>
      <c r="AA6" s="3208"/>
      <c r="AB6" s="3208"/>
      <c r="AC6" s="3208"/>
    </row>
    <row r="7" spans="1:29" s="117" customFormat="1" ht="14.5" thickBot="1">
      <c r="A7" s="408" t="s">
        <v>2547</v>
      </c>
      <c r="B7" s="409"/>
      <c r="C7" s="410">
        <f>'数据-取费表'!B2</f>
        <v>43872</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09" t="s">
        <v>2548</v>
      </c>
      <c r="Q7" s="3237"/>
      <c r="R7" s="770" t="s">
        <v>23</v>
      </c>
      <c r="S7" s="771">
        <f t="shared" ref="S7:S15" si="0">F7</f>
        <v>0</v>
      </c>
      <c r="T7" s="770" t="s">
        <v>23</v>
      </c>
      <c r="U7" s="771">
        <f t="shared" ref="U7:U15" si="1">H7</f>
        <v>0</v>
      </c>
      <c r="V7" s="770" t="s">
        <v>23</v>
      </c>
      <c r="W7" s="771">
        <f t="shared" ref="W7:W15" si="2">J7</f>
        <v>0</v>
      </c>
      <c r="X7" s="772"/>
      <c r="Y7" s="3209" t="s">
        <v>2548</v>
      </c>
      <c r="Z7" s="3210"/>
      <c r="AA7" s="773" t="e">
        <f>D7/F7</f>
        <v>#DIV/0!</v>
      </c>
      <c r="AB7" s="773" t="e">
        <f>D7/H7</f>
        <v>#DIV/0!</v>
      </c>
      <c r="AC7" s="773" t="e">
        <f>D7/J7</f>
        <v>#DIV/0!</v>
      </c>
    </row>
    <row r="8" spans="1:29" s="117" customFormat="1" ht="14.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09" t="s">
        <v>2551</v>
      </c>
      <c r="Q8" s="3210"/>
      <c r="R8" s="770" t="s">
        <v>23</v>
      </c>
      <c r="S8" s="771">
        <f t="shared" si="0"/>
        <v>0</v>
      </c>
      <c r="T8" s="770" t="s">
        <v>23</v>
      </c>
      <c r="U8" s="771">
        <f t="shared" si="1"/>
        <v>0</v>
      </c>
      <c r="V8" s="770" t="s">
        <v>23</v>
      </c>
      <c r="W8" s="771">
        <f t="shared" si="2"/>
        <v>0</v>
      </c>
      <c r="X8" s="772"/>
      <c r="Y8" s="3209" t="s">
        <v>2551</v>
      </c>
      <c r="Z8" s="3210"/>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23" t="s">
        <v>2554</v>
      </c>
      <c r="Q9" s="1795"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3"/>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3"/>
      <c r="Q11" s="1795" t="str">
        <f t="shared" si="6"/>
        <v>容积率</v>
      </c>
      <c r="R11" s="770" t="s">
        <v>21</v>
      </c>
      <c r="S11" s="771" t="e">
        <f t="shared" si="0"/>
        <v>#N/A</v>
      </c>
      <c r="T11" s="770" t="s">
        <v>21</v>
      </c>
      <c r="U11" s="771" t="e">
        <f t="shared" si="1"/>
        <v>#N/A</v>
      </c>
      <c r="V11" s="770" t="s">
        <v>21</v>
      </c>
      <c r="W11" s="771" t="e">
        <f t="shared" si="2"/>
        <v>#N/A</v>
      </c>
      <c r="X11" s="772"/>
      <c r="Y11" s="3056"/>
      <c r="Z11" s="55" t="str">
        <f t="shared" si="7"/>
        <v>容积率</v>
      </c>
      <c r="AA11" s="773" t="e">
        <f t="shared" si="3"/>
        <v>#N/A</v>
      </c>
      <c r="AB11" s="773" t="e">
        <f t="shared" si="4"/>
        <v>#N/A</v>
      </c>
      <c r="AC11" s="773" t="e">
        <f t="shared" si="5"/>
        <v>#N/A</v>
      </c>
    </row>
    <row r="12" spans="1:29" s="117" customFormat="1" ht="15.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23"/>
      <c r="Q12" s="1795">
        <f t="shared" si="6"/>
        <v>111</v>
      </c>
      <c r="R12" s="770" t="s">
        <v>21</v>
      </c>
      <c r="S12" s="771">
        <f t="shared" si="0"/>
        <v>100</v>
      </c>
      <c r="T12" s="770" t="s">
        <v>21</v>
      </c>
      <c r="U12" s="771">
        <f t="shared" si="1"/>
        <v>100</v>
      </c>
      <c r="V12" s="770" t="s">
        <v>21</v>
      </c>
      <c r="W12" s="771">
        <f t="shared" si="2"/>
        <v>100</v>
      </c>
      <c r="X12" s="772"/>
      <c r="Y12" s="3056"/>
      <c r="Z12" s="55">
        <f t="shared" si="7"/>
        <v>111</v>
      </c>
      <c r="AA12" s="773">
        <f>D12/F12</f>
        <v>1</v>
      </c>
      <c r="AB12" s="773">
        <f>D12/H12</f>
        <v>1</v>
      </c>
      <c r="AC12" s="773">
        <f>D12/J12</f>
        <v>1</v>
      </c>
    </row>
    <row r="13" spans="1:29" ht="15.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23"/>
      <c r="Q13" s="1795">
        <f t="shared" si="6"/>
        <v>111</v>
      </c>
      <c r="R13" s="770" t="s">
        <v>21</v>
      </c>
      <c r="S13" s="771">
        <f t="shared" si="0"/>
        <v>100</v>
      </c>
      <c r="T13" s="770" t="s">
        <v>21</v>
      </c>
      <c r="U13" s="771">
        <f t="shared" si="1"/>
        <v>100</v>
      </c>
      <c r="V13" s="770" t="s">
        <v>21</v>
      </c>
      <c r="W13" s="771">
        <f t="shared" si="2"/>
        <v>100</v>
      </c>
      <c r="X13" s="772"/>
      <c r="Y13" s="3056"/>
      <c r="Z13" s="55">
        <f t="shared" si="7"/>
        <v>111</v>
      </c>
      <c r="AA13" s="773">
        <f t="shared" si="3"/>
        <v>1</v>
      </c>
      <c r="AB13" s="773">
        <f t="shared" si="4"/>
        <v>1</v>
      </c>
      <c r="AC13" s="773">
        <f t="shared" si="5"/>
        <v>1</v>
      </c>
    </row>
    <row r="14" spans="1:29" ht="16"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23"/>
      <c r="Q14" s="1795">
        <f t="shared" si="6"/>
        <v>111</v>
      </c>
      <c r="R14" s="770" t="s">
        <v>21</v>
      </c>
      <c r="S14" s="771">
        <f t="shared" si="0"/>
        <v>100</v>
      </c>
      <c r="T14" s="770" t="s">
        <v>21</v>
      </c>
      <c r="U14" s="771">
        <f t="shared" si="1"/>
        <v>100</v>
      </c>
      <c r="V14" s="770" t="s">
        <v>21</v>
      </c>
      <c r="W14" s="771">
        <f t="shared" si="2"/>
        <v>100</v>
      </c>
      <c r="X14" s="772"/>
      <c r="Y14" s="3056"/>
      <c r="Z14" s="55">
        <f t="shared" si="7"/>
        <v>111</v>
      </c>
      <c r="AA14" s="773">
        <f t="shared" si="3"/>
        <v>1</v>
      </c>
      <c r="AB14" s="773">
        <f t="shared" si="4"/>
        <v>1</v>
      </c>
      <c r="AC14" s="773">
        <f t="shared" si="5"/>
        <v>1</v>
      </c>
    </row>
    <row r="15" spans="1:29" ht="98">
      <c r="A15" s="440" t="s">
        <v>2558</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0" t="s">
        <v>2559</v>
      </c>
      <c r="Q15" s="1810" t="str">
        <f t="shared" si="6"/>
        <v>居住社区成熟度</v>
      </c>
      <c r="R15" s="774" t="s">
        <v>21</v>
      </c>
      <c r="S15" s="775">
        <f t="shared" si="0"/>
        <v>100</v>
      </c>
      <c r="T15" s="774" t="s">
        <v>21</v>
      </c>
      <c r="U15" s="775">
        <f t="shared" si="1"/>
        <v>100</v>
      </c>
      <c r="V15" s="774" t="s">
        <v>21</v>
      </c>
      <c r="W15" s="775">
        <f t="shared" si="2"/>
        <v>100</v>
      </c>
      <c r="X15" s="1813"/>
      <c r="Y15" s="3243" t="s">
        <v>2559</v>
      </c>
      <c r="Z15" s="1814" t="str">
        <f t="shared" si="7"/>
        <v>居住社区成熟度</v>
      </c>
      <c r="AA15" s="1811">
        <f t="shared" si="3"/>
        <v>1</v>
      </c>
      <c r="AB15" s="1811">
        <f t="shared" si="4"/>
        <v>1</v>
      </c>
      <c r="AC15" s="1811">
        <f t="shared" si="5"/>
        <v>1</v>
      </c>
    </row>
    <row r="16" spans="1:29" ht="15.5">
      <c r="A16" s="428"/>
      <c r="B16" s="446"/>
      <c r="C16" s="447"/>
      <c r="D16" s="448"/>
      <c r="E16" s="2606"/>
      <c r="F16" s="448"/>
      <c r="G16" s="2607"/>
      <c r="H16" s="450"/>
      <c r="I16" s="2607"/>
      <c r="J16" s="448"/>
      <c r="K16" s="2608"/>
      <c r="L16" s="1140"/>
      <c r="M16" s="1131"/>
      <c r="N16" s="1131"/>
      <c r="O16" s="1131"/>
      <c r="P16" s="3251"/>
      <c r="Q16" s="1810"/>
      <c r="R16" s="774"/>
      <c r="S16" s="775"/>
      <c r="T16" s="774"/>
      <c r="U16" s="775"/>
      <c r="V16" s="774"/>
      <c r="W16" s="775"/>
      <c r="X16" s="1813"/>
      <c r="Y16" s="3244"/>
      <c r="Z16" s="1814"/>
      <c r="AA16" s="1811">
        <v>1</v>
      </c>
      <c r="AB16" s="1811">
        <v>1</v>
      </c>
      <c r="AC16" s="1811">
        <v>1</v>
      </c>
    </row>
    <row r="17" spans="1:29" ht="84">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1"/>
      <c r="Q17" s="1810" t="str">
        <f>B17</f>
        <v>交通便捷度</v>
      </c>
      <c r="R17" s="774" t="s">
        <v>21</v>
      </c>
      <c r="S17" s="775">
        <f>F17</f>
        <v>100</v>
      </c>
      <c r="T17" s="774" t="s">
        <v>21</v>
      </c>
      <c r="U17" s="775">
        <f>H17</f>
        <v>100</v>
      </c>
      <c r="V17" s="774" t="s">
        <v>21</v>
      </c>
      <c r="W17" s="775">
        <f>J17</f>
        <v>100</v>
      </c>
      <c r="X17" s="1813"/>
      <c r="Y17" s="3244"/>
      <c r="Z17" s="1814" t="str">
        <f>Q17</f>
        <v>交通便捷度</v>
      </c>
      <c r="AA17" s="1811">
        <f t="shared" si="3"/>
        <v>1</v>
      </c>
      <c r="AB17" s="1811">
        <f t="shared" si="4"/>
        <v>1</v>
      </c>
      <c r="AC17" s="1811">
        <f t="shared" si="5"/>
        <v>1</v>
      </c>
    </row>
    <row r="18" spans="1:29" ht="15.5">
      <c r="A18" s="428"/>
      <c r="B18" s="456"/>
      <c r="C18" s="2610"/>
      <c r="D18" s="450"/>
      <c r="E18" s="2611"/>
      <c r="F18" s="450"/>
      <c r="G18" s="2612"/>
      <c r="H18" s="448"/>
      <c r="I18" s="2612"/>
      <c r="J18" s="448"/>
      <c r="K18" s="2608"/>
      <c r="L18" s="1140"/>
      <c r="M18" s="1131"/>
      <c r="N18" s="1131"/>
      <c r="O18" s="1131"/>
      <c r="P18" s="3251"/>
      <c r="Q18" s="1810"/>
      <c r="R18" s="774"/>
      <c r="S18" s="775"/>
      <c r="T18" s="774"/>
      <c r="U18" s="775"/>
      <c r="V18" s="774"/>
      <c r="W18" s="775"/>
      <c r="X18" s="1813"/>
      <c r="Y18" s="3244"/>
      <c r="Z18" s="1814"/>
      <c r="AA18" s="1811">
        <v>1</v>
      </c>
      <c r="AB18" s="1811">
        <v>1</v>
      </c>
      <c r="AC18" s="1811">
        <v>1</v>
      </c>
    </row>
    <row r="19" spans="1:29" ht="42">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1"/>
      <c r="Q19" s="1810" t="str">
        <f>B19</f>
        <v>公共配套设施</v>
      </c>
      <c r="R19" s="774" t="s">
        <v>21</v>
      </c>
      <c r="S19" s="775">
        <f>F19</f>
        <v>100</v>
      </c>
      <c r="T19" s="774" t="s">
        <v>21</v>
      </c>
      <c r="U19" s="775">
        <f>H19</f>
        <v>100</v>
      </c>
      <c r="V19" s="774" t="s">
        <v>21</v>
      </c>
      <c r="W19" s="775">
        <f>J19</f>
        <v>100</v>
      </c>
      <c r="X19" s="1813"/>
      <c r="Y19" s="3244"/>
      <c r="Z19" s="1814" t="str">
        <f>Q19</f>
        <v>公共配套设施</v>
      </c>
      <c r="AA19" s="1811">
        <f t="shared" si="3"/>
        <v>1</v>
      </c>
      <c r="AB19" s="1811">
        <f t="shared" si="4"/>
        <v>1</v>
      </c>
      <c r="AC19" s="1811">
        <f t="shared" si="5"/>
        <v>1</v>
      </c>
    </row>
    <row r="20" spans="1:29" ht="15.5">
      <c r="A20" s="428"/>
      <c r="B20" s="456"/>
      <c r="C20" s="447"/>
      <c r="D20" s="448"/>
      <c r="E20" s="2606"/>
      <c r="F20" s="448"/>
      <c r="G20" s="2607"/>
      <c r="H20" s="448"/>
      <c r="I20" s="2607"/>
      <c r="J20" s="448"/>
      <c r="K20" s="2608"/>
      <c r="L20" s="1140"/>
      <c r="M20" s="1131"/>
      <c r="N20" s="1131"/>
      <c r="O20" s="1131"/>
      <c r="P20" s="3251"/>
      <c r="Q20" s="1810"/>
      <c r="R20" s="774"/>
      <c r="S20" s="775"/>
      <c r="T20" s="774"/>
      <c r="U20" s="775"/>
      <c r="V20" s="774"/>
      <c r="W20" s="775"/>
      <c r="X20" s="1813"/>
      <c r="Y20" s="3244"/>
      <c r="Z20" s="1814"/>
      <c r="AA20" s="1811">
        <v>1</v>
      </c>
      <c r="AB20" s="1811">
        <v>1</v>
      </c>
      <c r="AC20" s="1811">
        <v>1</v>
      </c>
    </row>
    <row r="21" spans="1:29" ht="28">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1"/>
      <c r="Q21" s="1810" t="str">
        <f>B21</f>
        <v>基础设施水平</v>
      </c>
      <c r="R21" s="774" t="s">
        <v>17</v>
      </c>
      <c r="S21" s="775">
        <f>F21</f>
        <v>100</v>
      </c>
      <c r="T21" s="774" t="s">
        <v>17</v>
      </c>
      <c r="U21" s="775">
        <f>H21</f>
        <v>100</v>
      </c>
      <c r="V21" s="774" t="s">
        <v>17</v>
      </c>
      <c r="W21" s="775">
        <f>J21</f>
        <v>100</v>
      </c>
      <c r="X21" s="1813"/>
      <c r="Y21" s="3244"/>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8"/>
      <c r="G22" s="2613"/>
      <c r="H22" s="448"/>
      <c r="I22" s="447"/>
      <c r="J22" s="448"/>
      <c r="K22" s="2614"/>
      <c r="L22" s="1140"/>
      <c r="M22" s="1131"/>
      <c r="N22" s="1131"/>
      <c r="O22" s="1131"/>
      <c r="P22" s="3251"/>
      <c r="Q22" s="1810"/>
      <c r="R22" s="774"/>
      <c r="S22" s="775"/>
      <c r="T22" s="774"/>
      <c r="U22" s="775"/>
      <c r="V22" s="774"/>
      <c r="W22" s="775"/>
      <c r="X22" s="1813"/>
      <c r="Y22" s="3244"/>
      <c r="Z22" s="1814"/>
      <c r="AA22" s="1811">
        <v>1</v>
      </c>
      <c r="AB22" s="1811">
        <v>1</v>
      </c>
      <c r="AC22" s="1811">
        <v>1</v>
      </c>
    </row>
    <row r="23" spans="1:29" ht="56">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1"/>
      <c r="Q23" s="1810" t="str">
        <f>B23</f>
        <v>自然及人文环境</v>
      </c>
      <c r="R23" s="774" t="s">
        <v>21</v>
      </c>
      <c r="S23" s="775">
        <f>F23</f>
        <v>100</v>
      </c>
      <c r="T23" s="774" t="s">
        <v>21</v>
      </c>
      <c r="U23" s="775">
        <f>H23</f>
        <v>100</v>
      </c>
      <c r="V23" s="774" t="s">
        <v>21</v>
      </c>
      <c r="W23" s="775">
        <f>J23</f>
        <v>100</v>
      </c>
      <c r="X23" s="1813"/>
      <c r="Y23" s="3244"/>
      <c r="Z23" s="1814" t="str">
        <f>Q23</f>
        <v>自然及人文环境</v>
      </c>
      <c r="AA23" s="1811">
        <f>D23/F23</f>
        <v>1</v>
      </c>
      <c r="AB23" s="1811">
        <f>D23/H23</f>
        <v>1</v>
      </c>
      <c r="AC23" s="1811">
        <f>D23/J23</f>
        <v>1</v>
      </c>
    </row>
    <row r="24" spans="1:29" ht="15.5">
      <c r="A24" s="428"/>
      <c r="B24" s="456"/>
      <c r="C24" s="447"/>
      <c r="D24" s="448"/>
      <c r="E24" s="2606"/>
      <c r="F24" s="448"/>
      <c r="G24" s="2607"/>
      <c r="H24" s="448"/>
      <c r="I24" s="2607"/>
      <c r="J24" s="448"/>
      <c r="K24" s="2608"/>
      <c r="L24" s="1140"/>
      <c r="M24" s="1131"/>
      <c r="N24" s="1131"/>
      <c r="O24" s="1131"/>
      <c r="P24" s="3251"/>
      <c r="Q24" s="1810"/>
      <c r="R24" s="774"/>
      <c r="S24" s="775"/>
      <c r="T24" s="774"/>
      <c r="U24" s="775"/>
      <c r="V24" s="774"/>
      <c r="W24" s="775"/>
      <c r="X24" s="1813"/>
      <c r="Y24" s="3244"/>
      <c r="Z24" s="1814"/>
      <c r="AA24" s="1811">
        <v>1</v>
      </c>
      <c r="AB24" s="1811">
        <v>1</v>
      </c>
      <c r="AC24" s="1811">
        <v>1</v>
      </c>
    </row>
    <row r="25" spans="1:29" ht="15.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5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44"/>
      <c r="Z25" s="1814" t="str">
        <f>Q25</f>
        <v>楼层-1</v>
      </c>
      <c r="AA25" s="1811">
        <f t="shared" ref="AA25:AA46" si="15">D25/F25</f>
        <v>1</v>
      </c>
      <c r="AB25" s="1811">
        <f t="shared" ref="AB25:AB46" si="16">D25/H25</f>
        <v>1</v>
      </c>
      <c r="AC25" s="1811">
        <f t="shared" ref="AC25:AC46" si="17">D25/J25</f>
        <v>1</v>
      </c>
    </row>
    <row r="26" spans="1:29" ht="15.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51"/>
      <c r="Q26" s="1810" t="str">
        <f t="shared" si="11"/>
        <v>朝向</v>
      </c>
      <c r="R26" s="774" t="s">
        <v>21</v>
      </c>
      <c r="S26" s="775">
        <f t="shared" si="12"/>
        <v>100</v>
      </c>
      <c r="T26" s="774" t="s">
        <v>21</v>
      </c>
      <c r="U26" s="775">
        <f t="shared" si="13"/>
        <v>100</v>
      </c>
      <c r="V26" s="774" t="s">
        <v>21</v>
      </c>
      <c r="W26" s="775">
        <f t="shared" si="14"/>
        <v>100</v>
      </c>
      <c r="X26" s="1813"/>
      <c r="Y26" s="3244"/>
      <c r="Z26" s="1814" t="str">
        <f>Q26</f>
        <v>朝向</v>
      </c>
      <c r="AA26" s="1811">
        <f t="shared" si="15"/>
        <v>1</v>
      </c>
      <c r="AB26" s="1811">
        <f t="shared" si="16"/>
        <v>1</v>
      </c>
      <c r="AC26" s="1811">
        <f t="shared" si="17"/>
        <v>1</v>
      </c>
    </row>
    <row r="27" spans="1:29" s="117" customFormat="1" ht="15.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51"/>
      <c r="Q27" s="1795">
        <f t="shared" si="11"/>
        <v>111</v>
      </c>
      <c r="R27" s="770" t="s">
        <v>21</v>
      </c>
      <c r="S27" s="771">
        <f t="shared" si="12"/>
        <v>100</v>
      </c>
      <c r="T27" s="770" t="s">
        <v>21</v>
      </c>
      <c r="U27" s="771">
        <f t="shared" si="13"/>
        <v>100</v>
      </c>
      <c r="V27" s="770" t="s">
        <v>21</v>
      </c>
      <c r="W27" s="771">
        <f t="shared" si="14"/>
        <v>100</v>
      </c>
      <c r="X27" s="772"/>
      <c r="Y27" s="3244"/>
      <c r="Z27" s="55">
        <f>Q27</f>
        <v>111</v>
      </c>
      <c r="AA27" s="1811">
        <f t="shared" si="15"/>
        <v>1</v>
      </c>
      <c r="AB27" s="1811">
        <f t="shared" si="16"/>
        <v>1</v>
      </c>
      <c r="AC27" s="1811">
        <f t="shared" si="17"/>
        <v>1</v>
      </c>
    </row>
    <row r="28" spans="1:29" ht="15.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51"/>
      <c r="Q28" s="1810">
        <f t="shared" si="11"/>
        <v>111</v>
      </c>
      <c r="R28" s="774" t="s">
        <v>21</v>
      </c>
      <c r="S28" s="775">
        <f t="shared" si="12"/>
        <v>100</v>
      </c>
      <c r="T28" s="774" t="s">
        <v>21</v>
      </c>
      <c r="U28" s="775">
        <f t="shared" si="13"/>
        <v>100</v>
      </c>
      <c r="V28" s="774" t="s">
        <v>21</v>
      </c>
      <c r="W28" s="775">
        <f t="shared" si="14"/>
        <v>100</v>
      </c>
      <c r="X28" s="1813"/>
      <c r="Y28" s="3244"/>
      <c r="Z28" s="1814">
        <f t="shared" ref="Z28:Z46" si="18">Q28</f>
        <v>111</v>
      </c>
      <c r="AA28" s="1811">
        <f t="shared" si="15"/>
        <v>1</v>
      </c>
      <c r="AB28" s="1811">
        <f t="shared" si="16"/>
        <v>1</v>
      </c>
      <c r="AC28" s="1811">
        <f t="shared" si="17"/>
        <v>1</v>
      </c>
    </row>
    <row r="29" spans="1:29" ht="15.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51"/>
      <c r="Q29" s="1810">
        <f t="shared" si="11"/>
        <v>111</v>
      </c>
      <c r="R29" s="774" t="s">
        <v>21</v>
      </c>
      <c r="S29" s="775">
        <f t="shared" si="12"/>
        <v>100</v>
      </c>
      <c r="T29" s="774" t="s">
        <v>21</v>
      </c>
      <c r="U29" s="775">
        <f t="shared" si="13"/>
        <v>100</v>
      </c>
      <c r="V29" s="774" t="s">
        <v>21</v>
      </c>
      <c r="W29" s="775">
        <f t="shared" si="14"/>
        <v>100</v>
      </c>
      <c r="X29" s="1813"/>
      <c r="Y29" s="3244"/>
      <c r="Z29" s="1814">
        <f t="shared" si="18"/>
        <v>111</v>
      </c>
      <c r="AA29" s="1811">
        <f t="shared" si="15"/>
        <v>1</v>
      </c>
      <c r="AB29" s="1811">
        <f t="shared" si="16"/>
        <v>1</v>
      </c>
      <c r="AC29" s="1811">
        <f t="shared" si="17"/>
        <v>1</v>
      </c>
    </row>
    <row r="30" spans="1:29" ht="15.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51"/>
      <c r="Q30" s="1810">
        <f t="shared" si="11"/>
        <v>111</v>
      </c>
      <c r="R30" s="774" t="s">
        <v>21</v>
      </c>
      <c r="S30" s="775">
        <f t="shared" si="12"/>
        <v>100</v>
      </c>
      <c r="T30" s="774" t="s">
        <v>21</v>
      </c>
      <c r="U30" s="775">
        <f t="shared" si="13"/>
        <v>100</v>
      </c>
      <c r="V30" s="774" t="s">
        <v>21</v>
      </c>
      <c r="W30" s="775">
        <f t="shared" si="14"/>
        <v>100</v>
      </c>
      <c r="X30" s="1813"/>
      <c r="Y30" s="3244"/>
      <c r="Z30" s="1814">
        <f t="shared" si="18"/>
        <v>111</v>
      </c>
      <c r="AA30" s="1811">
        <f t="shared" si="15"/>
        <v>1</v>
      </c>
      <c r="AB30" s="1811">
        <f t="shared" si="16"/>
        <v>1</v>
      </c>
      <c r="AC30" s="1811">
        <f t="shared" si="17"/>
        <v>1</v>
      </c>
    </row>
    <row r="31" spans="1:29" ht="16"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51"/>
      <c r="Q31" s="1810">
        <f t="shared" si="11"/>
        <v>111</v>
      </c>
      <c r="R31" s="774" t="s">
        <v>21</v>
      </c>
      <c r="S31" s="775">
        <f t="shared" si="12"/>
        <v>100</v>
      </c>
      <c r="T31" s="774" t="s">
        <v>21</v>
      </c>
      <c r="U31" s="775">
        <f t="shared" si="13"/>
        <v>100</v>
      </c>
      <c r="V31" s="774" t="s">
        <v>21</v>
      </c>
      <c r="W31" s="775">
        <f t="shared" si="14"/>
        <v>100</v>
      </c>
      <c r="X31" s="1813"/>
      <c r="Y31" s="3244"/>
      <c r="Z31" s="1814">
        <f t="shared" si="18"/>
        <v>111</v>
      </c>
      <c r="AA31" s="1811">
        <f t="shared" si="15"/>
        <v>1</v>
      </c>
      <c r="AB31" s="1811">
        <f t="shared" si="16"/>
        <v>1</v>
      </c>
      <c r="AC31" s="1811">
        <f t="shared" si="17"/>
        <v>1</v>
      </c>
    </row>
    <row r="32" spans="1:29" ht="15.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45" t="s">
        <v>2564</v>
      </c>
      <c r="Q32" s="1810" t="str">
        <f t="shared" si="11"/>
        <v>建筑类型</v>
      </c>
      <c r="R32" s="774" t="s">
        <v>21</v>
      </c>
      <c r="S32" s="775">
        <f t="shared" si="12"/>
        <v>100</v>
      </c>
      <c r="T32" s="774" t="s">
        <v>21</v>
      </c>
      <c r="U32" s="775">
        <f t="shared" si="13"/>
        <v>100</v>
      </c>
      <c r="V32" s="774" t="s">
        <v>21</v>
      </c>
      <c r="W32" s="775">
        <f t="shared" si="14"/>
        <v>100</v>
      </c>
      <c r="X32" s="1813"/>
      <c r="Y32" s="3248" t="s">
        <v>2564</v>
      </c>
      <c r="Z32" s="1814" t="str">
        <f t="shared" si="18"/>
        <v>建筑类型</v>
      </c>
      <c r="AA32" s="1811">
        <f t="shared" si="15"/>
        <v>1</v>
      </c>
      <c r="AB32" s="1811">
        <f t="shared" si="16"/>
        <v>1</v>
      </c>
      <c r="AC32" s="1811">
        <f t="shared" si="17"/>
        <v>1</v>
      </c>
    </row>
    <row r="33" spans="1:29" s="471" customFormat="1" ht="15.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46"/>
      <c r="Q33" s="776" t="str">
        <f t="shared" si="11"/>
        <v>项目建筑规模</v>
      </c>
      <c r="R33" s="777" t="s">
        <v>21</v>
      </c>
      <c r="S33" s="778" t="e">
        <f t="shared" si="12"/>
        <v>#N/A</v>
      </c>
      <c r="T33" s="777" t="s">
        <v>21</v>
      </c>
      <c r="U33" s="778" t="e">
        <f t="shared" si="13"/>
        <v>#N/A</v>
      </c>
      <c r="V33" s="777" t="s">
        <v>21</v>
      </c>
      <c r="W33" s="778" t="e">
        <f t="shared" si="14"/>
        <v>#N/A</v>
      </c>
      <c r="X33" s="779"/>
      <c r="Y33" s="3248"/>
      <c r="Z33" s="780" t="str">
        <f t="shared" si="18"/>
        <v>项目建筑规模</v>
      </c>
      <c r="AA33" s="1811" t="e">
        <f t="shared" si="15"/>
        <v>#N/A</v>
      </c>
      <c r="AB33" s="1811" t="e">
        <f t="shared" si="16"/>
        <v>#N/A</v>
      </c>
      <c r="AC33" s="1811" t="e">
        <f t="shared" si="17"/>
        <v>#N/A</v>
      </c>
    </row>
    <row r="34" spans="1:29" ht="15.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46"/>
      <c r="Q34" s="1810" t="str">
        <f t="shared" si="11"/>
        <v>建筑结构</v>
      </c>
      <c r="R34" s="774" t="s">
        <v>21</v>
      </c>
      <c r="S34" s="775">
        <f t="shared" si="12"/>
        <v>100</v>
      </c>
      <c r="T34" s="774" t="s">
        <v>21</v>
      </c>
      <c r="U34" s="775">
        <f t="shared" si="13"/>
        <v>100</v>
      </c>
      <c r="V34" s="774" t="s">
        <v>21</v>
      </c>
      <c r="W34" s="775">
        <f t="shared" si="14"/>
        <v>100</v>
      </c>
      <c r="X34" s="1813"/>
      <c r="Y34" s="3248"/>
      <c r="Z34" s="1814" t="str">
        <f t="shared" si="18"/>
        <v>建筑结构</v>
      </c>
      <c r="AA34" s="1811">
        <f t="shared" si="15"/>
        <v>1</v>
      </c>
      <c r="AB34" s="1811">
        <f t="shared" si="16"/>
        <v>1</v>
      </c>
      <c r="AC34" s="1811">
        <f t="shared" si="17"/>
        <v>1</v>
      </c>
    </row>
    <row r="35" spans="1:29" ht="15.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46"/>
      <c r="Q35" s="1810" t="str">
        <f t="shared" si="11"/>
        <v>建筑品质</v>
      </c>
      <c r="R35" s="774" t="s">
        <v>21</v>
      </c>
      <c r="S35" s="775">
        <f t="shared" si="12"/>
        <v>100</v>
      </c>
      <c r="T35" s="774" t="s">
        <v>21</v>
      </c>
      <c r="U35" s="775">
        <f t="shared" si="13"/>
        <v>100</v>
      </c>
      <c r="V35" s="774" t="s">
        <v>21</v>
      </c>
      <c r="W35" s="775">
        <f t="shared" si="14"/>
        <v>100</v>
      </c>
      <c r="X35" s="1813"/>
      <c r="Y35" s="3248"/>
      <c r="Z35" s="1814" t="str">
        <f t="shared" si="18"/>
        <v>建筑品质</v>
      </c>
      <c r="AA35" s="1811">
        <f t="shared" si="15"/>
        <v>1</v>
      </c>
      <c r="AB35" s="1811">
        <f t="shared" si="16"/>
        <v>1</v>
      </c>
      <c r="AC35" s="1811">
        <f t="shared" si="17"/>
        <v>1</v>
      </c>
    </row>
    <row r="36" spans="1:29" ht="15.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46"/>
      <c r="Q36" s="1810" t="str">
        <f t="shared" si="11"/>
        <v>公共部分装修</v>
      </c>
      <c r="R36" s="774" t="s">
        <v>21</v>
      </c>
      <c r="S36" s="775">
        <f t="shared" si="12"/>
        <v>100</v>
      </c>
      <c r="T36" s="774" t="s">
        <v>21</v>
      </c>
      <c r="U36" s="775">
        <f t="shared" si="13"/>
        <v>100</v>
      </c>
      <c r="V36" s="774" t="s">
        <v>21</v>
      </c>
      <c r="W36" s="775">
        <f t="shared" si="14"/>
        <v>100</v>
      </c>
      <c r="X36" s="1813"/>
      <c r="Y36" s="3248"/>
      <c r="Z36" s="1814" t="str">
        <f t="shared" si="18"/>
        <v>公共部分装修</v>
      </c>
      <c r="AA36" s="1811">
        <f t="shared" si="15"/>
        <v>1</v>
      </c>
      <c r="AB36" s="1811">
        <f t="shared" si="16"/>
        <v>1</v>
      </c>
      <c r="AC36" s="1811">
        <f t="shared" si="17"/>
        <v>1</v>
      </c>
    </row>
    <row r="37" spans="1:29" s="117" customFormat="1" ht="15.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6"/>
      <c r="Q37" s="1795" t="str">
        <f t="shared" si="11"/>
        <v>成新度</v>
      </c>
      <c r="R37" s="770" t="s">
        <v>21</v>
      </c>
      <c r="S37" s="771" t="e">
        <f t="shared" si="12"/>
        <v>#N/A</v>
      </c>
      <c r="T37" s="770" t="s">
        <v>21</v>
      </c>
      <c r="U37" s="771" t="e">
        <f t="shared" si="13"/>
        <v>#N/A</v>
      </c>
      <c r="V37" s="770" t="s">
        <v>21</v>
      </c>
      <c r="W37" s="771" t="e">
        <f t="shared" si="14"/>
        <v>#N/A</v>
      </c>
      <c r="X37" s="772"/>
      <c r="Y37" s="3248"/>
      <c r="Z37" s="55" t="str">
        <f t="shared" si="18"/>
        <v>成新度</v>
      </c>
      <c r="AA37" s="773" t="e">
        <f t="shared" si="15"/>
        <v>#N/A</v>
      </c>
      <c r="AB37" s="773" t="e">
        <f t="shared" si="16"/>
        <v>#N/A</v>
      </c>
      <c r="AC37" s="773" t="e">
        <f t="shared" si="17"/>
        <v>#N/A</v>
      </c>
    </row>
    <row r="38" spans="1:29" ht="15.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46" t="s">
        <v>2564</v>
      </c>
      <c r="Q38" s="1810" t="str">
        <f t="shared" si="11"/>
        <v>物业管理</v>
      </c>
      <c r="R38" s="774" t="s">
        <v>21</v>
      </c>
      <c r="S38" s="775">
        <f t="shared" si="12"/>
        <v>100</v>
      </c>
      <c r="T38" s="774" t="s">
        <v>21</v>
      </c>
      <c r="U38" s="775">
        <f t="shared" si="13"/>
        <v>100</v>
      </c>
      <c r="V38" s="774" t="s">
        <v>21</v>
      </c>
      <c r="W38" s="775">
        <f t="shared" si="14"/>
        <v>100</v>
      </c>
      <c r="X38" s="1813"/>
      <c r="Y38" s="3248" t="s">
        <v>2564</v>
      </c>
      <c r="Z38" s="1814" t="str">
        <f t="shared" si="18"/>
        <v>物业管理</v>
      </c>
      <c r="AA38" s="1811">
        <f t="shared" si="15"/>
        <v>1</v>
      </c>
      <c r="AB38" s="1811">
        <f t="shared" si="16"/>
        <v>1</v>
      </c>
      <c r="AC38" s="1811">
        <f t="shared" si="17"/>
        <v>1</v>
      </c>
    </row>
    <row r="39" spans="1:29" ht="15.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46"/>
      <c r="Q39" s="1810" t="str">
        <f t="shared" si="11"/>
        <v>市政基础设施</v>
      </c>
      <c r="R39" s="774" t="s">
        <v>21</v>
      </c>
      <c r="S39" s="775">
        <f t="shared" si="12"/>
        <v>100</v>
      </c>
      <c r="T39" s="774" t="s">
        <v>21</v>
      </c>
      <c r="U39" s="775">
        <f t="shared" si="13"/>
        <v>100</v>
      </c>
      <c r="V39" s="774" t="s">
        <v>21</v>
      </c>
      <c r="W39" s="775">
        <f t="shared" si="14"/>
        <v>100</v>
      </c>
      <c r="X39" s="1813"/>
      <c r="Y39" s="3248"/>
      <c r="Z39" s="1814" t="str">
        <f t="shared" si="18"/>
        <v>市政基础设施</v>
      </c>
      <c r="AA39" s="1811">
        <f t="shared" si="15"/>
        <v>1</v>
      </c>
      <c r="AB39" s="1811">
        <f t="shared" si="16"/>
        <v>1</v>
      </c>
      <c r="AC39" s="1811">
        <f t="shared" si="17"/>
        <v>1</v>
      </c>
    </row>
    <row r="40" spans="1:29" ht="15.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46"/>
      <c r="Q40" s="1810" t="str">
        <f t="shared" si="11"/>
        <v>房型</v>
      </c>
      <c r="R40" s="774" t="s">
        <v>21</v>
      </c>
      <c r="S40" s="775">
        <f t="shared" si="12"/>
        <v>100</v>
      </c>
      <c r="T40" s="774" t="s">
        <v>21</v>
      </c>
      <c r="U40" s="775">
        <f t="shared" si="13"/>
        <v>100</v>
      </c>
      <c r="V40" s="774" t="s">
        <v>21</v>
      </c>
      <c r="W40" s="775">
        <f t="shared" si="14"/>
        <v>100</v>
      </c>
      <c r="X40" s="1813"/>
      <c r="Y40" s="3248"/>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46"/>
      <c r="Q41" s="776" t="str">
        <f t="shared" si="11"/>
        <v>单套/主力户型建筑面积</v>
      </c>
      <c r="R41" s="777" t="s">
        <v>21</v>
      </c>
      <c r="S41" s="778">
        <f t="shared" si="12"/>
        <v>100</v>
      </c>
      <c r="T41" s="777" t="s">
        <v>21</v>
      </c>
      <c r="U41" s="778">
        <f t="shared" si="13"/>
        <v>100</v>
      </c>
      <c r="V41" s="777" t="s">
        <v>21</v>
      </c>
      <c r="W41" s="778">
        <f t="shared" si="14"/>
        <v>100</v>
      </c>
      <c r="X41" s="779"/>
      <c r="Y41" s="3248"/>
      <c r="Z41" s="780" t="str">
        <f t="shared" si="18"/>
        <v>单套/主力户型建筑面积</v>
      </c>
      <c r="AA41" s="1811">
        <f t="shared" si="15"/>
        <v>1</v>
      </c>
      <c r="AB41" s="1811">
        <f t="shared" si="16"/>
        <v>1</v>
      </c>
      <c r="AC41" s="1811">
        <f t="shared" si="17"/>
        <v>1</v>
      </c>
    </row>
    <row r="42" spans="1:29" ht="15.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46"/>
      <c r="Q42" s="1810" t="str">
        <f t="shared" si="11"/>
        <v>内部装修</v>
      </c>
      <c r="R42" s="774" t="s">
        <v>21</v>
      </c>
      <c r="S42" s="775">
        <f t="shared" si="12"/>
        <v>100</v>
      </c>
      <c r="T42" s="774" t="s">
        <v>21</v>
      </c>
      <c r="U42" s="775">
        <f t="shared" si="13"/>
        <v>100</v>
      </c>
      <c r="V42" s="774" t="s">
        <v>21</v>
      </c>
      <c r="W42" s="775">
        <f t="shared" si="14"/>
        <v>100</v>
      </c>
      <c r="X42" s="1813"/>
      <c r="Y42" s="3248"/>
      <c r="Z42" s="1814" t="str">
        <f t="shared" si="18"/>
        <v>内部装修</v>
      </c>
      <c r="AA42" s="1811">
        <f t="shared" si="15"/>
        <v>1</v>
      </c>
      <c r="AB42" s="1811">
        <f t="shared" si="16"/>
        <v>1</v>
      </c>
      <c r="AC42" s="1811">
        <f t="shared" si="17"/>
        <v>1</v>
      </c>
    </row>
    <row r="43" spans="1:29" ht="28">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46"/>
      <c r="Q43" s="1810" t="str">
        <f t="shared" si="11"/>
        <v>内部装修维护情况</v>
      </c>
      <c r="R43" s="774" t="s">
        <v>21</v>
      </c>
      <c r="S43" s="775">
        <f t="shared" si="12"/>
        <v>100</v>
      </c>
      <c r="T43" s="774" t="s">
        <v>21</v>
      </c>
      <c r="U43" s="775">
        <f t="shared" si="13"/>
        <v>100</v>
      </c>
      <c r="V43" s="774" t="s">
        <v>21</v>
      </c>
      <c r="W43" s="775">
        <f t="shared" si="14"/>
        <v>100</v>
      </c>
      <c r="X43" s="1813"/>
      <c r="Y43" s="3248"/>
      <c r="Z43" s="1814" t="str">
        <f t="shared" si="18"/>
        <v>内部装修维护情况</v>
      </c>
      <c r="AA43" s="1811">
        <f t="shared" si="15"/>
        <v>1</v>
      </c>
      <c r="AB43" s="1811">
        <f t="shared" si="16"/>
        <v>1</v>
      </c>
      <c r="AC43" s="1811">
        <f t="shared" si="17"/>
        <v>1</v>
      </c>
    </row>
    <row r="44" spans="1:29" s="117" customFormat="1" ht="15.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46"/>
      <c r="Q44" s="1795">
        <f t="shared" si="11"/>
        <v>111</v>
      </c>
      <c r="R44" s="770" t="s">
        <v>21</v>
      </c>
      <c r="S44" s="771">
        <f t="shared" si="12"/>
        <v>100</v>
      </c>
      <c r="T44" s="770" t="s">
        <v>21</v>
      </c>
      <c r="U44" s="771">
        <f t="shared" si="13"/>
        <v>100</v>
      </c>
      <c r="V44" s="770" t="s">
        <v>21</v>
      </c>
      <c r="W44" s="771">
        <f t="shared" si="14"/>
        <v>100</v>
      </c>
      <c r="X44" s="772"/>
      <c r="Y44" s="3248"/>
      <c r="Z44" s="55">
        <f t="shared" si="18"/>
        <v>111</v>
      </c>
      <c r="AA44" s="773">
        <f t="shared" si="15"/>
        <v>1</v>
      </c>
      <c r="AB44" s="773">
        <f t="shared" si="16"/>
        <v>1</v>
      </c>
      <c r="AC44" s="773">
        <f t="shared" si="17"/>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46"/>
      <c r="Q45" s="1810">
        <f t="shared" si="11"/>
        <v>111</v>
      </c>
      <c r="R45" s="774" t="s">
        <v>21</v>
      </c>
      <c r="S45" s="775">
        <f t="shared" si="12"/>
        <v>100</v>
      </c>
      <c r="T45" s="774" t="s">
        <v>21</v>
      </c>
      <c r="U45" s="775">
        <f t="shared" si="13"/>
        <v>100</v>
      </c>
      <c r="V45" s="774" t="s">
        <v>21</v>
      </c>
      <c r="W45" s="775">
        <f t="shared" si="14"/>
        <v>100</v>
      </c>
      <c r="X45" s="1813"/>
      <c r="Y45" s="3248"/>
      <c r="Z45" s="1814">
        <f t="shared" si="18"/>
        <v>111</v>
      </c>
      <c r="AA45" s="1811">
        <f t="shared" si="15"/>
        <v>1</v>
      </c>
      <c r="AB45" s="1811">
        <f t="shared" si="16"/>
        <v>1</v>
      </c>
      <c r="AC45" s="1811">
        <f t="shared" si="17"/>
        <v>1</v>
      </c>
    </row>
    <row r="46" spans="1:29" ht="16"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47"/>
      <c r="Q46" s="1810">
        <f t="shared" si="11"/>
        <v>111</v>
      </c>
      <c r="R46" s="774" t="s">
        <v>20</v>
      </c>
      <c r="S46" s="775">
        <f t="shared" si="12"/>
        <v>100</v>
      </c>
      <c r="T46" s="774" t="s">
        <v>20</v>
      </c>
      <c r="U46" s="775">
        <f t="shared" si="13"/>
        <v>100</v>
      </c>
      <c r="V46" s="774" t="s">
        <v>20</v>
      </c>
      <c r="W46" s="775">
        <f t="shared" si="14"/>
        <v>100</v>
      </c>
      <c r="X46" s="1813"/>
      <c r="Y46" s="3249"/>
      <c r="Z46" s="1814">
        <f t="shared" si="18"/>
        <v>111</v>
      </c>
      <c r="AA46" s="1811">
        <f t="shared" si="15"/>
        <v>1</v>
      </c>
      <c r="AB46" s="1811">
        <f t="shared" si="16"/>
        <v>1</v>
      </c>
      <c r="AC46" s="1811">
        <f t="shared" si="17"/>
        <v>1</v>
      </c>
    </row>
    <row r="47" spans="1:29">
      <c r="A47" s="479" t="s">
        <v>2576</v>
      </c>
      <c r="B47" s="480"/>
      <c r="C47" s="1407" t="s">
        <v>19</v>
      </c>
      <c r="D47" s="1408"/>
      <c r="E47" s="1409"/>
      <c r="F47" s="1410"/>
      <c r="G47" s="1411"/>
      <c r="H47" s="1412"/>
      <c r="I47" s="1409"/>
      <c r="J47" s="1412"/>
      <c r="K47" s="2623"/>
      <c r="L47" s="1143"/>
      <c r="M47" s="1144"/>
      <c r="N47" s="1131"/>
      <c r="O47" s="1144"/>
      <c r="P47" s="3241" t="str">
        <f>A47</f>
        <v>成交单价（元/平方米）</v>
      </c>
      <c r="Q47" s="3241"/>
      <c r="R47" s="3242">
        <f>E47</f>
        <v>0</v>
      </c>
      <c r="S47" s="3242"/>
      <c r="T47" s="3242">
        <f>G47</f>
        <v>0</v>
      </c>
      <c r="U47" s="3242"/>
      <c r="V47" s="3242">
        <f>I47</f>
        <v>0</v>
      </c>
      <c r="W47" s="3242"/>
      <c r="X47" s="759"/>
      <c r="Y47" s="781"/>
      <c r="Z47" s="759"/>
      <c r="AA47" s="759"/>
      <c r="AB47" s="759"/>
      <c r="AC47" s="759"/>
    </row>
    <row r="48" spans="1:29" ht="14.5" thickBot="1">
      <c r="A48" s="486" t="s">
        <v>2577</v>
      </c>
      <c r="B48" s="487"/>
      <c r="C48" s="1413" t="e">
        <f>R49</f>
        <v>#DIV/0!</v>
      </c>
      <c r="D48" s="1414"/>
      <c r="E48" s="1415" t="e">
        <f>R48</f>
        <v>#DIV/0!</v>
      </c>
      <c r="F48" s="1415"/>
      <c r="G48" s="1413" t="e">
        <f>T48</f>
        <v>#DIV/0!</v>
      </c>
      <c r="H48" s="1414"/>
      <c r="I48" s="1415" t="e">
        <f>V48</f>
        <v>#DIV/0!</v>
      </c>
      <c r="J48" s="1414"/>
      <c r="K48" s="2624"/>
      <c r="L48" s="1143"/>
      <c r="M48" s="1144"/>
      <c r="N48" s="1144"/>
      <c r="O48" s="1144"/>
      <c r="P48" s="3241" t="str">
        <f>A48</f>
        <v>比较价值（元/平方米）</v>
      </c>
      <c r="Q48" s="324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4.5" thickBot="1">
      <c r="A49" s="492" t="s">
        <v>2578</v>
      </c>
      <c r="B49" s="493"/>
      <c r="C49" s="1416" t="e">
        <f>R49</f>
        <v>#DIV/0!</v>
      </c>
      <c r="D49" s="1417"/>
      <c r="E49" s="1417"/>
      <c r="F49" s="1417"/>
      <c r="G49" s="1417"/>
      <c r="H49" s="1417"/>
      <c r="I49" s="1417"/>
      <c r="J49" s="1417"/>
      <c r="K49" s="2625"/>
      <c r="L49" s="1143"/>
      <c r="M49" s="1144"/>
      <c r="N49" s="1144"/>
      <c r="O49" s="1144"/>
      <c r="P49" s="3238" t="str">
        <f>A49</f>
        <v>估价对象XX用房的比较价值（楼面单价，元/平方米）</v>
      </c>
      <c r="Q49" s="3239"/>
      <c r="R49" s="3240" t="e">
        <f>IF(F1="售价",ROUND(AVERAGE(R48:V48),0),ROUND(AVERAGE(R48:V48),1))</f>
        <v>#DIV/0!</v>
      </c>
      <c r="S49" s="3240"/>
      <c r="T49" s="3240"/>
      <c r="U49" s="3240"/>
      <c r="V49" s="3240"/>
      <c r="W49" s="324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5" thickBot="1">
      <c r="A57" s="763" t="s">
        <v>2582</v>
      </c>
      <c r="B57" s="759"/>
      <c r="C57" s="764"/>
      <c r="D57" s="764"/>
      <c r="E57" s="764"/>
      <c r="F57" s="765"/>
      <c r="G57" s="765"/>
      <c r="H57" s="764"/>
      <c r="I57" s="764"/>
      <c r="J57" s="764"/>
      <c r="K57" s="1160"/>
      <c r="L57" s="1161"/>
      <c r="M57" s="1159"/>
      <c r="N57" s="1159"/>
      <c r="O57" s="1159"/>
      <c r="P57" s="2628"/>
      <c r="Q57" s="504"/>
    </row>
    <row r="58" spans="1:29" s="508" customFormat="1">
      <c r="A58" s="505" t="s">
        <v>2583</v>
      </c>
      <c r="B58" s="506"/>
      <c r="C58" s="1576" t="str">
        <f>YEAR(C7)&amp;"-"&amp;MONTH(C7)</f>
        <v>2020-2</v>
      </c>
      <c r="D58" s="1575">
        <f>EDATE(C58,-1)</f>
        <v>43831</v>
      </c>
      <c r="E58" s="1575">
        <f>EDATE(D58,-1)</f>
        <v>43800</v>
      </c>
      <c r="F58" s="1575">
        <f t="shared" ref="F58:O58" si="19">EDATE(E58,-1)</f>
        <v>43770</v>
      </c>
      <c r="G58" s="1575">
        <f t="shared" si="19"/>
        <v>43739</v>
      </c>
      <c r="H58" s="1575">
        <f t="shared" si="19"/>
        <v>43709</v>
      </c>
      <c r="I58" s="1575">
        <f t="shared" si="19"/>
        <v>43678</v>
      </c>
      <c r="J58" s="1575">
        <f t="shared" si="19"/>
        <v>43647</v>
      </c>
      <c r="K58" s="1575">
        <f t="shared" si="19"/>
        <v>43617</v>
      </c>
      <c r="L58" s="1575">
        <f t="shared" si="19"/>
        <v>43586</v>
      </c>
      <c r="M58" s="1575">
        <f t="shared" si="19"/>
        <v>43556</v>
      </c>
      <c r="N58" s="1575">
        <f t="shared" si="19"/>
        <v>43525</v>
      </c>
      <c r="O58" s="1575">
        <f t="shared" si="19"/>
        <v>43497</v>
      </c>
      <c r="P58" s="1570"/>
    </row>
    <row r="59" spans="1:29" s="117" customFormat="1">
      <c r="A59" s="509"/>
      <c r="B59" s="2629"/>
      <c r="C59" s="1573">
        <v>100</v>
      </c>
      <c r="D59" s="511"/>
      <c r="E59" s="512"/>
      <c r="F59" s="512"/>
      <c r="G59" s="512"/>
      <c r="H59" s="512"/>
      <c r="I59" s="512"/>
      <c r="J59" s="512"/>
      <c r="K59" s="512"/>
      <c r="L59" s="512"/>
      <c r="M59" s="513"/>
      <c r="N59" s="512"/>
      <c r="O59" s="513"/>
      <c r="P59" s="2630"/>
    </row>
    <row r="60" spans="1:29" s="117" customFormat="1" ht="14.5" thickBot="1">
      <c r="A60" s="515" t="s">
        <v>2584</v>
      </c>
      <c r="B60" s="516"/>
      <c r="C60" s="517"/>
      <c r="D60" s="518"/>
      <c r="E60" s="518"/>
      <c r="F60" s="518"/>
      <c r="G60" s="518"/>
      <c r="H60" s="518"/>
      <c r="I60" s="518"/>
      <c r="J60" s="518"/>
      <c r="K60" s="518"/>
      <c r="L60" s="518"/>
      <c r="M60" s="519"/>
      <c r="N60" s="518"/>
      <c r="O60" s="519"/>
      <c r="P60" s="2630"/>
      <c r="Q60" s="504"/>
    </row>
    <row r="61" spans="1:29" s="117" customFormat="1">
      <c r="A61" s="521" t="s">
        <v>2585</v>
      </c>
      <c r="B61" s="510"/>
      <c r="C61" s="522" t="s">
        <v>2586</v>
      </c>
      <c r="D61" s="523"/>
      <c r="E61" s="523"/>
      <c r="F61" s="523"/>
      <c r="G61" s="523"/>
      <c r="H61" s="523"/>
      <c r="I61" s="523"/>
      <c r="J61" s="523"/>
      <c r="K61" s="523"/>
      <c r="L61" s="524"/>
      <c r="M61" s="525"/>
      <c r="N61" s="1151"/>
      <c r="O61" s="1151"/>
      <c r="P61" s="2631"/>
      <c r="Q61" s="504"/>
    </row>
    <row r="62" spans="1:29" s="117" customFormat="1" ht="14.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4.5" thickBot="1">
      <c r="A64" s="534"/>
      <c r="B64" s="535"/>
      <c r="C64" s="536">
        <v>100</v>
      </c>
      <c r="D64" s="536"/>
      <c r="E64" s="536"/>
      <c r="F64" s="536"/>
      <c r="G64" s="536"/>
      <c r="H64" s="536"/>
      <c r="I64" s="536"/>
      <c r="J64" s="536"/>
      <c r="K64" s="536"/>
      <c r="L64" s="536"/>
      <c r="M64" s="537"/>
      <c r="N64" s="1153"/>
      <c r="O64" s="1153"/>
      <c r="P64" s="2632"/>
      <c r="Q64" s="504"/>
    </row>
    <row r="65" spans="1:17" ht="28.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4.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4.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c r="A68" s="534"/>
      <c r="B68" s="548"/>
      <c r="C68" s="549"/>
      <c r="D68" s="549"/>
      <c r="E68" s="549"/>
      <c r="F68" s="549"/>
      <c r="G68" s="549"/>
      <c r="H68" s="549"/>
      <c r="I68" s="549"/>
      <c r="J68" s="549"/>
      <c r="K68" s="550"/>
      <c r="L68" s="551"/>
      <c r="M68" s="552"/>
      <c r="N68" s="1152"/>
      <c r="O68" s="1152"/>
      <c r="P68" s="2632"/>
      <c r="Q68" s="504"/>
    </row>
    <row r="69" spans="1:17" ht="14.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4.5" thickTop="1">
      <c r="A70" s="553"/>
      <c r="B70" s="538">
        <f>B12</f>
        <v>111</v>
      </c>
      <c r="C70" s="554"/>
      <c r="D70" s="554"/>
      <c r="E70" s="554"/>
      <c r="F70" s="554"/>
      <c r="G70" s="554"/>
      <c r="H70" s="555"/>
      <c r="I70" s="555"/>
      <c r="J70" s="555"/>
      <c r="K70" s="555"/>
      <c r="L70" s="556"/>
      <c r="M70" s="557"/>
      <c r="N70" s="1154"/>
      <c r="O70" s="1154"/>
      <c r="P70" s="2633"/>
      <c r="Q70" s="559"/>
    </row>
    <row r="71" spans="1:17" s="471" customFormat="1" ht="14.5" thickBot="1">
      <c r="A71" s="553"/>
      <c r="B71" s="543"/>
      <c r="C71" s="560"/>
      <c r="D71" s="536"/>
      <c r="E71" s="536"/>
      <c r="F71" s="536"/>
      <c r="G71" s="536"/>
      <c r="H71" s="536"/>
      <c r="I71" s="536"/>
      <c r="J71" s="536"/>
      <c r="K71" s="536"/>
      <c r="L71" s="536"/>
      <c r="M71" s="537"/>
      <c r="N71" s="1153"/>
      <c r="O71" s="1153"/>
      <c r="P71" s="2633"/>
      <c r="Q71" s="559"/>
    </row>
    <row r="72" spans="1:17" s="471" customFormat="1" ht="14.5" thickTop="1">
      <c r="A72" s="553"/>
      <c r="B72" s="538">
        <f>B13</f>
        <v>111</v>
      </c>
      <c r="C72" s="554"/>
      <c r="D72" s="554"/>
      <c r="E72" s="554"/>
      <c r="F72" s="554"/>
      <c r="G72" s="554"/>
      <c r="H72" s="555"/>
      <c r="I72" s="555"/>
      <c r="J72" s="555"/>
      <c r="K72" s="555"/>
      <c r="L72" s="556"/>
      <c r="M72" s="557"/>
      <c r="N72" s="1154"/>
      <c r="O72" s="1154"/>
      <c r="P72" s="2634"/>
      <c r="Q72" s="561"/>
    </row>
    <row r="73" spans="1:17" s="471" customFormat="1" ht="14.5" thickBot="1">
      <c r="A73" s="553"/>
      <c r="B73" s="543"/>
      <c r="C73" s="560"/>
      <c r="D73" s="560"/>
      <c r="E73" s="560"/>
      <c r="F73" s="560"/>
      <c r="G73" s="560"/>
      <c r="H73" s="562"/>
      <c r="I73" s="562"/>
      <c r="J73" s="562"/>
      <c r="K73" s="562"/>
      <c r="L73" s="562"/>
      <c r="M73" s="563"/>
      <c r="N73" s="1154"/>
      <c r="O73" s="1154"/>
      <c r="P73" s="2633"/>
      <c r="Q73" s="559"/>
    </row>
    <row r="74" spans="1:17" s="471" customFormat="1" ht="14.5" thickTop="1">
      <c r="A74" s="553"/>
      <c r="B74" s="546">
        <f>B14</f>
        <v>111</v>
      </c>
      <c r="C74" s="554"/>
      <c r="D74" s="554"/>
      <c r="E74" s="554"/>
      <c r="F74" s="554"/>
      <c r="G74" s="523"/>
      <c r="H74" s="564"/>
      <c r="I74" s="564"/>
      <c r="J74" s="564"/>
      <c r="K74" s="564"/>
      <c r="L74" s="565"/>
      <c r="M74" s="566"/>
      <c r="N74" s="1154"/>
      <c r="O74" s="1154"/>
      <c r="P74" s="2635"/>
      <c r="Q74" s="559"/>
    </row>
    <row r="75" spans="1:17" s="471" customFormat="1" ht="14.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4.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4.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4.5" thickTop="1">
      <c r="A82" s="534"/>
      <c r="B82" s="546" t="s">
        <v>2096</v>
      </c>
      <c r="C82" s="539" t="s">
        <v>2603</v>
      </c>
      <c r="D82" s="539" t="s">
        <v>2604</v>
      </c>
      <c r="E82" s="539" t="s">
        <v>2605</v>
      </c>
      <c r="F82" s="539" t="s">
        <v>2606</v>
      </c>
      <c r="G82" s="539" t="s">
        <v>2607</v>
      </c>
      <c r="H82" s="539"/>
      <c r="I82" s="539"/>
      <c r="J82" s="539"/>
      <c r="K82" s="539"/>
      <c r="L82" s="539"/>
      <c r="M82" s="1382"/>
      <c r="N82" s="1153"/>
      <c r="O82" s="1153"/>
      <c r="P82" s="2632"/>
      <c r="Q82" s="504"/>
    </row>
    <row r="83" spans="1:17" ht="14.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4.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 thickTop="1">
      <c r="A86" s="579"/>
      <c r="B86" s="538" t="s">
        <v>2609</v>
      </c>
      <c r="C86" s="554"/>
      <c r="D86" s="554"/>
      <c r="E86" s="554"/>
      <c r="F86" s="554"/>
      <c r="G86" s="554"/>
      <c r="H86" s="554"/>
      <c r="I86" s="554"/>
      <c r="J86" s="554"/>
      <c r="K86" s="554"/>
      <c r="L86" s="580"/>
      <c r="M86" s="581"/>
      <c r="N86" s="1151"/>
      <c r="O86" s="1151"/>
      <c r="P86" s="2632"/>
      <c r="Q86" s="504"/>
    </row>
    <row r="87" spans="1:17" s="117" customFormat="1" ht="14.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4.5" thickTop="1">
      <c r="A88" s="579"/>
      <c r="B88" s="538" t="s">
        <v>2610</v>
      </c>
      <c r="C88" s="554"/>
      <c r="D88" s="554"/>
      <c r="E88" s="554"/>
      <c r="F88" s="2637"/>
      <c r="G88" s="554"/>
      <c r="H88" s="554"/>
      <c r="I88" s="554"/>
      <c r="J88" s="554"/>
      <c r="K88" s="554"/>
      <c r="L88" s="554"/>
      <c r="M88" s="581"/>
      <c r="N88" s="1151"/>
      <c r="O88" s="1151"/>
      <c r="P88" s="2632"/>
      <c r="Q88" s="504"/>
    </row>
    <row r="89" spans="1:17" s="117" customFormat="1" ht="14.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4.5" thickTop="1">
      <c r="A90" s="553"/>
      <c r="B90" s="538">
        <f>B27</f>
        <v>111</v>
      </c>
      <c r="C90" s="554"/>
      <c r="D90" s="554"/>
      <c r="E90" s="554"/>
      <c r="F90" s="554"/>
      <c r="G90" s="554"/>
      <c r="H90" s="555"/>
      <c r="I90" s="555"/>
      <c r="J90" s="555"/>
      <c r="K90" s="555"/>
      <c r="L90" s="556"/>
      <c r="M90" s="557"/>
      <c r="N90" s="1154"/>
      <c r="O90" s="1154"/>
      <c r="P90" s="2633"/>
      <c r="Q90" s="559"/>
    </row>
    <row r="91" spans="1:17" s="471" customFormat="1" ht="14.5" thickBot="1">
      <c r="A91" s="553"/>
      <c r="B91" s="543"/>
      <c r="C91" s="560"/>
      <c r="D91" s="560"/>
      <c r="E91" s="560"/>
      <c r="F91" s="560"/>
      <c r="G91" s="560"/>
      <c r="H91" s="562"/>
      <c r="I91" s="562"/>
      <c r="J91" s="562"/>
      <c r="K91" s="562"/>
      <c r="L91" s="562"/>
      <c r="M91" s="563"/>
      <c r="N91" s="1154"/>
      <c r="O91" s="1154"/>
      <c r="P91" s="2633"/>
      <c r="Q91" s="559"/>
    </row>
    <row r="92" spans="1:17" ht="14.5" thickTop="1">
      <c r="A92" s="534"/>
      <c r="B92" s="538">
        <f>B28</f>
        <v>111</v>
      </c>
      <c r="C92" s="554"/>
      <c r="D92" s="554"/>
      <c r="E92" s="554"/>
      <c r="F92" s="554"/>
      <c r="G92" s="583"/>
      <c r="H92" s="583"/>
      <c r="I92" s="583"/>
      <c r="J92" s="583"/>
      <c r="K92" s="584"/>
      <c r="L92" s="585"/>
      <c r="M92" s="586"/>
      <c r="N92" s="1152"/>
      <c r="O92" s="1152"/>
      <c r="P92" s="2632"/>
      <c r="Q92" s="504"/>
    </row>
    <row r="93" spans="1:17" ht="14.5" thickBot="1">
      <c r="A93" s="534"/>
      <c r="B93" s="543"/>
      <c r="C93" s="560"/>
      <c r="D93" s="536"/>
      <c r="E93" s="536"/>
      <c r="F93" s="536"/>
      <c r="G93" s="536"/>
      <c r="H93" s="536"/>
      <c r="I93" s="536"/>
      <c r="J93" s="536"/>
      <c r="K93" s="536"/>
      <c r="L93" s="536"/>
      <c r="M93" s="537"/>
      <c r="N93" s="1153"/>
      <c r="O93" s="1153"/>
      <c r="P93" s="2632"/>
      <c r="Q93" s="504"/>
    </row>
    <row r="94" spans="1:17" ht="14.5" thickTop="1">
      <c r="A94" s="534"/>
      <c r="B94" s="538">
        <f>B29</f>
        <v>111</v>
      </c>
      <c r="C94" s="554"/>
      <c r="D94" s="554"/>
      <c r="E94" s="554"/>
      <c r="F94" s="554"/>
      <c r="G94" s="583"/>
      <c r="H94" s="583"/>
      <c r="I94" s="583"/>
      <c r="J94" s="583"/>
      <c r="K94" s="584"/>
      <c r="L94" s="585"/>
      <c r="M94" s="586"/>
      <c r="N94" s="1152"/>
      <c r="O94" s="1152"/>
      <c r="P94" s="2632"/>
      <c r="Q94" s="504"/>
    </row>
    <row r="95" spans="1:17" ht="14.5" thickBot="1">
      <c r="A95" s="534"/>
      <c r="B95" s="543"/>
      <c r="C95" s="560"/>
      <c r="D95" s="560"/>
      <c r="E95" s="560"/>
      <c r="F95" s="560"/>
      <c r="G95" s="536"/>
      <c r="H95" s="536"/>
      <c r="I95" s="536"/>
      <c r="J95" s="536"/>
      <c r="K95" s="536"/>
      <c r="L95" s="536"/>
      <c r="M95" s="537"/>
      <c r="N95" s="1153"/>
      <c r="O95" s="1153"/>
      <c r="P95" s="2632"/>
      <c r="Q95" s="504"/>
    </row>
    <row r="96" spans="1:17" ht="14.5" thickTop="1">
      <c r="A96" s="534"/>
      <c r="B96" s="538">
        <f>B30</f>
        <v>111</v>
      </c>
      <c r="C96" s="554"/>
      <c r="D96" s="554"/>
      <c r="E96" s="554"/>
      <c r="F96" s="554"/>
      <c r="G96" s="583"/>
      <c r="H96" s="583"/>
      <c r="I96" s="583"/>
      <c r="J96" s="583"/>
      <c r="K96" s="584"/>
      <c r="L96" s="585"/>
      <c r="M96" s="586"/>
      <c r="N96" s="1152"/>
      <c r="O96" s="1152"/>
      <c r="P96" s="2632"/>
      <c r="Q96" s="504"/>
    </row>
    <row r="97" spans="1:17" ht="14.5" thickBot="1">
      <c r="A97" s="534"/>
      <c r="B97" s="543"/>
      <c r="C97" s="570"/>
      <c r="D97" s="570"/>
      <c r="E97" s="570"/>
      <c r="F97" s="570"/>
      <c r="G97" s="536"/>
      <c r="H97" s="536"/>
      <c r="I97" s="536"/>
      <c r="J97" s="536"/>
      <c r="K97" s="536"/>
      <c r="L97" s="536"/>
      <c r="M97" s="537"/>
      <c r="N97" s="1153"/>
      <c r="O97" s="1153"/>
      <c r="P97" s="2632"/>
      <c r="Q97" s="504"/>
    </row>
    <row r="98" spans="1:17" ht="14.5" thickTop="1">
      <c r="A98" s="534"/>
      <c r="B98" s="546">
        <f>B31</f>
        <v>111</v>
      </c>
      <c r="C98" s="587"/>
      <c r="D98" s="587"/>
      <c r="E98" s="587"/>
      <c r="F98" s="587"/>
      <c r="G98" s="587"/>
      <c r="H98" s="587"/>
      <c r="I98" s="587"/>
      <c r="J98" s="587"/>
      <c r="K98" s="588"/>
      <c r="L98" s="589"/>
      <c r="M98" s="590"/>
      <c r="N98" s="1152"/>
      <c r="O98" s="1152"/>
      <c r="P98" s="2632"/>
      <c r="Q98" s="504"/>
    </row>
    <row r="99" spans="1:17" ht="14.5" thickBot="1">
      <c r="A99" s="2638"/>
      <c r="B99" s="569"/>
      <c r="C99" s="591"/>
      <c r="D99" s="591"/>
      <c r="E99" s="591"/>
      <c r="F99" s="591"/>
      <c r="G99" s="591"/>
      <c r="H99" s="591"/>
      <c r="I99" s="591"/>
      <c r="J99" s="591"/>
      <c r="K99" s="591"/>
      <c r="L99" s="591"/>
      <c r="M99" s="592"/>
      <c r="N99" s="1153"/>
      <c r="O99" s="1153"/>
      <c r="P99" s="2632"/>
      <c r="Q99" s="504"/>
    </row>
    <row r="100" spans="1:17">
      <c r="A100" s="527" t="s">
        <v>2562</v>
      </c>
      <c r="B100" s="528" t="s">
        <v>2611</v>
      </c>
      <c r="C100" s="530"/>
      <c r="D100" s="530"/>
      <c r="E100" s="530"/>
      <c r="F100" s="530"/>
      <c r="G100" s="530"/>
      <c r="H100" s="530"/>
      <c r="I100" s="530"/>
      <c r="J100" s="530"/>
      <c r="K100" s="531"/>
      <c r="L100" s="532"/>
      <c r="M100" s="533"/>
      <c r="N100" s="1152"/>
      <c r="O100" s="1152"/>
      <c r="P100" s="2632"/>
      <c r="Q100" s="504"/>
    </row>
    <row r="101" spans="1:17" ht="14.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4.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4.5" thickBot="1">
      <c r="A104" s="553"/>
      <c r="B104" s="543"/>
      <c r="C104" s="560"/>
      <c r="D104" s="536"/>
      <c r="E104" s="536"/>
      <c r="F104" s="536"/>
      <c r="G104" s="536"/>
      <c r="H104" s="536"/>
      <c r="I104" s="536"/>
      <c r="J104" s="536"/>
      <c r="K104" s="536"/>
      <c r="L104" s="536"/>
      <c r="M104" s="536"/>
      <c r="N104" s="1153"/>
      <c r="O104" s="1153"/>
      <c r="P104" s="2633"/>
      <c r="Q104" s="559"/>
    </row>
    <row r="105" spans="1:17" ht="14.5" thickTop="1">
      <c r="A105" s="599"/>
      <c r="B105" s="538" t="s">
        <v>2613</v>
      </c>
      <c r="C105" s="554"/>
      <c r="D105" s="554"/>
      <c r="E105" s="583"/>
      <c r="F105" s="583"/>
      <c r="G105" s="583"/>
      <c r="H105" s="583"/>
      <c r="I105" s="583"/>
      <c r="J105" s="583"/>
      <c r="K105" s="584"/>
      <c r="L105" s="585"/>
      <c r="M105" s="586"/>
      <c r="N105" s="1152"/>
      <c r="O105" s="1152"/>
      <c r="P105" s="2632"/>
      <c r="Q105" s="504"/>
    </row>
    <row r="106" spans="1:17" ht="14.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4.5" thickTop="1">
      <c r="A107" s="599"/>
      <c r="B107" s="538" t="s">
        <v>2614</v>
      </c>
      <c r="C107" s="583"/>
      <c r="D107" s="583"/>
      <c r="E107" s="583"/>
      <c r="F107" s="583"/>
      <c r="G107" s="583"/>
      <c r="H107" s="583"/>
      <c r="I107" s="583"/>
      <c r="J107" s="583"/>
      <c r="K107" s="584"/>
      <c r="L107" s="585"/>
      <c r="M107" s="586"/>
      <c r="N107" s="1152"/>
      <c r="O107" s="1152"/>
      <c r="P107" s="2632"/>
      <c r="Q107" s="504"/>
    </row>
    <row r="108" spans="1:17" ht="14.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4.5" thickTop="1">
      <c r="A109" s="599"/>
      <c r="B109" s="538" t="s">
        <v>2615</v>
      </c>
      <c r="C109" s="554"/>
      <c r="D109" s="554"/>
      <c r="E109" s="554"/>
      <c r="F109" s="583"/>
      <c r="G109" s="583"/>
      <c r="H109" s="583"/>
      <c r="I109" s="583"/>
      <c r="J109" s="583"/>
      <c r="K109" s="584"/>
      <c r="L109" s="585"/>
      <c r="M109" s="586"/>
      <c r="N109" s="1152"/>
      <c r="O109" s="1152"/>
      <c r="P109" s="2632"/>
      <c r="Q109" s="504"/>
    </row>
    <row r="110" spans="1:17" ht="14.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4.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4.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4.5" thickTop="1">
      <c r="A114" s="599"/>
      <c r="B114" s="538" t="s">
        <v>2616</v>
      </c>
      <c r="C114" s="554"/>
      <c r="D114" s="554"/>
      <c r="E114" s="583"/>
      <c r="F114" s="583"/>
      <c r="G114" s="583"/>
      <c r="H114" s="583"/>
      <c r="I114" s="583"/>
      <c r="J114" s="583"/>
      <c r="K114" s="584"/>
      <c r="L114" s="585"/>
      <c r="M114" s="586"/>
      <c r="N114" s="1152"/>
      <c r="O114" s="1152"/>
      <c r="P114" s="2632"/>
      <c r="Q114" s="504"/>
    </row>
    <row r="115" spans="1:17" ht="14.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4.5" thickTop="1">
      <c r="A116" s="599"/>
      <c r="B116" s="538" t="s">
        <v>2617</v>
      </c>
      <c r="C116" s="554"/>
      <c r="D116" s="554"/>
      <c r="E116" s="554"/>
      <c r="F116" s="554"/>
      <c r="G116" s="554"/>
      <c r="H116" s="583"/>
      <c r="I116" s="583"/>
      <c r="J116" s="583"/>
      <c r="K116" s="584"/>
      <c r="L116" s="585"/>
      <c r="M116" s="586"/>
      <c r="N116" s="1152"/>
      <c r="O116" s="1152"/>
      <c r="P116" s="2632"/>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4.5" thickTop="1">
      <c r="A118" s="599"/>
      <c r="B118" s="538" t="s">
        <v>2618</v>
      </c>
      <c r="C118" s="583"/>
      <c r="D118" s="583"/>
      <c r="E118" s="583"/>
      <c r="F118" s="583"/>
      <c r="G118" s="583"/>
      <c r="H118" s="583"/>
      <c r="I118" s="583"/>
      <c r="J118" s="583"/>
      <c r="K118" s="584"/>
      <c r="L118" s="585"/>
      <c r="M118" s="586"/>
      <c r="N118" s="1152"/>
      <c r="O118" s="1152"/>
      <c r="P118" s="2632"/>
      <c r="Q118" s="504"/>
    </row>
    <row r="119" spans="1:17" ht="14.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9" thickTop="1">
      <c r="A120" s="593"/>
      <c r="B120" s="538" t="s">
        <v>2573</v>
      </c>
      <c r="C120" s="554"/>
      <c r="D120" s="554"/>
      <c r="E120" s="554"/>
      <c r="F120" s="554"/>
      <c r="G120" s="554"/>
      <c r="H120" s="554"/>
      <c r="I120" s="554"/>
      <c r="J120" s="554"/>
      <c r="K120" s="554"/>
      <c r="L120" s="580"/>
      <c r="M120" s="581"/>
      <c r="N120" s="1154"/>
      <c r="O120" s="1154"/>
      <c r="P120" s="2633"/>
      <c r="Q120" s="559"/>
    </row>
    <row r="121" spans="1:17" s="471" customFormat="1" ht="14.5" thickBot="1">
      <c r="A121" s="553"/>
      <c r="B121" s="535"/>
      <c r="C121" s="560"/>
      <c r="D121" s="536"/>
      <c r="E121" s="536"/>
      <c r="F121" s="536"/>
      <c r="G121" s="536"/>
      <c r="H121" s="536"/>
      <c r="I121" s="536"/>
      <c r="J121" s="536"/>
      <c r="K121" s="536"/>
      <c r="L121" s="536"/>
      <c r="M121" s="536"/>
      <c r="N121" s="1154"/>
      <c r="O121" s="1154"/>
      <c r="P121" s="2633"/>
      <c r="Q121" s="559"/>
    </row>
    <row r="122" spans="1:17" ht="14.5" thickTop="1">
      <c r="A122" s="599"/>
      <c r="B122" s="538" t="s">
        <v>2619</v>
      </c>
      <c r="C122" s="554"/>
      <c r="D122" s="554"/>
      <c r="E122" s="554"/>
      <c r="F122" s="583"/>
      <c r="G122" s="583"/>
      <c r="H122" s="583"/>
      <c r="I122" s="583"/>
      <c r="J122" s="583"/>
      <c r="K122" s="584"/>
      <c r="L122" s="585"/>
      <c r="M122" s="586"/>
      <c r="N122" s="1152"/>
      <c r="O122" s="1152"/>
      <c r="P122" s="2632"/>
      <c r="Q122" s="504"/>
    </row>
    <row r="123" spans="1:17" ht="14.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28.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3"/>
      <c r="Q127" s="559"/>
    </row>
    <row r="128" spans="1:17" ht="14.5" thickTop="1">
      <c r="A128" s="599"/>
      <c r="B128" s="538">
        <f>B45</f>
        <v>111</v>
      </c>
      <c r="C128" s="554"/>
      <c r="D128" s="554"/>
      <c r="E128" s="554"/>
      <c r="F128" s="554"/>
      <c r="G128" s="583"/>
      <c r="H128" s="583"/>
      <c r="I128" s="583"/>
      <c r="J128" s="583"/>
      <c r="K128" s="584"/>
      <c r="L128" s="585"/>
      <c r="M128" s="586"/>
      <c r="N128" s="1152"/>
      <c r="O128" s="1152"/>
      <c r="P128" s="2632"/>
      <c r="Q128" s="504"/>
    </row>
    <row r="129" spans="1:17" ht="14.5" thickBot="1">
      <c r="A129" s="534"/>
      <c r="B129" s="543"/>
      <c r="C129" s="560"/>
      <c r="D129" s="560"/>
      <c r="E129" s="560"/>
      <c r="F129" s="560"/>
      <c r="G129" s="536"/>
      <c r="H129" s="536"/>
      <c r="I129" s="536"/>
      <c r="J129" s="536"/>
      <c r="K129" s="536"/>
      <c r="L129" s="536"/>
      <c r="M129" s="537"/>
      <c r="N129" s="1153"/>
      <c r="O129" s="1153"/>
      <c r="P129" s="2632"/>
      <c r="Q129" s="504"/>
    </row>
    <row r="130" spans="1:17" ht="14.5" thickTop="1">
      <c r="A130" s="599"/>
      <c r="B130" s="546">
        <f>B46</f>
        <v>111</v>
      </c>
      <c r="C130" s="554"/>
      <c r="D130" s="554"/>
      <c r="E130" s="554"/>
      <c r="F130" s="554"/>
      <c r="G130" s="587"/>
      <c r="H130" s="587"/>
      <c r="I130" s="587"/>
      <c r="J130" s="587"/>
      <c r="K130" s="523"/>
      <c r="L130" s="524"/>
      <c r="M130" s="590"/>
      <c r="N130" s="1152"/>
      <c r="O130" s="1152"/>
      <c r="P130" s="2632"/>
      <c r="Q130" s="504"/>
    </row>
    <row r="131" spans="1:17" ht="14.5" thickBot="1">
      <c r="A131" s="2638"/>
      <c r="B131" s="569"/>
      <c r="C131" s="570"/>
      <c r="D131" s="570"/>
      <c r="E131" s="570"/>
      <c r="F131" s="570"/>
      <c r="G131" s="591"/>
      <c r="H131" s="591"/>
      <c r="I131" s="591"/>
      <c r="J131" s="591"/>
      <c r="K131" s="591"/>
      <c r="L131" s="591"/>
      <c r="M131" s="592"/>
      <c r="N131" s="1153"/>
      <c r="O131" s="1153"/>
      <c r="P131" s="2632"/>
      <c r="Q131" s="504"/>
    </row>
    <row r="136" spans="1:17" ht="14.5" thickBot="1">
      <c r="B136" s="2639" t="s">
        <v>2621</v>
      </c>
    </row>
    <row r="137" spans="1:17" ht="15.5">
      <c r="B137" s="2640" t="s">
        <v>2622</v>
      </c>
      <c r="C137" s="2641"/>
      <c r="D137" s="2641"/>
      <c r="E137" s="2641"/>
      <c r="F137" s="2641"/>
      <c r="G137" s="2642"/>
      <c r="H137" s="2643"/>
      <c r="I137" s="2644" t="s">
        <v>2623</v>
      </c>
      <c r="J137" s="2641"/>
      <c r="K137" s="2645"/>
    </row>
    <row r="138" spans="1:17" ht="15.5">
      <c r="B138" s="2646"/>
      <c r="C138" s="146" t="s">
        <v>2624</v>
      </c>
      <c r="D138" s="146" t="s">
        <v>2625</v>
      </c>
      <c r="E138" s="2647" t="s">
        <v>2626</v>
      </c>
      <c r="F138" s="2648" t="s">
        <v>2627</v>
      </c>
      <c r="G138" s="146" t="s">
        <v>2625</v>
      </c>
      <c r="H138" s="147" t="s">
        <v>2626</v>
      </c>
      <c r="I138" s="2649"/>
      <c r="J138" s="146" t="s">
        <v>2628</v>
      </c>
      <c r="K138" s="147" t="s">
        <v>2629</v>
      </c>
    </row>
    <row r="139" spans="1:17" ht="15.5">
      <c r="B139" s="1084">
        <v>6</v>
      </c>
      <c r="C139" s="1085">
        <v>96</v>
      </c>
      <c r="D139" s="2650" t="s">
        <v>2630</v>
      </c>
      <c r="E139" s="1086">
        <v>100</v>
      </c>
      <c r="F139" s="1087">
        <v>102.5</v>
      </c>
      <c r="G139" s="2650" t="s">
        <v>2630</v>
      </c>
      <c r="H139" s="1088">
        <v>105</v>
      </c>
      <c r="I139" s="2651" t="s">
        <v>2631</v>
      </c>
      <c r="J139" s="1085">
        <v>20</v>
      </c>
      <c r="K139" s="1089">
        <f>C145/(J139-2)</f>
        <v>4.0555555555555553E-3</v>
      </c>
    </row>
    <row r="140" spans="1:17" ht="15.5">
      <c r="B140" s="1090">
        <v>5</v>
      </c>
      <c r="C140" s="1091">
        <v>100</v>
      </c>
      <c r="D140" s="1091"/>
      <c r="E140" s="1092"/>
      <c r="F140" s="1093">
        <v>102</v>
      </c>
      <c r="G140" s="1091"/>
      <c r="H140" s="1094"/>
      <c r="I140" s="2652" t="s">
        <v>2632</v>
      </c>
      <c r="J140" s="315">
        <f>ROUNDUP((J139-1)/2,0)</f>
        <v>10</v>
      </c>
      <c r="K140" s="1095">
        <v>100</v>
      </c>
    </row>
    <row r="141" spans="1:17" ht="15.5">
      <c r="B141" s="1090">
        <v>4</v>
      </c>
      <c r="C141" s="1091">
        <v>102</v>
      </c>
      <c r="D141" s="1091"/>
      <c r="E141" s="1092"/>
      <c r="F141" s="1093">
        <v>101.5</v>
      </c>
      <c r="G141" s="1091"/>
      <c r="H141" s="1094"/>
      <c r="I141" s="2652" t="s">
        <v>2633</v>
      </c>
      <c r="J141" s="315">
        <v>1</v>
      </c>
      <c r="K141" s="1096">
        <f>ROUND(100+(J141-J140)*K139*100,1)</f>
        <v>96.4</v>
      </c>
    </row>
    <row r="142" spans="1:17" ht="15.5">
      <c r="B142" s="1090">
        <v>3</v>
      </c>
      <c r="C142" s="1091">
        <v>103</v>
      </c>
      <c r="D142" s="1091"/>
      <c r="E142" s="1092"/>
      <c r="F142" s="1093">
        <v>101</v>
      </c>
      <c r="G142" s="1091"/>
      <c r="H142" s="1094"/>
      <c r="I142" s="2652" t="s">
        <v>2634</v>
      </c>
      <c r="J142" s="315">
        <f>J139</f>
        <v>20</v>
      </c>
      <c r="K142" s="1097">
        <v>95</v>
      </c>
    </row>
    <row r="143" spans="1:17" ht="15.5">
      <c r="B143" s="1090">
        <v>2</v>
      </c>
      <c r="C143" s="1091">
        <v>100</v>
      </c>
      <c r="D143" s="1091"/>
      <c r="E143" s="1092"/>
      <c r="F143" s="1093">
        <v>100.5</v>
      </c>
      <c r="G143" s="1091"/>
      <c r="H143" s="1094"/>
      <c r="I143" s="2652" t="s">
        <v>2635</v>
      </c>
      <c r="J143" s="1091">
        <v>15</v>
      </c>
      <c r="K143" s="1096">
        <f>ROUND(100+(J143-J140)*K139*100,1)</f>
        <v>102</v>
      </c>
    </row>
    <row r="144" spans="1:17" ht="15.5">
      <c r="B144" s="1090">
        <v>1</v>
      </c>
      <c r="C144" s="1091">
        <v>98</v>
      </c>
      <c r="D144" s="2653" t="s">
        <v>2636</v>
      </c>
      <c r="E144" s="1092">
        <v>102</v>
      </c>
      <c r="F144" s="1098">
        <v>100</v>
      </c>
      <c r="G144" s="2653" t="s">
        <v>2636</v>
      </c>
      <c r="H144" s="1094">
        <v>105</v>
      </c>
      <c r="I144" s="2652" t="s">
        <v>2635</v>
      </c>
      <c r="J144" s="1091">
        <v>18</v>
      </c>
      <c r="K144" s="1096">
        <f>ROUND(100+(J144-J140)*K139*100,1)</f>
        <v>103.2</v>
      </c>
    </row>
    <row r="145" spans="2:11" ht="16" thickBot="1">
      <c r="B145" s="2654" t="s">
        <v>2637</v>
      </c>
      <c r="C145" s="1099">
        <f>ROUND(MAX(C139:C144)/MIN(C139:C144)-1,3)</f>
        <v>7.2999999999999995E-2</v>
      </c>
      <c r="D145" s="1100"/>
      <c r="E145" s="1100"/>
      <c r="F145" s="2655" t="s">
        <v>2638</v>
      </c>
      <c r="G145" s="2656"/>
      <c r="H145" s="2657"/>
      <c r="I145" s="2658" t="s">
        <v>2635</v>
      </c>
      <c r="J145" s="1101">
        <v>8</v>
      </c>
      <c r="K145" s="1102">
        <f>ROUND(100+(J145-J140)*K139*100,1)</f>
        <v>99.2</v>
      </c>
    </row>
    <row r="147" spans="2:11">
      <c r="B147" s="2639" t="s">
        <v>2639</v>
      </c>
    </row>
    <row r="148" spans="2:11">
      <c r="B148" s="2639"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opLeftCell="A31" zoomScale="90" zoomScaleNormal="90" workbookViewId="0">
      <selection activeCell="G48" sqref="G48"/>
    </sheetView>
  </sheetViews>
  <sheetFormatPr defaultColWidth="9" defaultRowHeight="14"/>
  <cols>
    <col min="1" max="1" width="10.453125" style="403" customWidth="1"/>
    <col min="2" max="2" width="15.81640625" style="403" customWidth="1"/>
    <col min="3" max="3" width="15.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112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2527</v>
      </c>
      <c r="B1" s="2671" t="s">
        <v>2685</v>
      </c>
      <c r="C1" s="1620" t="s">
        <v>2529</v>
      </c>
      <c r="D1" s="1621" t="s">
        <v>1372</v>
      </c>
      <c r="E1" s="1630"/>
      <c r="F1" s="2586" t="s">
        <v>3105</v>
      </c>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f>IF(C2="——",ROUND(C50*D3/10000,0),ROUND(C50*D3/10000,0)-D2)</f>
        <v>24756</v>
      </c>
      <c r="C2" s="2588" t="s">
        <v>70</v>
      </c>
      <c r="D2" s="1365"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f>IF(C2="——",C50,ROUND(B2*10000/D3,0))</f>
        <v>82500</v>
      </c>
      <c r="C3" s="400" t="s">
        <v>2643</v>
      </c>
      <c r="D3" s="399">
        <f>IF(D1="",'数据-汇总表'!E3,SUMIF('数据-汇总表'!$C19:$C33,D1,'数据-汇总表'!$E19:$E33))</f>
        <v>3000.7300000000005</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c r="A4" s="401" t="s">
        <v>2644</v>
      </c>
      <c r="B4" s="402"/>
      <c r="C4" s="3224" t="s">
        <v>2645</v>
      </c>
      <c r="D4" s="3225"/>
      <c r="E4" s="3226" t="s">
        <v>2646</v>
      </c>
      <c r="F4" s="3227"/>
      <c r="G4" s="3224" t="s">
        <v>2647</v>
      </c>
      <c r="H4" s="3225"/>
      <c r="I4" s="3224" t="s">
        <v>2648</v>
      </c>
      <c r="J4" s="3225"/>
      <c r="K4" s="610" t="s">
        <v>2649</v>
      </c>
      <c r="L4" s="1130"/>
      <c r="M4" s="1131"/>
      <c r="N4" s="1131"/>
      <c r="O4" s="1131"/>
      <c r="P4" s="3258" t="s">
        <v>2650</v>
      </c>
      <c r="Q4" s="3259"/>
      <c r="R4" s="3253" t="s">
        <v>2646</v>
      </c>
      <c r="S4" s="3254"/>
      <c r="T4" s="3253" t="s">
        <v>2647</v>
      </c>
      <c r="U4" s="3254"/>
      <c r="V4" s="3262" t="s">
        <v>2648</v>
      </c>
      <c r="W4" s="3262"/>
      <c r="X4" s="2672"/>
      <c r="Y4" s="3253" t="s">
        <v>2650</v>
      </c>
      <c r="Z4" s="3254"/>
      <c r="AA4" s="3252" t="s">
        <v>2646</v>
      </c>
      <c r="AB4" s="3252" t="s">
        <v>2647</v>
      </c>
      <c r="AC4" s="3255" t="s">
        <v>2648</v>
      </c>
    </row>
    <row r="5" spans="1:29">
      <c r="A5" s="404"/>
      <c r="B5" s="405"/>
      <c r="C5" s="3217" t="s">
        <v>2541</v>
      </c>
      <c r="D5" s="3218"/>
      <c r="E5" s="3215" t="s">
        <v>2542</v>
      </c>
      <c r="F5" s="3216"/>
      <c r="G5" s="3217" t="s">
        <v>2543</v>
      </c>
      <c r="H5" s="3218"/>
      <c r="I5" s="3217" t="s">
        <v>2544</v>
      </c>
      <c r="J5" s="3218"/>
      <c r="K5" s="610"/>
      <c r="L5" s="1130"/>
      <c r="M5" s="1131"/>
      <c r="N5" s="1131"/>
      <c r="O5" s="1131"/>
      <c r="P5" s="3260"/>
      <c r="Q5" s="3231"/>
      <c r="R5" s="3213"/>
      <c r="S5" s="3214"/>
      <c r="T5" s="3213"/>
      <c r="U5" s="3214"/>
      <c r="V5" s="3236"/>
      <c r="W5" s="3236"/>
      <c r="X5" s="1813"/>
      <c r="Y5" s="3213"/>
      <c r="Z5" s="3214"/>
      <c r="AA5" s="3207"/>
      <c r="AB5" s="3207"/>
      <c r="AC5" s="3256"/>
    </row>
    <row r="6" spans="1:29" ht="15" thickBot="1">
      <c r="A6" s="406"/>
      <c r="B6" s="407"/>
      <c r="C6" s="3219" t="s">
        <v>2545</v>
      </c>
      <c r="D6" s="3220"/>
      <c r="E6" s="3221" t="s">
        <v>2545</v>
      </c>
      <c r="F6" s="3222"/>
      <c r="G6" s="3219" t="s">
        <v>2545</v>
      </c>
      <c r="H6" s="3220"/>
      <c r="I6" s="3219" t="s">
        <v>2545</v>
      </c>
      <c r="J6" s="3220"/>
      <c r="K6" s="610" t="s">
        <v>2546</v>
      </c>
      <c r="L6" s="1130"/>
      <c r="M6" s="1131"/>
      <c r="N6" s="1131"/>
      <c r="O6" s="1131"/>
      <c r="P6" s="3261"/>
      <c r="Q6" s="3233"/>
      <c r="R6" s="3213"/>
      <c r="S6" s="3214"/>
      <c r="T6" s="3234"/>
      <c r="U6" s="3235"/>
      <c r="V6" s="3236"/>
      <c r="W6" s="3236"/>
      <c r="X6" s="1813"/>
      <c r="Y6" s="3234"/>
      <c r="Z6" s="3235"/>
      <c r="AA6" s="3208"/>
      <c r="AB6" s="3208"/>
      <c r="AC6" s="3257"/>
    </row>
    <row r="7" spans="1:29" s="117" customFormat="1" ht="14.5" thickBot="1">
      <c r="A7" s="408" t="s">
        <v>2547</v>
      </c>
      <c r="B7" s="409"/>
      <c r="C7" s="410">
        <f>'数据-取费表'!B2</f>
        <v>43872</v>
      </c>
      <c r="D7" s="411">
        <v>100</v>
      </c>
      <c r="E7" s="412">
        <f>C7</f>
        <v>43872</v>
      </c>
      <c r="F7" s="413">
        <f>SUMIF(59:59,YEAR(E7)&amp;"-"&amp;MONTH(E7),60:60)</f>
        <v>100</v>
      </c>
      <c r="G7" s="412">
        <f>C7</f>
        <v>43872</v>
      </c>
      <c r="H7" s="411">
        <f>SUMIF(59:59,YEAR(G7)&amp;"-"&amp;MONTH(G7),60:60)</f>
        <v>100</v>
      </c>
      <c r="I7" s="412">
        <f>C7</f>
        <v>43872</v>
      </c>
      <c r="J7" s="411">
        <f>SUMIF(59:59,YEAR(I7)&amp;"-"&amp;MONTH(I7),60:60)</f>
        <v>100</v>
      </c>
      <c r="K7" s="611"/>
      <c r="L7" s="1132"/>
      <c r="M7" s="1133"/>
      <c r="N7" s="1133"/>
      <c r="O7" s="1133"/>
      <c r="P7" s="3263" t="s">
        <v>2548</v>
      </c>
      <c r="Q7" s="3237"/>
      <c r="R7" s="770" t="s">
        <v>17</v>
      </c>
      <c r="S7" s="771">
        <f t="shared" ref="S7:S15" si="0">F7</f>
        <v>100</v>
      </c>
      <c r="T7" s="770" t="s">
        <v>17</v>
      </c>
      <c r="U7" s="771">
        <f t="shared" ref="U7:U15" si="1">H7</f>
        <v>100</v>
      </c>
      <c r="V7" s="770" t="s">
        <v>17</v>
      </c>
      <c r="W7" s="771">
        <f t="shared" ref="W7:W15" si="2">J7</f>
        <v>100</v>
      </c>
      <c r="X7" s="772"/>
      <c r="Y7" s="3209" t="s">
        <v>2548</v>
      </c>
      <c r="Z7" s="3210"/>
      <c r="AA7" s="773">
        <f>D7/F7</f>
        <v>1</v>
      </c>
      <c r="AB7" s="773">
        <f>D7/H7</f>
        <v>1</v>
      </c>
      <c r="AC7" s="2673">
        <f>D7/J7</f>
        <v>1</v>
      </c>
    </row>
    <row r="8" spans="1:29" s="117" customFormat="1" ht="14.5" thickBot="1">
      <c r="A8" s="408" t="s">
        <v>2549</v>
      </c>
      <c r="B8" s="409"/>
      <c r="C8" s="414" t="s">
        <v>2651</v>
      </c>
      <c r="D8" s="411">
        <v>100</v>
      </c>
      <c r="E8" s="414" t="s">
        <v>2586</v>
      </c>
      <c r="F8" s="413">
        <f>SUMIF(62:62,E8,63:63)-SUMIF(62:62,C8,63:63)+100</f>
        <v>100</v>
      </c>
      <c r="G8" s="414" t="s">
        <v>2586</v>
      </c>
      <c r="H8" s="411">
        <f>SUMIF(62:62,G8,63:63)-SUMIF(62:62,C8,63:63)+100</f>
        <v>100</v>
      </c>
      <c r="I8" s="414" t="s">
        <v>2586</v>
      </c>
      <c r="J8" s="411">
        <f>SUMIF(62:62,I8,63:63)-SUMIF(62:62,C8,63:63)+100</f>
        <v>100</v>
      </c>
      <c r="K8" s="611"/>
      <c r="L8" s="1132"/>
      <c r="M8" s="1133"/>
      <c r="N8" s="1133"/>
      <c r="O8" s="1133"/>
      <c r="P8" s="3263" t="s">
        <v>2551</v>
      </c>
      <c r="Q8" s="3210"/>
      <c r="R8" s="770" t="s">
        <v>17</v>
      </c>
      <c r="S8" s="771">
        <f t="shared" si="0"/>
        <v>100</v>
      </c>
      <c r="T8" s="770" t="s">
        <v>17</v>
      </c>
      <c r="U8" s="771">
        <f t="shared" si="1"/>
        <v>100</v>
      </c>
      <c r="V8" s="770" t="s">
        <v>17</v>
      </c>
      <c r="W8" s="771">
        <f t="shared" si="2"/>
        <v>100</v>
      </c>
      <c r="X8" s="772"/>
      <c r="Y8" s="3209" t="s">
        <v>2551</v>
      </c>
      <c r="Z8" s="3210"/>
      <c r="AA8" s="773">
        <f t="shared" ref="AA8:AA47" si="3">D8/F8</f>
        <v>1</v>
      </c>
      <c r="AB8" s="773">
        <f t="shared" ref="AB8:AB47" si="4">D8/H8</f>
        <v>1</v>
      </c>
      <c r="AC8" s="2673">
        <f t="shared" ref="AC8:AC47" si="5">D8/J8</f>
        <v>1</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3" t="s">
        <v>2554</v>
      </c>
      <c r="Q9" s="1795"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2673">
        <f t="shared" si="5"/>
        <v>1</v>
      </c>
    </row>
    <row r="10" spans="1:29" s="427" customFormat="1" ht="28">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3"/>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2673">
        <f t="shared" si="5"/>
        <v>1</v>
      </c>
    </row>
    <row r="11" spans="1:29" ht="15.5">
      <c r="A11" s="428"/>
      <c r="B11" s="422" t="s">
        <v>2557</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23"/>
      <c r="Q11" s="1795" t="str">
        <f t="shared" si="6"/>
        <v>容积率</v>
      </c>
      <c r="R11" s="770" t="s">
        <v>17</v>
      </c>
      <c r="S11" s="771">
        <f t="shared" si="0"/>
        <v>100</v>
      </c>
      <c r="T11" s="770" t="s">
        <v>17</v>
      </c>
      <c r="U11" s="771">
        <f t="shared" si="1"/>
        <v>100</v>
      </c>
      <c r="V11" s="770" t="s">
        <v>17</v>
      </c>
      <c r="W11" s="771">
        <f t="shared" si="2"/>
        <v>100</v>
      </c>
      <c r="X11" s="772"/>
      <c r="Y11" s="3056"/>
      <c r="Z11" s="55" t="str">
        <f t="shared" si="7"/>
        <v>容积率</v>
      </c>
      <c r="AA11" s="773">
        <f t="shared" si="3"/>
        <v>1</v>
      </c>
      <c r="AB11" s="773">
        <f t="shared" si="4"/>
        <v>1</v>
      </c>
      <c r="AC11" s="2673">
        <f t="shared" si="5"/>
        <v>1</v>
      </c>
    </row>
    <row r="12" spans="1:29" s="117" customFormat="1" ht="15.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23"/>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2673">
        <f>D12/J12</f>
        <v>1</v>
      </c>
    </row>
    <row r="13" spans="1:29" ht="15.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23"/>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2673">
        <f t="shared" si="5"/>
        <v>1</v>
      </c>
    </row>
    <row r="14" spans="1:29" ht="16"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23"/>
      <c r="Q14" s="1795">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2673">
        <f t="shared" si="5"/>
        <v>1</v>
      </c>
    </row>
    <row r="15" spans="1:29" ht="70">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0" t="s">
        <v>2559</v>
      </c>
      <c r="Q15" s="1810" t="str">
        <f t="shared" si="6"/>
        <v>办公集聚程度</v>
      </c>
      <c r="R15" s="774" t="s">
        <v>17</v>
      </c>
      <c r="S15" s="775">
        <f t="shared" si="0"/>
        <v>100</v>
      </c>
      <c r="T15" s="774" t="s">
        <v>17</v>
      </c>
      <c r="U15" s="775">
        <f t="shared" si="1"/>
        <v>100</v>
      </c>
      <c r="V15" s="774" t="s">
        <v>17</v>
      </c>
      <c r="W15" s="775">
        <f t="shared" si="2"/>
        <v>100</v>
      </c>
      <c r="X15" s="1813"/>
      <c r="Y15" s="3243" t="s">
        <v>2559</v>
      </c>
      <c r="Z15" s="1814" t="str">
        <f t="shared" si="7"/>
        <v>办公集聚程度</v>
      </c>
      <c r="AA15" s="1811">
        <f t="shared" si="3"/>
        <v>1</v>
      </c>
      <c r="AB15" s="1811">
        <f t="shared" si="4"/>
        <v>1</v>
      </c>
      <c r="AC15" s="2676">
        <f t="shared" si="5"/>
        <v>1</v>
      </c>
    </row>
    <row r="16" spans="1:29" ht="15.5">
      <c r="A16" s="428"/>
      <c r="B16" s="630"/>
      <c r="C16" s="2613"/>
      <c r="D16" s="448"/>
      <c r="E16" s="447"/>
      <c r="F16" s="448"/>
      <c r="G16" s="2613"/>
      <c r="H16" s="450"/>
      <c r="I16" s="447"/>
      <c r="J16" s="448"/>
      <c r="K16" s="615"/>
      <c r="L16" s="1140"/>
      <c r="M16" s="1131"/>
      <c r="N16" s="1131"/>
      <c r="O16" s="1131"/>
      <c r="P16" s="3251"/>
      <c r="Q16" s="1810"/>
      <c r="R16" s="774"/>
      <c r="S16" s="775"/>
      <c r="T16" s="774"/>
      <c r="U16" s="775"/>
      <c r="V16" s="774"/>
      <c r="W16" s="775"/>
      <c r="X16" s="1813"/>
      <c r="Y16" s="3244"/>
      <c r="Z16" s="1814"/>
      <c r="AA16" s="1811">
        <v>1</v>
      </c>
      <c r="AB16" s="1811">
        <v>1</v>
      </c>
      <c r="AC16" s="2676">
        <v>1</v>
      </c>
    </row>
    <row r="17" spans="1:29" ht="84">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1"/>
      <c r="Q17" s="1810" t="str">
        <f>B17</f>
        <v>交通便捷度</v>
      </c>
      <c r="R17" s="774" t="s">
        <v>17</v>
      </c>
      <c r="S17" s="775">
        <f>F17</f>
        <v>100</v>
      </c>
      <c r="T17" s="774" t="s">
        <v>17</v>
      </c>
      <c r="U17" s="775">
        <f>H17</f>
        <v>100</v>
      </c>
      <c r="V17" s="774" t="s">
        <v>17</v>
      </c>
      <c r="W17" s="775">
        <f>J17</f>
        <v>100</v>
      </c>
      <c r="X17" s="1813"/>
      <c r="Y17" s="3244"/>
      <c r="Z17" s="1814" t="str">
        <f>Q17</f>
        <v>交通便捷度</v>
      </c>
      <c r="AA17" s="1811">
        <f t="shared" si="3"/>
        <v>1</v>
      </c>
      <c r="AB17" s="1811">
        <f t="shared" si="4"/>
        <v>1</v>
      </c>
      <c r="AC17" s="2676">
        <f t="shared" si="5"/>
        <v>1</v>
      </c>
    </row>
    <row r="18" spans="1:29" ht="15.5">
      <c r="A18" s="428"/>
      <c r="B18" s="632"/>
      <c r="C18" s="2678"/>
      <c r="D18" s="450"/>
      <c r="E18" s="2611"/>
      <c r="F18" s="450"/>
      <c r="G18" s="2612"/>
      <c r="H18" s="448"/>
      <c r="I18" s="2612"/>
      <c r="J18" s="448"/>
      <c r="K18" s="615"/>
      <c r="L18" s="1140"/>
      <c r="M18" s="1131"/>
      <c r="N18" s="1131"/>
      <c r="O18" s="1131"/>
      <c r="P18" s="3251"/>
      <c r="Q18" s="1810"/>
      <c r="R18" s="774"/>
      <c r="S18" s="775"/>
      <c r="T18" s="774"/>
      <c r="U18" s="775"/>
      <c r="V18" s="774"/>
      <c r="W18" s="775"/>
      <c r="X18" s="1813"/>
      <c r="Y18" s="3244"/>
      <c r="Z18" s="1814"/>
      <c r="AA18" s="1811">
        <v>1</v>
      </c>
      <c r="AB18" s="1811">
        <v>1</v>
      </c>
      <c r="AC18" s="2676">
        <v>1</v>
      </c>
    </row>
    <row r="19" spans="1:29" ht="42">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1"/>
      <c r="Q19" s="1810" t="str">
        <f>B19</f>
        <v>公共配套设施</v>
      </c>
      <c r="R19" s="774" t="s">
        <v>17</v>
      </c>
      <c r="S19" s="775">
        <f>F19</f>
        <v>100</v>
      </c>
      <c r="T19" s="774" t="s">
        <v>17</v>
      </c>
      <c r="U19" s="775">
        <f>H19</f>
        <v>100</v>
      </c>
      <c r="V19" s="774" t="s">
        <v>17</v>
      </c>
      <c r="W19" s="775">
        <f>J19</f>
        <v>100</v>
      </c>
      <c r="X19" s="1813"/>
      <c r="Y19" s="3244"/>
      <c r="Z19" s="1814" t="str">
        <f>Q19</f>
        <v>公共配套设施</v>
      </c>
      <c r="AA19" s="1811">
        <f t="shared" si="3"/>
        <v>1</v>
      </c>
      <c r="AB19" s="1811">
        <f t="shared" si="4"/>
        <v>1</v>
      </c>
      <c r="AC19" s="2676">
        <f t="shared" si="5"/>
        <v>1</v>
      </c>
    </row>
    <row r="20" spans="1:29" ht="15.5">
      <c r="A20" s="428"/>
      <c r="B20" s="632"/>
      <c r="C20" s="2613"/>
      <c r="D20" s="448"/>
      <c r="E20" s="2606"/>
      <c r="F20" s="448"/>
      <c r="G20" s="2607"/>
      <c r="H20" s="448"/>
      <c r="I20" s="2607"/>
      <c r="J20" s="448"/>
      <c r="K20" s="615"/>
      <c r="L20" s="1140"/>
      <c r="M20" s="1131"/>
      <c r="N20" s="1131"/>
      <c r="O20" s="1131"/>
      <c r="P20" s="3251"/>
      <c r="Q20" s="1810"/>
      <c r="R20" s="774"/>
      <c r="S20" s="775"/>
      <c r="T20" s="774"/>
      <c r="U20" s="775"/>
      <c r="V20" s="774"/>
      <c r="W20" s="775"/>
      <c r="X20" s="1813"/>
      <c r="Y20" s="3244"/>
      <c r="Z20" s="1814"/>
      <c r="AA20" s="1811">
        <v>1</v>
      </c>
      <c r="AB20" s="1811">
        <v>1</v>
      </c>
      <c r="AC20" s="2676">
        <v>1</v>
      </c>
    </row>
    <row r="21" spans="1:29" ht="28">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1"/>
      <c r="Q21" s="1810" t="str">
        <f>B21</f>
        <v>基础设施水平</v>
      </c>
      <c r="R21" s="774" t="s">
        <v>17</v>
      </c>
      <c r="S21" s="775">
        <f>F21</f>
        <v>100</v>
      </c>
      <c r="T21" s="774" t="s">
        <v>17</v>
      </c>
      <c r="U21" s="775">
        <f>H21</f>
        <v>100</v>
      </c>
      <c r="V21" s="774" t="s">
        <v>17</v>
      </c>
      <c r="W21" s="775">
        <f>J21</f>
        <v>100</v>
      </c>
      <c r="X21" s="1813"/>
      <c r="Y21" s="3244"/>
      <c r="Z21" s="1814" t="str">
        <f>Q21</f>
        <v>基础设施水平</v>
      </c>
      <c r="AA21" s="1811">
        <f t="shared" ref="AA21" si="8">D21/F21</f>
        <v>1</v>
      </c>
      <c r="AB21" s="1811">
        <f t="shared" ref="AB21" si="9">D21/H21</f>
        <v>1</v>
      </c>
      <c r="AC21" s="2676">
        <f t="shared" ref="AC21" si="10">D21/J21</f>
        <v>1</v>
      </c>
    </row>
    <row r="22" spans="1:29" ht="15.5">
      <c r="A22" s="428"/>
      <c r="B22" s="633"/>
      <c r="C22" s="2678"/>
      <c r="D22" s="448"/>
      <c r="E22" s="447"/>
      <c r="F22" s="448"/>
      <c r="G22" s="2613"/>
      <c r="H22" s="448"/>
      <c r="I22" s="2613"/>
      <c r="J22" s="448"/>
      <c r="K22" s="1383"/>
      <c r="L22" s="1140"/>
      <c r="M22" s="1131"/>
      <c r="N22" s="1131"/>
      <c r="O22" s="1131"/>
      <c r="P22" s="3251"/>
      <c r="Q22" s="1810"/>
      <c r="R22" s="774"/>
      <c r="S22" s="775"/>
      <c r="T22" s="774"/>
      <c r="U22" s="775"/>
      <c r="V22" s="774"/>
      <c r="W22" s="775"/>
      <c r="X22" s="1813"/>
      <c r="Y22" s="3244"/>
      <c r="Z22" s="1814"/>
      <c r="AA22" s="1811">
        <v>1</v>
      </c>
      <c r="AB22" s="1811">
        <v>1</v>
      </c>
      <c r="AC22" s="2676">
        <v>1</v>
      </c>
    </row>
    <row r="23" spans="1:29" ht="56">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1"/>
      <c r="Q23" s="1810" t="str">
        <f>B23</f>
        <v>环境质量</v>
      </c>
      <c r="R23" s="774" t="s">
        <v>17</v>
      </c>
      <c r="S23" s="775">
        <f>F23</f>
        <v>100</v>
      </c>
      <c r="T23" s="774" t="s">
        <v>17</v>
      </c>
      <c r="U23" s="775">
        <f>H23</f>
        <v>100</v>
      </c>
      <c r="V23" s="774" t="s">
        <v>17</v>
      </c>
      <c r="W23" s="775">
        <f>J23</f>
        <v>100</v>
      </c>
      <c r="X23" s="1813"/>
      <c r="Y23" s="3244"/>
      <c r="Z23" s="1814" t="str">
        <f>Q23</f>
        <v>环境质量</v>
      </c>
      <c r="AA23" s="1811">
        <f t="shared" si="3"/>
        <v>1</v>
      </c>
      <c r="AB23" s="1811">
        <f t="shared" si="4"/>
        <v>1</v>
      </c>
      <c r="AC23" s="2676">
        <f t="shared" si="5"/>
        <v>1</v>
      </c>
    </row>
    <row r="24" spans="1:29" ht="15.5">
      <c r="A24" s="428"/>
      <c r="B24" s="633"/>
      <c r="C24" s="2613"/>
      <c r="D24" s="448"/>
      <c r="E24" s="2606"/>
      <c r="F24" s="448"/>
      <c r="G24" s="2607"/>
      <c r="H24" s="448"/>
      <c r="I24" s="2607"/>
      <c r="J24" s="448"/>
      <c r="K24" s="615"/>
      <c r="L24" s="1140"/>
      <c r="M24" s="1131"/>
      <c r="N24" s="1131"/>
      <c r="O24" s="1131"/>
      <c r="P24" s="3251"/>
      <c r="Q24" s="1810"/>
      <c r="R24" s="774"/>
      <c r="S24" s="775"/>
      <c r="T24" s="774"/>
      <c r="U24" s="775"/>
      <c r="V24" s="774"/>
      <c r="W24" s="775"/>
      <c r="X24" s="1813"/>
      <c r="Y24" s="3244"/>
      <c r="Z24" s="1814"/>
      <c r="AA24" s="1811">
        <v>1</v>
      </c>
      <c r="AB24" s="1811">
        <v>1</v>
      </c>
      <c r="AC24" s="2676">
        <v>1</v>
      </c>
    </row>
    <row r="25" spans="1:29" ht="28">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51"/>
      <c r="Q25" s="1810" t="str">
        <f>B25</f>
        <v>毗邻道路的类型与等级</v>
      </c>
      <c r="R25" s="774" t="s">
        <v>17</v>
      </c>
      <c r="S25" s="775">
        <f>F25</f>
        <v>100</v>
      </c>
      <c r="T25" s="774" t="s">
        <v>17</v>
      </c>
      <c r="U25" s="775">
        <f>H25</f>
        <v>100</v>
      </c>
      <c r="V25" s="774" t="s">
        <v>17</v>
      </c>
      <c r="W25" s="775">
        <f>J25</f>
        <v>100</v>
      </c>
      <c r="X25" s="1813"/>
      <c r="Y25" s="3244"/>
      <c r="Z25" s="1814" t="str">
        <f>Q25</f>
        <v>毗邻道路的类型与等级</v>
      </c>
      <c r="AA25" s="1811">
        <f t="shared" si="3"/>
        <v>1</v>
      </c>
      <c r="AB25" s="1811">
        <f t="shared" si="4"/>
        <v>1</v>
      </c>
      <c r="AC25" s="2676">
        <f t="shared" si="5"/>
        <v>1</v>
      </c>
    </row>
    <row r="26" spans="1:29" ht="15.5">
      <c r="A26" s="404"/>
      <c r="B26" s="632"/>
      <c r="C26" s="634"/>
      <c r="D26" s="435"/>
      <c r="E26" s="616"/>
      <c r="F26" s="435"/>
      <c r="G26" s="634"/>
      <c r="H26" s="435"/>
      <c r="I26" s="616"/>
      <c r="J26" s="435"/>
      <c r="K26" s="615"/>
      <c r="L26" s="1140"/>
      <c r="M26" s="1131"/>
      <c r="N26" s="1131"/>
      <c r="O26" s="1131"/>
      <c r="P26" s="3251"/>
      <c r="Q26" s="1810"/>
      <c r="R26" s="774"/>
      <c r="S26" s="775"/>
      <c r="T26" s="774"/>
      <c r="U26" s="775"/>
      <c r="V26" s="774"/>
      <c r="W26" s="775"/>
      <c r="X26" s="1813"/>
      <c r="Y26" s="3244"/>
      <c r="Z26" s="1814"/>
      <c r="AA26" s="1811">
        <v>1</v>
      </c>
      <c r="AB26" s="1811">
        <v>1</v>
      </c>
      <c r="AC26" s="2676">
        <v>1</v>
      </c>
    </row>
    <row r="27" spans="1:29" ht="15.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1"/>
      <c r="Q27" s="1810" t="str">
        <f t="shared" ref="Q27:Q47" si="11">B27</f>
        <v>楼层</v>
      </c>
      <c r="R27" s="774" t="s">
        <v>17</v>
      </c>
      <c r="S27" s="775">
        <f>F27</f>
        <v>100</v>
      </c>
      <c r="T27" s="774" t="s">
        <v>17</v>
      </c>
      <c r="U27" s="775">
        <f>H27</f>
        <v>100</v>
      </c>
      <c r="V27" s="774" t="s">
        <v>17</v>
      </c>
      <c r="W27" s="775">
        <f>J27</f>
        <v>100</v>
      </c>
      <c r="X27" s="1813"/>
      <c r="Y27" s="3244"/>
      <c r="Z27" s="1814" t="str">
        <f>Q27</f>
        <v>楼层</v>
      </c>
      <c r="AA27" s="1811">
        <f t="shared" si="3"/>
        <v>1</v>
      </c>
      <c r="AB27" s="1811">
        <f t="shared" si="4"/>
        <v>1</v>
      </c>
      <c r="AC27" s="2676">
        <f t="shared" si="5"/>
        <v>1</v>
      </c>
    </row>
    <row r="28" spans="1:29" s="117" customFormat="1" ht="15.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51"/>
      <c r="Q28" s="1795" t="str">
        <f t="shared" si="11"/>
        <v>朝向</v>
      </c>
      <c r="R28" s="770" t="s">
        <v>17</v>
      </c>
      <c r="S28" s="771">
        <f>F28</f>
        <v>100</v>
      </c>
      <c r="T28" s="770" t="s">
        <v>17</v>
      </c>
      <c r="U28" s="771">
        <f>H28</f>
        <v>100</v>
      </c>
      <c r="V28" s="770" t="s">
        <v>17</v>
      </c>
      <c r="W28" s="771">
        <f>J28</f>
        <v>100</v>
      </c>
      <c r="X28" s="772"/>
      <c r="Y28" s="3244"/>
      <c r="Z28" s="55" t="str">
        <f>Q28</f>
        <v>朝向</v>
      </c>
      <c r="AA28" s="1811">
        <f>D28/F28</f>
        <v>1</v>
      </c>
      <c r="AB28" s="1811">
        <f>D28/H28</f>
        <v>1</v>
      </c>
      <c r="AC28" s="2676">
        <f>D28/J28</f>
        <v>1</v>
      </c>
    </row>
    <row r="29" spans="1:29" ht="15.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51"/>
      <c r="Q29" s="1810">
        <f t="shared" si="11"/>
        <v>111</v>
      </c>
      <c r="R29" s="774" t="s">
        <v>17</v>
      </c>
      <c r="S29" s="775">
        <f t="shared" ref="S29:S47" si="12">F29</f>
        <v>100</v>
      </c>
      <c r="T29" s="774" t="s">
        <v>17</v>
      </c>
      <c r="U29" s="775">
        <f t="shared" ref="U29:U47" si="13">H29</f>
        <v>100</v>
      </c>
      <c r="V29" s="774" t="s">
        <v>17</v>
      </c>
      <c r="W29" s="775">
        <f t="shared" ref="W29:W47" si="14">J29</f>
        <v>100</v>
      </c>
      <c r="X29" s="1813"/>
      <c r="Y29" s="3244"/>
      <c r="Z29" s="1814">
        <f t="shared" ref="Z29:Z47" si="15">Q29</f>
        <v>111</v>
      </c>
      <c r="AA29" s="1811">
        <f t="shared" si="3"/>
        <v>1</v>
      </c>
      <c r="AB29" s="1811">
        <f t="shared" si="4"/>
        <v>1</v>
      </c>
      <c r="AC29" s="2676">
        <f t="shared" si="5"/>
        <v>1</v>
      </c>
    </row>
    <row r="30" spans="1:29" ht="15.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51"/>
      <c r="Q30" s="1810">
        <f t="shared" si="11"/>
        <v>111</v>
      </c>
      <c r="R30" s="774" t="s">
        <v>17</v>
      </c>
      <c r="S30" s="775">
        <f t="shared" si="12"/>
        <v>100</v>
      </c>
      <c r="T30" s="774" t="s">
        <v>17</v>
      </c>
      <c r="U30" s="775">
        <f t="shared" si="13"/>
        <v>100</v>
      </c>
      <c r="V30" s="774" t="s">
        <v>17</v>
      </c>
      <c r="W30" s="775">
        <f t="shared" si="14"/>
        <v>100</v>
      </c>
      <c r="X30" s="1813"/>
      <c r="Y30" s="3244"/>
      <c r="Z30" s="1814">
        <f t="shared" si="15"/>
        <v>111</v>
      </c>
      <c r="AA30" s="1811">
        <f t="shared" si="3"/>
        <v>1</v>
      </c>
      <c r="AB30" s="1811">
        <f t="shared" si="4"/>
        <v>1</v>
      </c>
      <c r="AC30" s="2676">
        <f t="shared" si="5"/>
        <v>1</v>
      </c>
    </row>
    <row r="31" spans="1:29" ht="15.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51"/>
      <c r="Q31" s="1810">
        <f t="shared" si="11"/>
        <v>111</v>
      </c>
      <c r="R31" s="774" t="s">
        <v>17</v>
      </c>
      <c r="S31" s="775">
        <f t="shared" si="12"/>
        <v>100</v>
      </c>
      <c r="T31" s="774" t="s">
        <v>17</v>
      </c>
      <c r="U31" s="775">
        <f t="shared" si="13"/>
        <v>100</v>
      </c>
      <c r="V31" s="774" t="s">
        <v>17</v>
      </c>
      <c r="W31" s="775">
        <f t="shared" si="14"/>
        <v>100</v>
      </c>
      <c r="X31" s="1813"/>
      <c r="Y31" s="3244"/>
      <c r="Z31" s="1814">
        <f t="shared" si="15"/>
        <v>111</v>
      </c>
      <c r="AA31" s="1811">
        <f t="shared" si="3"/>
        <v>1</v>
      </c>
      <c r="AB31" s="1811">
        <f t="shared" si="4"/>
        <v>1</v>
      </c>
      <c r="AC31" s="2676">
        <f t="shared" si="5"/>
        <v>1</v>
      </c>
    </row>
    <row r="32" spans="1:29" ht="16"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51"/>
      <c r="Q32" s="1810">
        <f t="shared" si="11"/>
        <v>111</v>
      </c>
      <c r="R32" s="774" t="s">
        <v>17</v>
      </c>
      <c r="S32" s="775">
        <f t="shared" si="12"/>
        <v>100</v>
      </c>
      <c r="T32" s="774" t="s">
        <v>17</v>
      </c>
      <c r="U32" s="775">
        <f t="shared" si="13"/>
        <v>100</v>
      </c>
      <c r="V32" s="774" t="s">
        <v>17</v>
      </c>
      <c r="W32" s="775">
        <f t="shared" si="14"/>
        <v>100</v>
      </c>
      <c r="X32" s="1813"/>
      <c r="Y32" s="3244"/>
      <c r="Z32" s="1814">
        <f t="shared" si="15"/>
        <v>111</v>
      </c>
      <c r="AA32" s="1811">
        <f t="shared" si="3"/>
        <v>1</v>
      </c>
      <c r="AB32" s="1811">
        <f t="shared" si="4"/>
        <v>1</v>
      </c>
      <c r="AC32" s="2676">
        <f t="shared" si="5"/>
        <v>1</v>
      </c>
    </row>
    <row r="33" spans="1:29" ht="15.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45" t="s">
        <v>2564</v>
      </c>
      <c r="Q33" s="1810" t="str">
        <f t="shared" si="11"/>
        <v>建筑类型</v>
      </c>
      <c r="R33" s="774" t="s">
        <v>17</v>
      </c>
      <c r="S33" s="775">
        <f t="shared" si="12"/>
        <v>100</v>
      </c>
      <c r="T33" s="774" t="s">
        <v>17</v>
      </c>
      <c r="U33" s="775">
        <f t="shared" si="13"/>
        <v>100</v>
      </c>
      <c r="V33" s="774" t="s">
        <v>17</v>
      </c>
      <c r="W33" s="775">
        <f t="shared" si="14"/>
        <v>100</v>
      </c>
      <c r="X33" s="1813"/>
      <c r="Y33" s="3248" t="s">
        <v>2564</v>
      </c>
      <c r="Z33" s="1814" t="str">
        <f t="shared" si="15"/>
        <v>建筑类型</v>
      </c>
      <c r="AA33" s="1811">
        <f t="shared" si="3"/>
        <v>1</v>
      </c>
      <c r="AB33" s="1811">
        <f t="shared" si="4"/>
        <v>1</v>
      </c>
      <c r="AC33" s="2676">
        <f t="shared" si="5"/>
        <v>1</v>
      </c>
    </row>
    <row r="34" spans="1:29" s="471" customFormat="1" ht="15.5">
      <c r="A34" s="468"/>
      <c r="B34" s="422" t="s">
        <v>2565</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38"/>
      <c r="M34" s="1141"/>
      <c r="N34" s="1141"/>
      <c r="O34" s="1141"/>
      <c r="P34" s="3246"/>
      <c r="Q34" s="776" t="str">
        <f t="shared" si="11"/>
        <v>项目建筑规模</v>
      </c>
      <c r="R34" s="777" t="s">
        <v>17</v>
      </c>
      <c r="S34" s="778">
        <f t="shared" si="12"/>
        <v>100</v>
      </c>
      <c r="T34" s="777" t="s">
        <v>17</v>
      </c>
      <c r="U34" s="778">
        <f t="shared" si="13"/>
        <v>100</v>
      </c>
      <c r="V34" s="777" t="s">
        <v>17</v>
      </c>
      <c r="W34" s="778">
        <f t="shared" si="14"/>
        <v>100</v>
      </c>
      <c r="X34" s="779"/>
      <c r="Y34" s="3248"/>
      <c r="Z34" s="780" t="str">
        <f t="shared" si="15"/>
        <v>项目建筑规模</v>
      </c>
      <c r="AA34" s="1811">
        <f t="shared" si="3"/>
        <v>1</v>
      </c>
      <c r="AB34" s="1811">
        <f t="shared" si="4"/>
        <v>1</v>
      </c>
      <c r="AC34" s="2676">
        <f t="shared" si="5"/>
        <v>1</v>
      </c>
    </row>
    <row r="35" spans="1:29" ht="15.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6"/>
      <c r="Q35" s="1810" t="str">
        <f t="shared" si="11"/>
        <v>建筑结构</v>
      </c>
      <c r="R35" s="774" t="s">
        <v>17</v>
      </c>
      <c r="S35" s="775">
        <f t="shared" si="12"/>
        <v>100</v>
      </c>
      <c r="T35" s="774" t="s">
        <v>17</v>
      </c>
      <c r="U35" s="775">
        <f t="shared" si="13"/>
        <v>100</v>
      </c>
      <c r="V35" s="774" t="s">
        <v>17</v>
      </c>
      <c r="W35" s="775">
        <f t="shared" si="14"/>
        <v>100</v>
      </c>
      <c r="X35" s="1813"/>
      <c r="Y35" s="3248"/>
      <c r="Z35" s="1814" t="str">
        <f t="shared" si="15"/>
        <v>建筑结构</v>
      </c>
      <c r="AA35" s="1811">
        <f t="shared" si="3"/>
        <v>1</v>
      </c>
      <c r="AB35" s="1811">
        <f t="shared" si="4"/>
        <v>1</v>
      </c>
      <c r="AC35" s="2676">
        <f t="shared" si="5"/>
        <v>1</v>
      </c>
    </row>
    <row r="36" spans="1:29" ht="15.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6"/>
      <c r="Q36" s="1810" t="str">
        <f t="shared" si="11"/>
        <v>公共部分装修</v>
      </c>
      <c r="R36" s="774" t="s">
        <v>17</v>
      </c>
      <c r="S36" s="775">
        <f t="shared" si="12"/>
        <v>100</v>
      </c>
      <c r="T36" s="774" t="s">
        <v>17</v>
      </c>
      <c r="U36" s="775">
        <f t="shared" si="13"/>
        <v>100</v>
      </c>
      <c r="V36" s="774" t="s">
        <v>17</v>
      </c>
      <c r="W36" s="775">
        <f t="shared" si="14"/>
        <v>100</v>
      </c>
      <c r="X36" s="1813"/>
      <c r="Y36" s="3248"/>
      <c r="Z36" s="1814" t="str">
        <f t="shared" si="15"/>
        <v>公共部分装修</v>
      </c>
      <c r="AA36" s="1811">
        <f t="shared" si="3"/>
        <v>1</v>
      </c>
      <c r="AB36" s="1811">
        <f t="shared" si="4"/>
        <v>1</v>
      </c>
      <c r="AC36" s="2676">
        <f t="shared" si="5"/>
        <v>1</v>
      </c>
    </row>
    <row r="37" spans="1:29" ht="15.5">
      <c r="A37" s="472"/>
      <c r="B37" s="422" t="s">
        <v>2661</v>
      </c>
      <c r="C37" s="474">
        <f>'数据-取费表'!N6</f>
        <v>0.9</v>
      </c>
      <c r="D37" s="435">
        <v>100</v>
      </c>
      <c r="E37" s="474">
        <f>C37</f>
        <v>0.9</v>
      </c>
      <c r="F37" s="461">
        <f>LOOKUP(E37,111:111,112:112)-LOOKUP(C37,111:111,112:112)+100</f>
        <v>100</v>
      </c>
      <c r="G37" s="474">
        <f>C37</f>
        <v>0.9</v>
      </c>
      <c r="H37" s="461">
        <f>LOOKUP(G37,111:111,112:112)-LOOKUP(C37,111:111,112:112)+100</f>
        <v>100</v>
      </c>
      <c r="I37" s="474">
        <f>C37</f>
        <v>0.9</v>
      </c>
      <c r="J37" s="435">
        <f>LOOKUP(I37,111:111,112:112)-LOOKUP(C37,111:111,112:112)+100</f>
        <v>100</v>
      </c>
      <c r="K37" s="612"/>
      <c r="L37" s="1140"/>
      <c r="M37" s="1131"/>
      <c r="N37" s="1131"/>
      <c r="O37" s="1131"/>
      <c r="P37" s="3246"/>
      <c r="Q37" s="1810" t="str">
        <f t="shared" si="11"/>
        <v>成新度</v>
      </c>
      <c r="R37" s="774" t="s">
        <v>17</v>
      </c>
      <c r="S37" s="775">
        <f t="shared" si="12"/>
        <v>100</v>
      </c>
      <c r="T37" s="774" t="s">
        <v>17</v>
      </c>
      <c r="U37" s="775">
        <f t="shared" si="13"/>
        <v>100</v>
      </c>
      <c r="V37" s="774" t="s">
        <v>17</v>
      </c>
      <c r="W37" s="775">
        <f t="shared" si="14"/>
        <v>100</v>
      </c>
      <c r="X37" s="1813"/>
      <c r="Y37" s="3248"/>
      <c r="Z37" s="1814" t="str">
        <f t="shared" si="15"/>
        <v>成新度</v>
      </c>
      <c r="AA37" s="1811">
        <f t="shared" si="3"/>
        <v>1</v>
      </c>
      <c r="AB37" s="1811">
        <f t="shared" si="4"/>
        <v>1</v>
      </c>
      <c r="AC37" s="2676">
        <f t="shared" si="5"/>
        <v>1</v>
      </c>
    </row>
    <row r="38" spans="1:29" s="117" customFormat="1" ht="15.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6"/>
      <c r="Q38" s="1795" t="str">
        <f t="shared" si="11"/>
        <v>写字楼等级</v>
      </c>
      <c r="R38" s="770" t="s">
        <v>17</v>
      </c>
      <c r="S38" s="771">
        <f t="shared" si="12"/>
        <v>100</v>
      </c>
      <c r="T38" s="770" t="s">
        <v>17</v>
      </c>
      <c r="U38" s="771">
        <f t="shared" si="13"/>
        <v>100</v>
      </c>
      <c r="V38" s="770" t="s">
        <v>17</v>
      </c>
      <c r="W38" s="771">
        <f t="shared" si="14"/>
        <v>100</v>
      </c>
      <c r="X38" s="772"/>
      <c r="Y38" s="3248"/>
      <c r="Z38" s="55" t="str">
        <f t="shared" si="15"/>
        <v>写字楼等级</v>
      </c>
      <c r="AA38" s="773">
        <f t="shared" si="3"/>
        <v>1</v>
      </c>
      <c r="AB38" s="773">
        <f t="shared" si="4"/>
        <v>1</v>
      </c>
      <c r="AC38" s="2673">
        <f t="shared" si="5"/>
        <v>1</v>
      </c>
    </row>
    <row r="39" spans="1:29" ht="15.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6" t="s">
        <v>2564</v>
      </c>
      <c r="Q39" s="1810" t="str">
        <f t="shared" si="11"/>
        <v>物业管理</v>
      </c>
      <c r="R39" s="774" t="s">
        <v>17</v>
      </c>
      <c r="S39" s="775">
        <f t="shared" si="12"/>
        <v>100</v>
      </c>
      <c r="T39" s="774" t="s">
        <v>17</v>
      </c>
      <c r="U39" s="775">
        <f t="shared" si="13"/>
        <v>100</v>
      </c>
      <c r="V39" s="774" t="s">
        <v>17</v>
      </c>
      <c r="W39" s="775">
        <f t="shared" si="14"/>
        <v>100</v>
      </c>
      <c r="X39" s="1813"/>
      <c r="Y39" s="3248" t="s">
        <v>2564</v>
      </c>
      <c r="Z39" s="1814" t="str">
        <f t="shared" si="15"/>
        <v>物业管理</v>
      </c>
      <c r="AA39" s="1811">
        <f t="shared" si="3"/>
        <v>1</v>
      </c>
      <c r="AB39" s="1811">
        <f t="shared" si="4"/>
        <v>1</v>
      </c>
      <c r="AC39" s="2676">
        <f t="shared" si="5"/>
        <v>1</v>
      </c>
    </row>
    <row r="40" spans="1:29" ht="15.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6"/>
      <c r="Q40" s="1810" t="str">
        <f t="shared" si="11"/>
        <v>市政基础设施</v>
      </c>
      <c r="R40" s="774" t="s">
        <v>17</v>
      </c>
      <c r="S40" s="775">
        <f t="shared" si="12"/>
        <v>100</v>
      </c>
      <c r="T40" s="774" t="s">
        <v>17</v>
      </c>
      <c r="U40" s="775">
        <f t="shared" si="13"/>
        <v>100</v>
      </c>
      <c r="V40" s="774" t="s">
        <v>17</v>
      </c>
      <c r="W40" s="775">
        <f t="shared" si="14"/>
        <v>100</v>
      </c>
      <c r="X40" s="1813"/>
      <c r="Y40" s="3248"/>
      <c r="Z40" s="1814" t="str">
        <f t="shared" si="15"/>
        <v>市政基础设施</v>
      </c>
      <c r="AA40" s="1811">
        <f t="shared" si="3"/>
        <v>1</v>
      </c>
      <c r="AB40" s="1811">
        <f t="shared" si="4"/>
        <v>1</v>
      </c>
      <c r="AC40" s="2676">
        <f t="shared" si="5"/>
        <v>1</v>
      </c>
    </row>
    <row r="41" spans="1:29" ht="15.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6"/>
      <c r="Q41" s="1810" t="str">
        <f t="shared" si="11"/>
        <v>层高</v>
      </c>
      <c r="R41" s="774" t="s">
        <v>17</v>
      </c>
      <c r="S41" s="775">
        <f t="shared" si="12"/>
        <v>100</v>
      </c>
      <c r="T41" s="774" t="s">
        <v>17</v>
      </c>
      <c r="U41" s="775">
        <f t="shared" si="13"/>
        <v>100</v>
      </c>
      <c r="V41" s="774" t="s">
        <v>17</v>
      </c>
      <c r="W41" s="775">
        <f t="shared" si="14"/>
        <v>100</v>
      </c>
      <c r="X41" s="1813"/>
      <c r="Y41" s="3248"/>
      <c r="Z41" s="1814" t="str">
        <f t="shared" si="15"/>
        <v>层高</v>
      </c>
      <c r="AA41" s="1811">
        <f t="shared" si="3"/>
        <v>1</v>
      </c>
      <c r="AB41" s="1811">
        <f t="shared" si="4"/>
        <v>1</v>
      </c>
      <c r="AC41" s="2676">
        <f t="shared" si="5"/>
        <v>1</v>
      </c>
    </row>
    <row r="42" spans="1:29" s="471" customFormat="1" ht="15.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6"/>
      <c r="Q42" s="776" t="str">
        <f t="shared" si="11"/>
        <v>单套建筑面积</v>
      </c>
      <c r="R42" s="777" t="s">
        <v>17</v>
      </c>
      <c r="S42" s="778">
        <f t="shared" si="12"/>
        <v>100</v>
      </c>
      <c r="T42" s="777" t="s">
        <v>17</v>
      </c>
      <c r="U42" s="778">
        <f t="shared" si="13"/>
        <v>100</v>
      </c>
      <c r="V42" s="777" t="s">
        <v>17</v>
      </c>
      <c r="W42" s="778">
        <f t="shared" si="14"/>
        <v>100</v>
      </c>
      <c r="X42" s="779"/>
      <c r="Y42" s="3248"/>
      <c r="Z42" s="780" t="str">
        <f t="shared" si="15"/>
        <v>单套建筑面积</v>
      </c>
      <c r="AA42" s="1811">
        <f t="shared" si="3"/>
        <v>1</v>
      </c>
      <c r="AB42" s="1811">
        <f t="shared" si="4"/>
        <v>1</v>
      </c>
      <c r="AC42" s="2676">
        <f t="shared" si="5"/>
        <v>1</v>
      </c>
    </row>
    <row r="43" spans="1:29" ht="15.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6"/>
      <c r="Q43" s="1810" t="str">
        <f t="shared" si="11"/>
        <v>内部装修</v>
      </c>
      <c r="R43" s="774" t="s">
        <v>17</v>
      </c>
      <c r="S43" s="775">
        <f t="shared" si="12"/>
        <v>100</v>
      </c>
      <c r="T43" s="774" t="s">
        <v>17</v>
      </c>
      <c r="U43" s="775">
        <f t="shared" si="13"/>
        <v>100</v>
      </c>
      <c r="V43" s="774" t="s">
        <v>17</v>
      </c>
      <c r="W43" s="775">
        <f t="shared" si="14"/>
        <v>100</v>
      </c>
      <c r="X43" s="1813"/>
      <c r="Y43" s="3248"/>
      <c r="Z43" s="1814" t="str">
        <f t="shared" si="15"/>
        <v>内部装修</v>
      </c>
      <c r="AA43" s="1811">
        <f t="shared" si="3"/>
        <v>1</v>
      </c>
      <c r="AB43" s="1811">
        <f t="shared" si="4"/>
        <v>1</v>
      </c>
      <c r="AC43" s="2676">
        <f t="shared" si="5"/>
        <v>1</v>
      </c>
    </row>
    <row r="44" spans="1:29" ht="28">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46"/>
      <c r="Q44" s="1810" t="str">
        <f t="shared" si="11"/>
        <v>内部装修维护情况</v>
      </c>
      <c r="R44" s="774" t="s">
        <v>17</v>
      </c>
      <c r="S44" s="775">
        <f t="shared" si="12"/>
        <v>100</v>
      </c>
      <c r="T44" s="774" t="s">
        <v>17</v>
      </c>
      <c r="U44" s="775">
        <f t="shared" si="13"/>
        <v>100</v>
      </c>
      <c r="V44" s="774" t="s">
        <v>17</v>
      </c>
      <c r="W44" s="775">
        <f t="shared" si="14"/>
        <v>100</v>
      </c>
      <c r="X44" s="1813"/>
      <c r="Y44" s="3248"/>
      <c r="Z44" s="1814" t="str">
        <f t="shared" si="15"/>
        <v>内部装修维护情况</v>
      </c>
      <c r="AA44" s="1811">
        <f t="shared" si="3"/>
        <v>1</v>
      </c>
      <c r="AB44" s="1811">
        <f t="shared" si="4"/>
        <v>1</v>
      </c>
      <c r="AC44" s="2676">
        <f t="shared" si="5"/>
        <v>1</v>
      </c>
    </row>
    <row r="45" spans="1:29" s="117" customFormat="1" ht="15.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6"/>
      <c r="Q45" s="1795">
        <f t="shared" si="11"/>
        <v>111</v>
      </c>
      <c r="R45" s="770" t="s">
        <v>17</v>
      </c>
      <c r="S45" s="771">
        <f t="shared" si="12"/>
        <v>100</v>
      </c>
      <c r="T45" s="770" t="s">
        <v>17</v>
      </c>
      <c r="U45" s="771">
        <f t="shared" si="13"/>
        <v>100</v>
      </c>
      <c r="V45" s="770" t="s">
        <v>17</v>
      </c>
      <c r="W45" s="771">
        <f t="shared" si="14"/>
        <v>100</v>
      </c>
      <c r="X45" s="772"/>
      <c r="Y45" s="3248"/>
      <c r="Z45" s="55">
        <f t="shared" si="15"/>
        <v>111</v>
      </c>
      <c r="AA45" s="773">
        <f t="shared" si="3"/>
        <v>1</v>
      </c>
      <c r="AB45" s="773">
        <f t="shared" si="4"/>
        <v>1</v>
      </c>
      <c r="AC45" s="2673">
        <f t="shared" si="5"/>
        <v>1</v>
      </c>
    </row>
    <row r="46" spans="1:29" ht="15.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6"/>
      <c r="Q46" s="1810">
        <f t="shared" si="11"/>
        <v>111</v>
      </c>
      <c r="R46" s="774" t="s">
        <v>17</v>
      </c>
      <c r="S46" s="775">
        <f t="shared" si="12"/>
        <v>100</v>
      </c>
      <c r="T46" s="774" t="s">
        <v>17</v>
      </c>
      <c r="U46" s="775">
        <f t="shared" si="13"/>
        <v>100</v>
      </c>
      <c r="V46" s="774" t="s">
        <v>17</v>
      </c>
      <c r="W46" s="775">
        <f t="shared" si="14"/>
        <v>100</v>
      </c>
      <c r="X46" s="1813"/>
      <c r="Y46" s="3248"/>
      <c r="Z46" s="1814">
        <f t="shared" si="15"/>
        <v>111</v>
      </c>
      <c r="AA46" s="1811">
        <f t="shared" si="3"/>
        <v>1</v>
      </c>
      <c r="AB46" s="1811">
        <f t="shared" si="4"/>
        <v>1</v>
      </c>
      <c r="AC46" s="2676">
        <f t="shared" si="5"/>
        <v>1</v>
      </c>
    </row>
    <row r="47" spans="1:29" ht="16"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7"/>
      <c r="Q47" s="1810">
        <f t="shared" si="11"/>
        <v>111</v>
      </c>
      <c r="R47" s="774" t="s">
        <v>17</v>
      </c>
      <c r="S47" s="775">
        <f t="shared" si="12"/>
        <v>100</v>
      </c>
      <c r="T47" s="774" t="s">
        <v>17</v>
      </c>
      <c r="U47" s="775">
        <f t="shared" si="13"/>
        <v>100</v>
      </c>
      <c r="V47" s="774" t="s">
        <v>17</v>
      </c>
      <c r="W47" s="775">
        <f t="shared" si="14"/>
        <v>100</v>
      </c>
      <c r="X47" s="1813"/>
      <c r="Y47" s="3249"/>
      <c r="Z47" s="1814">
        <f t="shared" si="15"/>
        <v>111</v>
      </c>
      <c r="AA47" s="1811">
        <f t="shared" si="3"/>
        <v>1</v>
      </c>
      <c r="AB47" s="1811">
        <f t="shared" si="4"/>
        <v>1</v>
      </c>
      <c r="AC47" s="2676">
        <f t="shared" si="5"/>
        <v>1</v>
      </c>
    </row>
    <row r="48" spans="1:29">
      <c r="A48" s="479" t="s">
        <v>2576</v>
      </c>
      <c r="B48" s="480"/>
      <c r="C48" s="1407" t="s">
        <v>1</v>
      </c>
      <c r="D48" s="1408"/>
      <c r="E48" s="1409">
        <f>55000*1.5</f>
        <v>82500</v>
      </c>
      <c r="F48" s="1410"/>
      <c r="G48" s="1411">
        <f>E48</f>
        <v>82500</v>
      </c>
      <c r="H48" s="1412"/>
      <c r="I48" s="1409">
        <f>E48</f>
        <v>82500</v>
      </c>
      <c r="J48" s="485"/>
      <c r="K48" s="783"/>
      <c r="L48" s="1143"/>
      <c r="M48" s="1131"/>
      <c r="N48" s="1131"/>
      <c r="O48" s="1131"/>
      <c r="P48" s="3223" t="str">
        <f>A48</f>
        <v>成交单价（元/平方米）</v>
      </c>
      <c r="Q48" s="3241"/>
      <c r="R48" s="3242">
        <f>E48</f>
        <v>82500</v>
      </c>
      <c r="S48" s="3242"/>
      <c r="T48" s="3242">
        <f>G48</f>
        <v>82500</v>
      </c>
      <c r="U48" s="3242"/>
      <c r="V48" s="3242">
        <f>I48</f>
        <v>82500</v>
      </c>
      <c r="W48" s="3242"/>
      <c r="X48" s="446"/>
      <c r="Y48" s="781"/>
      <c r="Z48" s="446"/>
      <c r="AA48" s="446"/>
      <c r="AB48" s="446"/>
      <c r="AC48" s="630"/>
    </row>
    <row r="49" spans="1:29" ht="14.5" thickBot="1">
      <c r="A49" s="486" t="s">
        <v>2668</v>
      </c>
      <c r="B49" s="487"/>
      <c r="C49" s="1413">
        <f>R50</f>
        <v>82500</v>
      </c>
      <c r="D49" s="1414"/>
      <c r="E49" s="1415">
        <f>R49</f>
        <v>82500</v>
      </c>
      <c r="F49" s="1415"/>
      <c r="G49" s="1413">
        <f>T49</f>
        <v>82500</v>
      </c>
      <c r="H49" s="1414"/>
      <c r="I49" s="1415">
        <f>V49</f>
        <v>82500</v>
      </c>
      <c r="J49" s="489"/>
      <c r="K49" s="784"/>
      <c r="L49" s="1143"/>
      <c r="M49" s="1131"/>
      <c r="N49" s="1131"/>
      <c r="O49" s="1131"/>
      <c r="P49" s="3223" t="str">
        <f>A49</f>
        <v>比较价值（元/平方米）</v>
      </c>
      <c r="Q49" s="3241"/>
      <c r="R49" s="3242">
        <f>IF(F1="售价",ROUND(PRODUCT(R48,AA7:AA47),0),ROUND(PRODUCT(R48,AA7:AA47),1))</f>
        <v>82500</v>
      </c>
      <c r="S49" s="3242"/>
      <c r="T49" s="3242">
        <f>IF(F1="售价",ROUND(PRODUCT(T48,AB7:AB47),0),ROUND(PRODUCT(T48,AB7:AB47),1))</f>
        <v>82500</v>
      </c>
      <c r="U49" s="3242"/>
      <c r="V49" s="3242">
        <f>IF(F1="售价",ROUND(PRODUCT(V48,AC7:AC47),0),ROUND(PRODUCT(V48,AC7:AC47),1))</f>
        <v>82500</v>
      </c>
      <c r="W49" s="3242"/>
      <c r="X49" s="446"/>
      <c r="Y49" s="446"/>
      <c r="Z49" s="446"/>
      <c r="AA49" s="446"/>
      <c r="AB49" s="446"/>
      <c r="AC49" s="630"/>
    </row>
    <row r="50" spans="1:29" ht="14.5" thickBot="1">
      <c r="A50" s="492" t="s">
        <v>2669</v>
      </c>
      <c r="B50" s="493"/>
      <c r="C50" s="1417">
        <f>R50</f>
        <v>82500</v>
      </c>
      <c r="D50" s="1417"/>
      <c r="E50" s="1417"/>
      <c r="F50" s="1417"/>
      <c r="G50" s="1417"/>
      <c r="H50" s="1417"/>
      <c r="I50" s="1417"/>
      <c r="J50" s="494"/>
      <c r="K50" s="785"/>
      <c r="L50" s="1143"/>
      <c r="M50" s="1131"/>
      <c r="N50" s="1131"/>
      <c r="O50" s="1131"/>
      <c r="P50" s="3264" t="str">
        <f>A50</f>
        <v>估价对象XX用房的比较价值（楼面单价，元/平方米）</v>
      </c>
      <c r="Q50" s="3265"/>
      <c r="R50" s="3266">
        <f>IF(F1="售价",ROUND(AVERAGE(R49:V49),0),ROUND(AVERAGE(R49:V49),1))</f>
        <v>82500</v>
      </c>
      <c r="S50" s="3266"/>
      <c r="T50" s="3266"/>
      <c r="U50" s="3266"/>
      <c r="V50" s="3266"/>
      <c r="W50" s="3266"/>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f>IF(E48&lt;E49,E49/E48-1,E48/E49-1)</f>
        <v>0</v>
      </c>
      <c r="F53" s="500" t="str">
        <f>IF(OR(E53&gt;=0.3,E53&lt;=-0.3),"超过30%","")</f>
        <v/>
      </c>
      <c r="G53" s="499">
        <f>IF(G48&lt;G49,G49/G48-1,G48/G49-1)</f>
        <v>0</v>
      </c>
      <c r="H53" s="500" t="str">
        <f>IF(OR(G53&gt;=0.3,G53&lt;=-0.3),"超过30%","")</f>
        <v/>
      </c>
      <c r="I53" s="499">
        <f>IF(I48&lt;I49,I49/I48-1,I48/I49-1)</f>
        <v>0</v>
      </c>
      <c r="J53" s="500" t="str">
        <f>IF(OR(I53&gt;=0.3,I53&lt;=-0.3),"超过30%","")</f>
        <v/>
      </c>
      <c r="K53" s="1105"/>
      <c r="L53" s="1106"/>
      <c r="M53" s="1144"/>
      <c r="N53" s="1144"/>
      <c r="O53" s="1144"/>
    </row>
    <row r="54" spans="1:29" ht="13.5" customHeight="1">
      <c r="A54" s="1144"/>
      <c r="B54" s="1144"/>
      <c r="C54" s="497" t="s">
        <v>2671</v>
      </c>
      <c r="D54" s="501"/>
      <c r="E54" s="499">
        <f>IF(E49&lt;G49,G49/E49-1,E49/G49-1)</f>
        <v>0</v>
      </c>
      <c r="F54" s="500" t="str">
        <f>IF(OR(E54&gt;=0.2,E54&lt;=-0.2),"超过20%","")</f>
        <v/>
      </c>
      <c r="G54" s="499">
        <f>IF(G49&lt;I49,I49/G49-1,G49/I49-1)</f>
        <v>0</v>
      </c>
      <c r="H54" s="500" t="str">
        <f>IF(OR(G54&gt;=0.2,G54&lt;=-0.2),"超过20%","")</f>
        <v/>
      </c>
      <c r="I54" s="499">
        <f>IF(I49&lt;E49,E49/I49-1,I49/E49-1)</f>
        <v>0</v>
      </c>
      <c r="J54" s="500" t="str">
        <f>IF(OR(I54&gt;=0.2,I54&lt;=-0.2),"超过20%","")</f>
        <v/>
      </c>
      <c r="K54" s="1105"/>
      <c r="L54" s="1106"/>
      <c r="M54" s="1144"/>
      <c r="N54" s="1144"/>
      <c r="O54" s="1144"/>
    </row>
    <row r="55" spans="1:29" s="502" customFormat="1" ht="13.5" customHeight="1">
      <c r="A55" s="1145"/>
      <c r="B55" s="1145"/>
      <c r="C55" s="497" t="s">
        <v>2672</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5" thickBot="1">
      <c r="A58" s="763" t="s">
        <v>2673</v>
      </c>
      <c r="B58" s="759"/>
      <c r="C58" s="764"/>
      <c r="D58" s="764"/>
      <c r="E58" s="764"/>
      <c r="F58" s="765"/>
      <c r="G58" s="765"/>
      <c r="H58" s="764"/>
      <c r="I58" s="764"/>
      <c r="J58" s="764"/>
      <c r="K58" s="766"/>
      <c r="L58" s="1161"/>
      <c r="M58" s="1159"/>
      <c r="N58" s="1159"/>
      <c r="O58" s="1159"/>
      <c r="P58" s="2683"/>
      <c r="Q58" s="504"/>
    </row>
    <row r="59" spans="1:29" s="508" customFormat="1">
      <c r="A59" s="505" t="s">
        <v>2547</v>
      </c>
      <c r="B59" s="506"/>
      <c r="C59" s="1574" t="str">
        <f>YEAR(C7)&amp;"-"&amp;MONTH(C7)</f>
        <v>2020-2</v>
      </c>
      <c r="D59" s="1575">
        <f>EDATE(C59,-1)</f>
        <v>43831</v>
      </c>
      <c r="E59" s="1575">
        <f>EDATE(D59,-1)</f>
        <v>43800</v>
      </c>
      <c r="F59" s="1575">
        <f t="shared" ref="F59:O59" si="16">EDATE(E59,-1)</f>
        <v>43770</v>
      </c>
      <c r="G59" s="1575">
        <f t="shared" si="16"/>
        <v>43739</v>
      </c>
      <c r="H59" s="1575">
        <f t="shared" si="16"/>
        <v>43709</v>
      </c>
      <c r="I59" s="1575">
        <f t="shared" si="16"/>
        <v>43678</v>
      </c>
      <c r="J59" s="1575">
        <f t="shared" si="16"/>
        <v>43647</v>
      </c>
      <c r="K59" s="1575">
        <f t="shared" si="16"/>
        <v>43617</v>
      </c>
      <c r="L59" s="1575">
        <f t="shared" si="16"/>
        <v>43586</v>
      </c>
      <c r="M59" s="1575">
        <f t="shared" si="16"/>
        <v>43556</v>
      </c>
      <c r="N59" s="1575">
        <f t="shared" si="16"/>
        <v>43525</v>
      </c>
      <c r="O59" s="1575">
        <f t="shared" si="16"/>
        <v>43497</v>
      </c>
      <c r="P59" s="1571"/>
    </row>
    <row r="60" spans="1:29" s="117" customFormat="1">
      <c r="A60" s="509"/>
      <c r="B60" s="510"/>
      <c r="C60" s="1573">
        <v>100</v>
      </c>
      <c r="D60" s="512"/>
      <c r="E60" s="512"/>
      <c r="F60" s="512"/>
      <c r="G60" s="512"/>
      <c r="H60" s="512"/>
      <c r="I60" s="512"/>
      <c r="J60" s="512"/>
      <c r="K60" s="512"/>
      <c r="L60" s="512"/>
      <c r="M60" s="513"/>
      <c r="N60" s="512"/>
      <c r="O60" s="513"/>
      <c r="P60" s="2684"/>
    </row>
    <row r="61" spans="1:29" s="117" customFormat="1" ht="14.5" thickBot="1">
      <c r="A61" s="515" t="s">
        <v>2584</v>
      </c>
      <c r="B61" s="516"/>
      <c r="C61" s="517"/>
      <c r="D61" s="518"/>
      <c r="E61" s="518"/>
      <c r="F61" s="518"/>
      <c r="G61" s="518"/>
      <c r="H61" s="518"/>
      <c r="I61" s="518"/>
      <c r="J61" s="518"/>
      <c r="K61" s="518"/>
      <c r="L61" s="518"/>
      <c r="M61" s="519"/>
      <c r="N61" s="518"/>
      <c r="O61" s="519"/>
      <c r="P61" s="2684"/>
      <c r="Q61" s="504"/>
    </row>
    <row r="62" spans="1:29" s="117" customFormat="1">
      <c r="A62" s="521" t="s">
        <v>2549</v>
      </c>
      <c r="B62" s="510"/>
      <c r="C62" s="522" t="s">
        <v>2651</v>
      </c>
      <c r="D62" s="523"/>
      <c r="E62" s="523"/>
      <c r="F62" s="523"/>
      <c r="G62" s="523"/>
      <c r="H62" s="523"/>
      <c r="I62" s="523"/>
      <c r="J62" s="523"/>
      <c r="K62" s="523"/>
      <c r="L62" s="524"/>
      <c r="M62" s="525"/>
      <c r="N62" s="1151"/>
      <c r="O62" s="1151"/>
      <c r="P62" s="2685"/>
      <c r="Q62" s="504"/>
    </row>
    <row r="63" spans="1:29" s="117" customFormat="1" ht="14.5" thickBot="1">
      <c r="A63" s="521"/>
      <c r="B63" s="510"/>
      <c r="C63" s="511">
        <v>100</v>
      </c>
      <c r="D63" s="512"/>
      <c r="E63" s="512"/>
      <c r="F63" s="512"/>
      <c r="G63" s="512"/>
      <c r="H63" s="512"/>
      <c r="I63" s="512"/>
      <c r="J63" s="512"/>
      <c r="K63" s="512"/>
      <c r="L63" s="512"/>
      <c r="M63" s="514"/>
      <c r="N63" s="1151"/>
      <c r="O63" s="1151"/>
      <c r="P63" s="2684"/>
      <c r="Q63" s="504"/>
    </row>
    <row r="64" spans="1:29">
      <c r="A64" s="527" t="s">
        <v>2587</v>
      </c>
      <c r="B64" s="528" t="s">
        <v>2553</v>
      </c>
      <c r="C64" s="529">
        <f>C9</f>
        <v>0</v>
      </c>
      <c r="D64" s="530"/>
      <c r="E64" s="530"/>
      <c r="F64" s="530"/>
      <c r="G64" s="530"/>
      <c r="H64" s="530"/>
      <c r="I64" s="530"/>
      <c r="J64" s="530"/>
      <c r="K64" s="531"/>
      <c r="L64" s="532"/>
      <c r="M64" s="533"/>
      <c r="N64" s="1152"/>
      <c r="O64" s="1152"/>
      <c r="P64" s="2686"/>
      <c r="Q64" s="504"/>
    </row>
    <row r="65" spans="1:17" ht="14.5" thickBot="1">
      <c r="A65" s="534"/>
      <c r="B65" s="535"/>
      <c r="C65" s="536">
        <v>100</v>
      </c>
      <c r="D65" s="536"/>
      <c r="E65" s="536"/>
      <c r="F65" s="536"/>
      <c r="G65" s="536"/>
      <c r="H65" s="536"/>
      <c r="I65" s="536"/>
      <c r="J65" s="536"/>
      <c r="K65" s="536"/>
      <c r="L65" s="536"/>
      <c r="M65" s="537"/>
      <c r="N65" s="1153"/>
      <c r="O65" s="1153"/>
      <c r="P65" s="2686"/>
      <c r="Q65" s="504"/>
    </row>
    <row r="66" spans="1:17" ht="28.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6"/>
      <c r="Q66" s="504"/>
    </row>
    <row r="67" spans="1:17" ht="14.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4.5" thickTop="1">
      <c r="A68" s="534"/>
      <c r="B68" s="546" t="s">
        <v>2557</v>
      </c>
      <c r="C68" s="547" t="str">
        <f>C69&amp;"（含）"&amp;"-"&amp;D69</f>
        <v>0（含）-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c r="A69" s="534"/>
      <c r="B69" s="548"/>
      <c r="C69" s="549">
        <v>0</v>
      </c>
      <c r="D69" s="549"/>
      <c r="E69" s="549"/>
      <c r="F69" s="549"/>
      <c r="G69" s="549"/>
      <c r="H69" s="549"/>
      <c r="I69" s="549"/>
      <c r="J69" s="549"/>
      <c r="K69" s="550"/>
      <c r="L69" s="551"/>
      <c r="M69" s="552"/>
      <c r="N69" s="1152"/>
      <c r="O69" s="1152"/>
      <c r="P69" s="2686"/>
      <c r="Q69" s="504"/>
    </row>
    <row r="70" spans="1:17" ht="14.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4.5" thickTop="1">
      <c r="A71" s="553"/>
      <c r="B71" s="538">
        <f>B12</f>
        <v>111</v>
      </c>
      <c r="C71" s="554"/>
      <c r="D71" s="554"/>
      <c r="E71" s="554"/>
      <c r="F71" s="554"/>
      <c r="G71" s="554"/>
      <c r="H71" s="555"/>
      <c r="I71" s="555"/>
      <c r="J71" s="555"/>
      <c r="K71" s="555"/>
      <c r="L71" s="556"/>
      <c r="M71" s="557"/>
      <c r="N71" s="1154"/>
      <c r="O71" s="1154"/>
      <c r="P71" s="2687"/>
      <c r="Q71" s="559"/>
    </row>
    <row r="72" spans="1:17" s="471" customFormat="1" ht="14.5" thickBot="1">
      <c r="A72" s="553"/>
      <c r="B72" s="543"/>
      <c r="C72" s="560"/>
      <c r="D72" s="536"/>
      <c r="E72" s="536"/>
      <c r="F72" s="536"/>
      <c r="G72" s="536"/>
      <c r="H72" s="536"/>
      <c r="I72" s="536"/>
      <c r="J72" s="536"/>
      <c r="K72" s="536"/>
      <c r="L72" s="536"/>
      <c r="M72" s="537"/>
      <c r="N72" s="1153"/>
      <c r="O72" s="1153"/>
      <c r="P72" s="2687"/>
      <c r="Q72" s="559"/>
    </row>
    <row r="73" spans="1:17" s="471" customFormat="1" ht="14.5" thickTop="1">
      <c r="A73" s="553"/>
      <c r="B73" s="538">
        <f>B13</f>
        <v>111</v>
      </c>
      <c r="C73" s="554"/>
      <c r="D73" s="554"/>
      <c r="E73" s="554"/>
      <c r="F73" s="554"/>
      <c r="G73" s="554"/>
      <c r="H73" s="555"/>
      <c r="I73" s="555"/>
      <c r="J73" s="555"/>
      <c r="K73" s="555"/>
      <c r="L73" s="556"/>
      <c r="M73" s="557"/>
      <c r="N73" s="1154"/>
      <c r="O73" s="1154"/>
      <c r="P73" s="2688"/>
      <c r="Q73" s="561"/>
    </row>
    <row r="74" spans="1:17" s="471" customFormat="1" ht="14.5" thickBot="1">
      <c r="A74" s="553"/>
      <c r="B74" s="543"/>
      <c r="C74" s="560"/>
      <c r="D74" s="560"/>
      <c r="E74" s="560"/>
      <c r="F74" s="560"/>
      <c r="G74" s="560"/>
      <c r="H74" s="562"/>
      <c r="I74" s="562"/>
      <c r="J74" s="562"/>
      <c r="K74" s="562"/>
      <c r="L74" s="562"/>
      <c r="M74" s="563"/>
      <c r="N74" s="1154"/>
      <c r="O74" s="1154"/>
      <c r="P74" s="2687"/>
      <c r="Q74" s="559"/>
    </row>
    <row r="75" spans="1:17" s="471" customFormat="1" ht="14.5" thickTop="1">
      <c r="A75" s="553"/>
      <c r="B75" s="546">
        <f>B14</f>
        <v>111</v>
      </c>
      <c r="C75" s="523"/>
      <c r="D75" s="523"/>
      <c r="E75" s="523"/>
      <c r="F75" s="523"/>
      <c r="G75" s="523"/>
      <c r="H75" s="564"/>
      <c r="I75" s="564"/>
      <c r="J75" s="564"/>
      <c r="K75" s="564"/>
      <c r="L75" s="565"/>
      <c r="M75" s="566"/>
      <c r="N75" s="1154"/>
      <c r="O75" s="1154"/>
      <c r="P75" s="2689"/>
      <c r="Q75" s="559"/>
    </row>
    <row r="76" spans="1:17" s="471" customFormat="1" ht="14.5" thickBot="1">
      <c r="A76" s="568"/>
      <c r="B76" s="569"/>
      <c r="C76" s="570"/>
      <c r="D76" s="570"/>
      <c r="E76" s="570"/>
      <c r="F76" s="570"/>
      <c r="G76" s="570"/>
      <c r="H76" s="571"/>
      <c r="I76" s="571"/>
      <c r="J76" s="571"/>
      <c r="K76" s="571"/>
      <c r="L76" s="571"/>
      <c r="M76" s="572"/>
      <c r="N76" s="1154"/>
      <c r="O76" s="1154"/>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0"/>
      <c r="Q77" s="504"/>
    </row>
    <row r="78" spans="1:17" ht="14.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4.5" thickTop="1">
      <c r="A79" s="534"/>
      <c r="B79" s="538" t="s">
        <v>2601</v>
      </c>
      <c r="C79" s="578" t="s">
        <v>2596</v>
      </c>
      <c r="D79" s="578" t="s">
        <v>2597</v>
      </c>
      <c r="E79" s="578" t="s">
        <v>2598</v>
      </c>
      <c r="F79" s="578" t="s">
        <v>2599</v>
      </c>
      <c r="G79" s="578" t="s">
        <v>2600</v>
      </c>
      <c r="H79" s="539"/>
      <c r="I79" s="539"/>
      <c r="J79" s="539"/>
      <c r="K79" s="540"/>
      <c r="L79" s="541"/>
      <c r="M79" s="542"/>
      <c r="N79" s="1152"/>
      <c r="O79" s="1152"/>
      <c r="P79" s="2686"/>
      <c r="Q79" s="504"/>
    </row>
    <row r="80" spans="1:17" ht="14.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4.5" thickTop="1">
      <c r="A81" s="534"/>
      <c r="B81" s="538" t="s">
        <v>2602</v>
      </c>
      <c r="C81" s="578" t="s">
        <v>2596</v>
      </c>
      <c r="D81" s="578" t="s">
        <v>2597</v>
      </c>
      <c r="E81" s="578" t="s">
        <v>2598</v>
      </c>
      <c r="F81" s="578" t="s">
        <v>2599</v>
      </c>
      <c r="G81" s="578" t="s">
        <v>2600</v>
      </c>
      <c r="H81" s="539"/>
      <c r="I81" s="539"/>
      <c r="J81" s="539"/>
      <c r="K81" s="540"/>
      <c r="L81" s="541"/>
      <c r="M81" s="542"/>
      <c r="N81" s="1152"/>
      <c r="O81" s="1152"/>
      <c r="P81" s="2686"/>
      <c r="Q81" s="504"/>
    </row>
    <row r="82" spans="1:17" ht="14.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4.5" thickTop="1">
      <c r="A83" s="534"/>
      <c r="B83" s="546" t="s">
        <v>2688</v>
      </c>
      <c r="C83" s="660" t="s">
        <v>2674</v>
      </c>
      <c r="D83" s="660" t="s">
        <v>2675</v>
      </c>
      <c r="E83" s="660" t="s">
        <v>2676</v>
      </c>
      <c r="F83" s="660" t="s">
        <v>2677</v>
      </c>
      <c r="G83" s="660" t="s">
        <v>2678</v>
      </c>
      <c r="H83" s="539"/>
      <c r="I83" s="539"/>
      <c r="J83" s="539"/>
      <c r="K83" s="539"/>
      <c r="L83" s="539"/>
      <c r="M83" s="1382"/>
      <c r="N83" s="1153"/>
      <c r="O83" s="1153"/>
      <c r="P83" s="2686"/>
      <c r="Q83" s="504"/>
    </row>
    <row r="84" spans="1:17" ht="14.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4.5" thickTop="1">
      <c r="A85" s="534"/>
      <c r="B85" s="538" t="s">
        <v>2697</v>
      </c>
      <c r="C85" s="578" t="s">
        <v>2596</v>
      </c>
      <c r="D85" s="578" t="s">
        <v>2597</v>
      </c>
      <c r="E85" s="578" t="s">
        <v>2598</v>
      </c>
      <c r="F85" s="578" t="s">
        <v>2599</v>
      </c>
      <c r="G85" s="578" t="s">
        <v>2600</v>
      </c>
      <c r="H85" s="539"/>
      <c r="I85" s="539"/>
      <c r="J85" s="539"/>
      <c r="K85" s="540"/>
      <c r="L85" s="541"/>
      <c r="M85" s="542"/>
      <c r="N85" s="1152"/>
      <c r="O85" s="1152"/>
      <c r="P85" s="2686"/>
      <c r="Q85" s="504"/>
    </row>
    <row r="86" spans="1:17" ht="14.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8.5" thickTop="1">
      <c r="A87" s="579"/>
      <c r="B87" s="538" t="s">
        <v>2698</v>
      </c>
      <c r="C87" s="554"/>
      <c r="D87" s="554"/>
      <c r="E87" s="554"/>
      <c r="F87" s="554"/>
      <c r="G87" s="554"/>
      <c r="H87" s="554"/>
      <c r="I87" s="554"/>
      <c r="J87" s="554"/>
      <c r="K87" s="554"/>
      <c r="L87" s="580"/>
      <c r="M87" s="581"/>
      <c r="N87" s="1151"/>
      <c r="O87" s="1151"/>
      <c r="P87" s="2686"/>
      <c r="Q87" s="504"/>
    </row>
    <row r="88" spans="1:17" s="117" customFormat="1" ht="14.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4.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4.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4.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4.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4.5" thickTop="1">
      <c r="A93" s="534"/>
      <c r="B93" s="538">
        <f>B29</f>
        <v>111</v>
      </c>
      <c r="C93" s="554"/>
      <c r="D93" s="554"/>
      <c r="E93" s="554"/>
      <c r="F93" s="554"/>
      <c r="G93" s="554"/>
      <c r="H93" s="554"/>
      <c r="I93" s="554"/>
      <c r="J93" s="554"/>
      <c r="K93" s="554"/>
      <c r="L93" s="580"/>
      <c r="M93" s="581"/>
      <c r="N93" s="1152"/>
      <c r="O93" s="1152"/>
      <c r="P93" s="2686"/>
      <c r="Q93" s="504"/>
    </row>
    <row r="94" spans="1:17" ht="14.5" thickBot="1">
      <c r="A94" s="534"/>
      <c r="B94" s="543"/>
      <c r="C94" s="560"/>
      <c r="D94" s="536"/>
      <c r="E94" s="536"/>
      <c r="F94" s="536"/>
      <c r="G94" s="536"/>
      <c r="H94" s="536"/>
      <c r="I94" s="536"/>
      <c r="J94" s="536"/>
      <c r="K94" s="536"/>
      <c r="L94" s="536"/>
      <c r="M94" s="537"/>
      <c r="N94" s="1153"/>
      <c r="O94" s="1153"/>
      <c r="P94" s="2686"/>
      <c r="Q94" s="504"/>
    </row>
    <row r="95" spans="1:17" ht="14.5" thickTop="1">
      <c r="A95" s="534"/>
      <c r="B95" s="538">
        <f>B30</f>
        <v>111</v>
      </c>
      <c r="C95" s="554"/>
      <c r="D95" s="554"/>
      <c r="E95" s="554"/>
      <c r="F95" s="554"/>
      <c r="G95" s="583"/>
      <c r="H95" s="583"/>
      <c r="I95" s="583"/>
      <c r="J95" s="583"/>
      <c r="K95" s="584"/>
      <c r="L95" s="585"/>
      <c r="M95" s="586"/>
      <c r="N95" s="1152"/>
      <c r="O95" s="1152"/>
      <c r="P95" s="2686"/>
      <c r="Q95" s="504"/>
    </row>
    <row r="96" spans="1:17" ht="14.5" thickBot="1">
      <c r="A96" s="534"/>
      <c r="B96" s="543"/>
      <c r="C96" s="560"/>
      <c r="D96" s="560"/>
      <c r="E96" s="560"/>
      <c r="F96" s="560"/>
      <c r="G96" s="536"/>
      <c r="H96" s="536"/>
      <c r="I96" s="536"/>
      <c r="J96" s="536"/>
      <c r="K96" s="536"/>
      <c r="L96" s="536"/>
      <c r="M96" s="537"/>
      <c r="N96" s="1153"/>
      <c r="O96" s="1153"/>
      <c r="P96" s="2686"/>
      <c r="Q96" s="504"/>
    </row>
    <row r="97" spans="1:17" ht="14.5" thickTop="1">
      <c r="A97" s="534"/>
      <c r="B97" s="538">
        <f>B31</f>
        <v>111</v>
      </c>
      <c r="C97" s="554"/>
      <c r="D97" s="554"/>
      <c r="E97" s="554"/>
      <c r="F97" s="554"/>
      <c r="G97" s="583"/>
      <c r="H97" s="583"/>
      <c r="I97" s="583"/>
      <c r="J97" s="583"/>
      <c r="K97" s="584"/>
      <c r="L97" s="585"/>
      <c r="M97" s="586"/>
      <c r="N97" s="1152"/>
      <c r="O97" s="1152"/>
      <c r="P97" s="2686"/>
      <c r="Q97" s="504"/>
    </row>
    <row r="98" spans="1:17" ht="14.5" thickBot="1">
      <c r="A98" s="534"/>
      <c r="B98" s="543"/>
      <c r="C98" s="560"/>
      <c r="D98" s="536"/>
      <c r="E98" s="536"/>
      <c r="F98" s="536"/>
      <c r="G98" s="536"/>
      <c r="H98" s="536"/>
      <c r="I98" s="536"/>
      <c r="J98" s="536"/>
      <c r="K98" s="536"/>
      <c r="L98" s="536"/>
      <c r="M98" s="537"/>
      <c r="N98" s="1153"/>
      <c r="O98" s="1153"/>
      <c r="P98" s="2686"/>
      <c r="Q98" s="504"/>
    </row>
    <row r="99" spans="1:17" ht="14.5" thickTop="1">
      <c r="A99" s="534"/>
      <c r="B99" s="546">
        <f>B32</f>
        <v>111</v>
      </c>
      <c r="C99" s="523"/>
      <c r="D99" s="523"/>
      <c r="E99" s="523"/>
      <c r="F99" s="523"/>
      <c r="G99" s="587"/>
      <c r="H99" s="587"/>
      <c r="I99" s="587"/>
      <c r="J99" s="587"/>
      <c r="K99" s="588"/>
      <c r="L99" s="589"/>
      <c r="M99" s="590"/>
      <c r="N99" s="1152"/>
      <c r="O99" s="1152"/>
      <c r="P99" s="2686"/>
      <c r="Q99" s="504"/>
    </row>
    <row r="100" spans="1:17" ht="14.5" thickBot="1">
      <c r="A100" s="2638"/>
      <c r="B100" s="569"/>
      <c r="C100" s="570"/>
      <c r="D100" s="570"/>
      <c r="E100" s="570"/>
      <c r="F100" s="570"/>
      <c r="G100" s="591"/>
      <c r="H100" s="591"/>
      <c r="I100" s="591"/>
      <c r="J100" s="591"/>
      <c r="K100" s="591"/>
      <c r="L100" s="591"/>
      <c r="M100" s="592"/>
      <c r="N100" s="1153"/>
      <c r="O100" s="1153"/>
      <c r="P100" s="2686"/>
      <c r="Q100" s="504"/>
    </row>
    <row r="101" spans="1:17">
      <c r="A101" s="527" t="s">
        <v>2562</v>
      </c>
      <c r="B101" s="528" t="s">
        <v>2611</v>
      </c>
      <c r="C101" s="530"/>
      <c r="D101" s="530"/>
      <c r="E101" s="530"/>
      <c r="F101" s="530"/>
      <c r="G101" s="530"/>
      <c r="H101" s="530"/>
      <c r="I101" s="530"/>
      <c r="J101" s="530"/>
      <c r="K101" s="531"/>
      <c r="L101" s="532"/>
      <c r="M101" s="533"/>
      <c r="N101" s="1152"/>
      <c r="O101" s="1152"/>
      <c r="P101" s="2686"/>
      <c r="Q101" s="504"/>
    </row>
    <row r="102" spans="1:17" ht="14.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4.5" thickTop="1">
      <c r="A103" s="534"/>
      <c r="B103" s="538" t="s">
        <v>2612</v>
      </c>
      <c r="C103" s="578" t="str">
        <f>C104&amp;"(含)"&amp;"-"&amp;D104</f>
        <v>0(含)-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v>0</v>
      </c>
      <c r="D104" s="595"/>
      <c r="E104" s="595"/>
      <c r="F104" s="595"/>
      <c r="G104" s="595"/>
      <c r="H104" s="595"/>
      <c r="I104" s="595"/>
      <c r="J104" s="596"/>
      <c r="K104" s="596"/>
      <c r="L104" s="597"/>
      <c r="M104" s="598"/>
      <c r="N104" s="1154"/>
      <c r="O104" s="1154"/>
      <c r="P104" s="2687"/>
      <c r="Q104" s="559"/>
    </row>
    <row r="105" spans="1:17" s="471" customFormat="1" ht="14.5" thickBot="1">
      <c r="A105" s="553"/>
      <c r="B105" s="543"/>
      <c r="C105" s="560"/>
      <c r="D105" s="536"/>
      <c r="E105" s="536"/>
      <c r="F105" s="536"/>
      <c r="G105" s="536"/>
      <c r="H105" s="536"/>
      <c r="I105" s="536"/>
      <c r="J105" s="536"/>
      <c r="K105" s="536"/>
      <c r="L105" s="536"/>
      <c r="M105" s="537"/>
      <c r="N105" s="1153"/>
      <c r="O105" s="1153"/>
      <c r="P105" s="2687"/>
      <c r="Q105" s="559"/>
    </row>
    <row r="106" spans="1:17" ht="14.5" thickTop="1">
      <c r="A106" s="599"/>
      <c r="B106" s="538" t="s">
        <v>2613</v>
      </c>
      <c r="C106" s="554"/>
      <c r="D106" s="554"/>
      <c r="E106" s="583"/>
      <c r="F106" s="583"/>
      <c r="G106" s="583"/>
      <c r="H106" s="583"/>
      <c r="I106" s="583"/>
      <c r="J106" s="583"/>
      <c r="K106" s="584"/>
      <c r="L106" s="585"/>
      <c r="M106" s="586"/>
      <c r="N106" s="1152"/>
      <c r="O106" s="1152"/>
      <c r="P106" s="2686"/>
      <c r="Q106" s="504"/>
    </row>
    <row r="107" spans="1:17" ht="14.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4.5" thickTop="1">
      <c r="A108" s="599"/>
      <c r="B108" s="538" t="s">
        <v>2615</v>
      </c>
      <c r="C108" s="554"/>
      <c r="D108" s="554"/>
      <c r="E108" s="554"/>
      <c r="F108" s="583"/>
      <c r="G108" s="583"/>
      <c r="H108" s="583"/>
      <c r="I108" s="583"/>
      <c r="J108" s="583"/>
      <c r="K108" s="584"/>
      <c r="L108" s="585"/>
      <c r="M108" s="586"/>
      <c r="N108" s="1152"/>
      <c r="O108" s="1152"/>
      <c r="P108" s="2686"/>
      <c r="Q108" s="504"/>
    </row>
    <row r="109" spans="1:17" ht="14.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4.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4.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4.5" thickTop="1">
      <c r="A113" s="593"/>
      <c r="B113" s="538" t="s">
        <v>2699</v>
      </c>
      <c r="C113" s="554"/>
      <c r="D113" s="554"/>
      <c r="E113" s="554"/>
      <c r="F113" s="554"/>
      <c r="G113" s="554"/>
      <c r="H113" s="583"/>
      <c r="I113" s="583"/>
      <c r="J113" s="583"/>
      <c r="K113" s="584"/>
      <c r="L113" s="585"/>
      <c r="M113" s="586"/>
      <c r="N113" s="1154"/>
      <c r="O113" s="1154"/>
      <c r="P113" s="2687"/>
      <c r="Q113" s="559"/>
    </row>
    <row r="114" spans="1:17" s="471" customFormat="1" ht="14.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4.5" thickTop="1">
      <c r="A115" s="599"/>
      <c r="B115" s="538" t="s">
        <v>2616</v>
      </c>
      <c r="C115" s="554"/>
      <c r="D115" s="554"/>
      <c r="E115" s="583"/>
      <c r="F115" s="583"/>
      <c r="G115" s="583"/>
      <c r="H115" s="583"/>
      <c r="I115" s="583"/>
      <c r="J115" s="583"/>
      <c r="K115" s="584"/>
      <c r="L115" s="585"/>
      <c r="M115" s="586"/>
      <c r="N115" s="1152"/>
      <c r="O115" s="1152"/>
      <c r="P115" s="2686"/>
      <c r="Q115" s="504"/>
    </row>
    <row r="116" spans="1:17" ht="14.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4.5" thickTop="1">
      <c r="A117" s="599"/>
      <c r="B117" s="538" t="s">
        <v>2617</v>
      </c>
      <c r="C117" s="554"/>
      <c r="D117" s="554"/>
      <c r="E117" s="554"/>
      <c r="F117" s="554"/>
      <c r="G117" s="554"/>
      <c r="H117" s="583"/>
      <c r="I117" s="583"/>
      <c r="J117" s="583"/>
      <c r="K117" s="584"/>
      <c r="L117" s="585"/>
      <c r="M117" s="586"/>
      <c r="N117" s="1152"/>
      <c r="O117" s="1152"/>
      <c r="P117" s="2686"/>
      <c r="Q117" s="504"/>
    </row>
    <row r="118" spans="1:17" ht="14.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4.5" thickTop="1">
      <c r="A119" s="599"/>
      <c r="B119" s="636" t="s">
        <v>2700</v>
      </c>
      <c r="C119" s="583"/>
      <c r="D119" s="583"/>
      <c r="E119" s="583"/>
      <c r="F119" s="583"/>
      <c r="G119" s="583"/>
      <c r="H119" s="583"/>
      <c r="I119" s="583"/>
      <c r="J119" s="583"/>
      <c r="K119" s="583"/>
      <c r="L119" s="2691"/>
      <c r="M119" s="2692"/>
      <c r="N119" s="1153"/>
      <c r="O119" s="1153"/>
      <c r="P119" s="2693"/>
      <c r="Q119" s="638"/>
    </row>
    <row r="120" spans="1:17" ht="14.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4.5" thickTop="1">
      <c r="A121" s="593"/>
      <c r="B121" s="538" t="s">
        <v>2683</v>
      </c>
      <c r="C121" s="554"/>
      <c r="D121" s="554"/>
      <c r="E121" s="554"/>
      <c r="F121" s="583"/>
      <c r="G121" s="555"/>
      <c r="H121" s="555"/>
      <c r="I121" s="555"/>
      <c r="J121" s="555"/>
      <c r="K121" s="555"/>
      <c r="L121" s="556"/>
      <c r="M121" s="557"/>
      <c r="N121" s="1154"/>
      <c r="O121" s="1154"/>
      <c r="P121" s="2687"/>
      <c r="Q121" s="559"/>
    </row>
    <row r="122" spans="1:17" s="471" customFormat="1" ht="14.5" thickBot="1">
      <c r="A122" s="553"/>
      <c r="B122" s="535"/>
      <c r="C122" s="560"/>
      <c r="D122" s="560"/>
      <c r="E122" s="560"/>
      <c r="F122" s="560"/>
      <c r="G122" s="560"/>
      <c r="H122" s="560"/>
      <c r="I122" s="560"/>
      <c r="J122" s="560"/>
      <c r="K122" s="560"/>
      <c r="L122" s="560"/>
      <c r="M122" s="560"/>
      <c r="N122" s="1154"/>
      <c r="O122" s="1154"/>
      <c r="P122" s="2687"/>
      <c r="Q122" s="559"/>
    </row>
    <row r="123" spans="1:17" ht="14.5" thickTop="1">
      <c r="A123" s="599"/>
      <c r="B123" s="538" t="s">
        <v>2619</v>
      </c>
      <c r="C123" s="554"/>
      <c r="D123" s="554"/>
      <c r="E123" s="554"/>
      <c r="F123" s="583"/>
      <c r="G123" s="583"/>
      <c r="H123" s="583"/>
      <c r="I123" s="583"/>
      <c r="J123" s="583"/>
      <c r="K123" s="584"/>
      <c r="L123" s="585"/>
      <c r="M123" s="586"/>
      <c r="N123" s="1152"/>
      <c r="O123" s="1152"/>
      <c r="P123" s="2686"/>
      <c r="Q123" s="504"/>
    </row>
    <row r="124" spans="1:17" ht="14.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28.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7"/>
      <c r="Q125" s="504"/>
    </row>
    <row r="126" spans="1:17" ht="14.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4.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4.5" thickBot="1">
      <c r="A128" s="553"/>
      <c r="B128" s="543"/>
      <c r="C128" s="560"/>
      <c r="D128" s="536"/>
      <c r="E128" s="536"/>
      <c r="F128" s="536"/>
      <c r="G128" s="560"/>
      <c r="H128" s="562"/>
      <c r="I128" s="562"/>
      <c r="J128" s="562"/>
      <c r="K128" s="562"/>
      <c r="L128" s="562"/>
      <c r="M128" s="563"/>
      <c r="N128" s="1154"/>
      <c r="O128" s="1154"/>
      <c r="P128" s="2687"/>
      <c r="Q128" s="559"/>
    </row>
    <row r="129" spans="1:17" ht="14.5" thickTop="1">
      <c r="A129" s="599"/>
      <c r="B129" s="538">
        <f>B46</f>
        <v>111</v>
      </c>
      <c r="C129" s="554"/>
      <c r="D129" s="554"/>
      <c r="E129" s="554"/>
      <c r="F129" s="554"/>
      <c r="G129" s="583"/>
      <c r="H129" s="583"/>
      <c r="I129" s="583"/>
      <c r="J129" s="583"/>
      <c r="K129" s="584"/>
      <c r="L129" s="585"/>
      <c r="M129" s="586"/>
      <c r="N129" s="1152"/>
      <c r="O129" s="1152"/>
      <c r="P129" s="2686"/>
      <c r="Q129" s="504"/>
    </row>
    <row r="130" spans="1:17" ht="14.5" thickBot="1">
      <c r="A130" s="534"/>
      <c r="B130" s="543"/>
      <c r="C130" s="560"/>
      <c r="D130" s="560"/>
      <c r="E130" s="560"/>
      <c r="F130" s="560"/>
      <c r="G130" s="536"/>
      <c r="H130" s="536"/>
      <c r="I130" s="536"/>
      <c r="J130" s="536"/>
      <c r="K130" s="536"/>
      <c r="L130" s="536"/>
      <c r="M130" s="537"/>
      <c r="N130" s="1153"/>
      <c r="O130" s="1153"/>
      <c r="P130" s="2686"/>
      <c r="Q130" s="504"/>
    </row>
    <row r="131" spans="1:17" ht="14.5" thickTop="1">
      <c r="A131" s="599"/>
      <c r="B131" s="546">
        <f>B47</f>
        <v>111</v>
      </c>
      <c r="C131" s="523"/>
      <c r="D131" s="523"/>
      <c r="E131" s="523"/>
      <c r="F131" s="523"/>
      <c r="G131" s="587"/>
      <c r="H131" s="587"/>
      <c r="I131" s="587"/>
      <c r="J131" s="587"/>
      <c r="K131" s="523"/>
      <c r="L131" s="524"/>
      <c r="M131" s="590"/>
      <c r="N131" s="1152"/>
      <c r="O131" s="1152"/>
      <c r="P131" s="2686"/>
      <c r="Q131" s="504"/>
    </row>
    <row r="132" spans="1:17" ht="14.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zoomScale="90" zoomScaleNormal="90" workbookViewId="0">
      <selection activeCell="E3" sqref="E3"/>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8"/>
      <c r="D2" s="1124"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3000.7300000000005</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11" t="s">
        <v>2646</v>
      </c>
      <c r="S4" s="3212"/>
      <c r="T4" s="3211" t="s">
        <v>2647</v>
      </c>
      <c r="U4" s="3212"/>
      <c r="V4" s="3236" t="s">
        <v>2648</v>
      </c>
      <c r="W4" s="3236"/>
      <c r="X4" s="1813"/>
      <c r="Y4" s="3211" t="s">
        <v>2650</v>
      </c>
      <c r="Z4" s="3212"/>
      <c r="AA4" s="3206" t="s">
        <v>2646</v>
      </c>
      <c r="AB4" s="3207" t="s">
        <v>2647</v>
      </c>
      <c r="AC4" s="3206" t="s">
        <v>2648</v>
      </c>
    </row>
    <row r="5" spans="1:29">
      <c r="A5" s="404"/>
      <c r="B5" s="405"/>
      <c r="C5" s="3217" t="s">
        <v>2541</v>
      </c>
      <c r="D5" s="3218"/>
      <c r="E5" s="3215" t="s">
        <v>2542</v>
      </c>
      <c r="F5" s="3216"/>
      <c r="G5" s="3217" t="s">
        <v>2543</v>
      </c>
      <c r="H5" s="3218"/>
      <c r="I5" s="3217" t="s">
        <v>2544</v>
      </c>
      <c r="J5" s="3218"/>
      <c r="K5" s="610"/>
      <c r="L5" s="1130"/>
      <c r="M5" s="1131"/>
      <c r="N5" s="1131"/>
      <c r="O5" s="1131"/>
      <c r="P5" s="3230"/>
      <c r="Q5" s="3231"/>
      <c r="R5" s="3213"/>
      <c r="S5" s="3214"/>
      <c r="T5" s="3213"/>
      <c r="U5" s="3214"/>
      <c r="V5" s="3236"/>
      <c r="W5" s="3236"/>
      <c r="X5" s="1813"/>
      <c r="Y5" s="3213"/>
      <c r="Z5" s="3214"/>
      <c r="AA5" s="3207"/>
      <c r="AB5" s="3207"/>
      <c r="AC5" s="3207"/>
    </row>
    <row r="6" spans="1:29" ht="15" thickBot="1">
      <c r="A6" s="406"/>
      <c r="B6" s="407"/>
      <c r="C6" s="3219" t="s">
        <v>2545</v>
      </c>
      <c r="D6" s="3220"/>
      <c r="E6" s="3221" t="s">
        <v>2545</v>
      </c>
      <c r="F6" s="3222"/>
      <c r="G6" s="3219" t="s">
        <v>2545</v>
      </c>
      <c r="H6" s="3220"/>
      <c r="I6" s="3219" t="s">
        <v>2545</v>
      </c>
      <c r="J6" s="3220"/>
      <c r="K6" s="610" t="s">
        <v>2546</v>
      </c>
      <c r="L6" s="1130"/>
      <c r="M6" s="1131"/>
      <c r="N6" s="1131"/>
      <c r="O6" s="1131"/>
      <c r="P6" s="3232"/>
      <c r="Q6" s="3233"/>
      <c r="R6" s="3213"/>
      <c r="S6" s="3214"/>
      <c r="T6" s="3234"/>
      <c r="U6" s="3235"/>
      <c r="V6" s="3236"/>
      <c r="W6" s="3236"/>
      <c r="X6" s="1813"/>
      <c r="Y6" s="3234"/>
      <c r="Z6" s="3235"/>
      <c r="AA6" s="3208"/>
      <c r="AB6" s="3208"/>
      <c r="AC6" s="3208"/>
    </row>
    <row r="7" spans="1:29" s="117" customFormat="1" ht="14.5" thickBot="1">
      <c r="A7" s="408" t="s">
        <v>2547</v>
      </c>
      <c r="B7" s="409"/>
      <c r="C7" s="410">
        <f>'数据-取费表'!B2</f>
        <v>43872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9" t="s">
        <v>2548</v>
      </c>
      <c r="Q7" s="3237"/>
      <c r="R7" s="770" t="s">
        <v>17</v>
      </c>
      <c r="S7" s="771">
        <f t="shared" ref="S7:S15" si="0">F7</f>
        <v>0</v>
      </c>
      <c r="T7" s="770" t="s">
        <v>17</v>
      </c>
      <c r="U7" s="771">
        <f t="shared" ref="U7:U15" si="1">H7</f>
        <v>0</v>
      </c>
      <c r="V7" s="770" t="s">
        <v>17</v>
      </c>
      <c r="W7" s="771">
        <f t="shared" ref="W7:W15" si="2">J7</f>
        <v>0</v>
      </c>
      <c r="X7" s="772"/>
      <c r="Y7" s="3209" t="s">
        <v>2548</v>
      </c>
      <c r="Z7" s="3210"/>
      <c r="AA7" s="773" t="e">
        <f>D7/F7</f>
        <v>#DIV/0!</v>
      </c>
      <c r="AB7" s="773" t="e">
        <f>D7/H7</f>
        <v>#DIV/0!</v>
      </c>
      <c r="AC7" s="773" t="e">
        <f>D7/J7</f>
        <v>#DIV/0!</v>
      </c>
    </row>
    <row r="8" spans="1:29" s="117" customFormat="1" ht="14.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9" t="s">
        <v>2551</v>
      </c>
      <c r="Q8" s="3210"/>
      <c r="R8" s="770" t="s">
        <v>17</v>
      </c>
      <c r="S8" s="771">
        <f t="shared" si="0"/>
        <v>0</v>
      </c>
      <c r="T8" s="770" t="s">
        <v>17</v>
      </c>
      <c r="U8" s="771">
        <f t="shared" si="1"/>
        <v>0</v>
      </c>
      <c r="V8" s="770" t="s">
        <v>17</v>
      </c>
      <c r="W8" s="771">
        <f t="shared" si="2"/>
        <v>0</v>
      </c>
      <c r="X8" s="772"/>
      <c r="Y8" s="3209" t="s">
        <v>2551</v>
      </c>
      <c r="Z8" s="3210"/>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1" t="s">
        <v>2554</v>
      </c>
      <c r="Q9" s="1795"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1"/>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1"/>
      <c r="Q11" s="1795"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41"/>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41"/>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6"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41"/>
      <c r="Q14" s="1795">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70">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3" t="s">
        <v>2559</v>
      </c>
      <c r="Q15" s="1810" t="str">
        <f t="shared" si="6"/>
        <v>产业集聚程度</v>
      </c>
      <c r="R15" s="774" t="s">
        <v>17</v>
      </c>
      <c r="S15" s="775">
        <f t="shared" si="0"/>
        <v>100</v>
      </c>
      <c r="T15" s="774" t="s">
        <v>17</v>
      </c>
      <c r="U15" s="775">
        <f t="shared" si="1"/>
        <v>100</v>
      </c>
      <c r="V15" s="774" t="s">
        <v>17</v>
      </c>
      <c r="W15" s="775">
        <f t="shared" si="2"/>
        <v>100</v>
      </c>
      <c r="X15" s="1813"/>
      <c r="Y15" s="3243" t="s">
        <v>2559</v>
      </c>
      <c r="Z15" s="1814" t="str">
        <f t="shared" si="7"/>
        <v>产业集聚程度</v>
      </c>
      <c r="AA15" s="1811">
        <f t="shared" si="3"/>
        <v>1</v>
      </c>
      <c r="AB15" s="1811">
        <f t="shared" si="4"/>
        <v>1</v>
      </c>
      <c r="AC15" s="1811">
        <f t="shared" si="5"/>
        <v>1</v>
      </c>
    </row>
    <row r="16" spans="1:29" ht="15.5">
      <c r="A16" s="428"/>
      <c r="B16" s="446"/>
      <c r="C16" s="447"/>
      <c r="D16" s="448"/>
      <c r="E16" s="447"/>
      <c r="F16" s="449"/>
      <c r="G16" s="447"/>
      <c r="H16" s="450"/>
      <c r="I16" s="447"/>
      <c r="J16" s="448"/>
      <c r="K16" s="615"/>
      <c r="L16" s="1140"/>
      <c r="M16" s="1131"/>
      <c r="N16" s="1131"/>
      <c r="O16" s="1139"/>
      <c r="P16" s="3244"/>
      <c r="Q16" s="1810"/>
      <c r="R16" s="774"/>
      <c r="S16" s="775"/>
      <c r="T16" s="774"/>
      <c r="U16" s="775"/>
      <c r="V16" s="774"/>
      <c r="W16" s="775"/>
      <c r="X16" s="1813"/>
      <c r="Y16" s="3244"/>
      <c r="Z16" s="1814"/>
      <c r="AA16" s="1811">
        <v>1</v>
      </c>
      <c r="AB16" s="1811">
        <v>1</v>
      </c>
      <c r="AC16" s="1811">
        <v>1</v>
      </c>
    </row>
    <row r="17" spans="1:29" ht="98">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4"/>
      <c r="Q17" s="1810" t="str">
        <f>B17</f>
        <v>交通便捷度</v>
      </c>
      <c r="R17" s="774" t="s">
        <v>17</v>
      </c>
      <c r="S17" s="775">
        <f>F17</f>
        <v>100</v>
      </c>
      <c r="T17" s="774" t="s">
        <v>17</v>
      </c>
      <c r="U17" s="775">
        <f>H17</f>
        <v>100</v>
      </c>
      <c r="V17" s="774" t="s">
        <v>17</v>
      </c>
      <c r="W17" s="775">
        <f>J17</f>
        <v>100</v>
      </c>
      <c r="X17" s="1813"/>
      <c r="Y17" s="3244"/>
      <c r="Z17" s="1814" t="str">
        <f>Q17</f>
        <v>交通便捷度</v>
      </c>
      <c r="AA17" s="1811">
        <f t="shared" si="3"/>
        <v>1</v>
      </c>
      <c r="AB17" s="1811">
        <f t="shared" si="4"/>
        <v>1</v>
      </c>
      <c r="AC17" s="1811">
        <f t="shared" si="5"/>
        <v>1</v>
      </c>
    </row>
    <row r="18" spans="1:29" ht="15.5">
      <c r="A18" s="428"/>
      <c r="B18" s="456"/>
      <c r="C18" s="2610"/>
      <c r="D18" s="450"/>
      <c r="E18" s="2612"/>
      <c r="F18" s="453"/>
      <c r="G18" s="2611"/>
      <c r="H18" s="448"/>
      <c r="I18" s="2612"/>
      <c r="J18" s="448"/>
      <c r="K18" s="615"/>
      <c r="L18" s="1140"/>
      <c r="M18" s="1131"/>
      <c r="N18" s="1131"/>
      <c r="O18" s="1139"/>
      <c r="P18" s="3244"/>
      <c r="Q18" s="1810"/>
      <c r="R18" s="774"/>
      <c r="S18" s="775"/>
      <c r="T18" s="774"/>
      <c r="U18" s="775"/>
      <c r="V18" s="774"/>
      <c r="W18" s="775"/>
      <c r="X18" s="1813"/>
      <c r="Y18" s="3244"/>
      <c r="Z18" s="1814"/>
      <c r="AA18" s="1811">
        <v>1</v>
      </c>
      <c r="AB18" s="1811">
        <v>1</v>
      </c>
      <c r="AC18" s="1811">
        <v>1</v>
      </c>
    </row>
    <row r="19" spans="1:29" ht="42">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4"/>
      <c r="Q19" s="1810" t="str">
        <f>B19</f>
        <v>公共配套设施</v>
      </c>
      <c r="R19" s="774" t="s">
        <v>17</v>
      </c>
      <c r="S19" s="775">
        <f>F19</f>
        <v>100</v>
      </c>
      <c r="T19" s="774" t="s">
        <v>17</v>
      </c>
      <c r="U19" s="775">
        <f>H19</f>
        <v>100</v>
      </c>
      <c r="V19" s="774" t="s">
        <v>17</v>
      </c>
      <c r="W19" s="775">
        <f>J19</f>
        <v>100</v>
      </c>
      <c r="X19" s="1813"/>
      <c r="Y19" s="3244"/>
      <c r="Z19" s="1814" t="str">
        <f>Q19</f>
        <v>公共配套设施</v>
      </c>
      <c r="AA19" s="1811">
        <f t="shared" si="3"/>
        <v>1</v>
      </c>
      <c r="AB19" s="1811">
        <f t="shared" si="4"/>
        <v>1</v>
      </c>
      <c r="AC19" s="1811">
        <f t="shared" si="5"/>
        <v>1</v>
      </c>
    </row>
    <row r="20" spans="1:29" ht="15.5">
      <c r="A20" s="428"/>
      <c r="B20" s="456"/>
      <c r="C20" s="447"/>
      <c r="D20" s="448"/>
      <c r="E20" s="2607"/>
      <c r="F20" s="449"/>
      <c r="G20" s="2606"/>
      <c r="H20" s="448"/>
      <c r="I20" s="2607"/>
      <c r="J20" s="448"/>
      <c r="K20" s="615"/>
      <c r="L20" s="1140"/>
      <c r="M20" s="1131"/>
      <c r="N20" s="1131"/>
      <c r="O20" s="1139"/>
      <c r="P20" s="3244"/>
      <c r="Q20" s="1810"/>
      <c r="R20" s="774"/>
      <c r="S20" s="775"/>
      <c r="T20" s="774"/>
      <c r="U20" s="775"/>
      <c r="V20" s="774"/>
      <c r="W20" s="775"/>
      <c r="X20" s="1813"/>
      <c r="Y20" s="3244"/>
      <c r="Z20" s="1814"/>
      <c r="AA20" s="1811">
        <v>1</v>
      </c>
      <c r="AB20" s="1811">
        <v>1</v>
      </c>
      <c r="AC20" s="1811">
        <v>1</v>
      </c>
    </row>
    <row r="21" spans="1:29" ht="42">
      <c r="A21" s="428"/>
      <c r="B21" s="1384"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4"/>
      <c r="Q21" s="1810" t="str">
        <f>B21</f>
        <v>基础设施水平</v>
      </c>
      <c r="R21" s="774" t="s">
        <v>17</v>
      </c>
      <c r="S21" s="775">
        <f>F21</f>
        <v>100</v>
      </c>
      <c r="T21" s="774" t="s">
        <v>17</v>
      </c>
      <c r="U21" s="775">
        <f>H21</f>
        <v>100</v>
      </c>
      <c r="V21" s="774" t="s">
        <v>17</v>
      </c>
      <c r="W21" s="775">
        <f>J21</f>
        <v>100</v>
      </c>
      <c r="X21" s="1813"/>
      <c r="Y21" s="3244"/>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9"/>
      <c r="G22" s="447"/>
      <c r="H22" s="448"/>
      <c r="I22" s="447"/>
      <c r="J22" s="448"/>
      <c r="K22" s="1383"/>
      <c r="L22" s="1140"/>
      <c r="M22" s="1131"/>
      <c r="N22" s="1131"/>
      <c r="O22" s="1139"/>
      <c r="P22" s="3244"/>
      <c r="Q22" s="1810"/>
      <c r="R22" s="774"/>
      <c r="S22" s="775"/>
      <c r="T22" s="774"/>
      <c r="U22" s="775"/>
      <c r="V22" s="774"/>
      <c r="W22" s="775"/>
      <c r="X22" s="1813"/>
      <c r="Y22" s="3244"/>
      <c r="Z22" s="1814"/>
      <c r="AA22" s="1811">
        <v>1</v>
      </c>
      <c r="AB22" s="1811">
        <v>1</v>
      </c>
      <c r="AC22" s="1811">
        <v>1</v>
      </c>
    </row>
    <row r="23" spans="1:29" ht="84">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4"/>
      <c r="Q23" s="1810" t="str">
        <f>B23</f>
        <v>环境质量</v>
      </c>
      <c r="R23" s="774" t="s">
        <v>17</v>
      </c>
      <c r="S23" s="775">
        <f>F23</f>
        <v>100</v>
      </c>
      <c r="T23" s="774" t="s">
        <v>17</v>
      </c>
      <c r="U23" s="775">
        <f>H23</f>
        <v>100</v>
      </c>
      <c r="V23" s="774" t="s">
        <v>17</v>
      </c>
      <c r="W23" s="775">
        <f>J23</f>
        <v>100</v>
      </c>
      <c r="X23" s="1813"/>
      <c r="Y23" s="3244"/>
      <c r="Z23" s="1814" t="str">
        <f>Q23</f>
        <v>环境质量</v>
      </c>
      <c r="AA23" s="1811">
        <f t="shared" si="3"/>
        <v>1</v>
      </c>
      <c r="AB23" s="1811">
        <f t="shared" si="4"/>
        <v>1</v>
      </c>
      <c r="AC23" s="1811">
        <f t="shared" si="5"/>
        <v>1</v>
      </c>
    </row>
    <row r="24" spans="1:29" ht="15.5">
      <c r="A24" s="428"/>
      <c r="B24" s="1384"/>
      <c r="C24" s="447"/>
      <c r="D24" s="448"/>
      <c r="E24" s="2607"/>
      <c r="F24" s="449"/>
      <c r="G24" s="2606"/>
      <c r="H24" s="448"/>
      <c r="I24" s="2607"/>
      <c r="J24" s="448"/>
      <c r="K24" s="615"/>
      <c r="L24" s="1140"/>
      <c r="M24" s="1131"/>
      <c r="N24" s="1131"/>
      <c r="O24" s="1139"/>
      <c r="P24" s="3244"/>
      <c r="Q24" s="1810"/>
      <c r="R24" s="774"/>
      <c r="S24" s="775"/>
      <c r="T24" s="774"/>
      <c r="U24" s="775"/>
      <c r="V24" s="774"/>
      <c r="W24" s="775"/>
      <c r="X24" s="1813"/>
      <c r="Y24" s="3244"/>
      <c r="Z24" s="1814"/>
      <c r="AA24" s="1811">
        <v>1</v>
      </c>
      <c r="AB24" s="1811">
        <v>1</v>
      </c>
      <c r="AC24" s="1811">
        <v>1</v>
      </c>
    </row>
    <row r="25" spans="1:29" ht="15.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4"/>
      <c r="Q25" s="1810">
        <f>B25</f>
        <v>111</v>
      </c>
      <c r="R25" s="774" t="s">
        <v>17</v>
      </c>
      <c r="S25" s="775">
        <f>F25</f>
        <v>100</v>
      </c>
      <c r="T25" s="774" t="s">
        <v>17</v>
      </c>
      <c r="U25" s="775">
        <f>H25</f>
        <v>100</v>
      </c>
      <c r="V25" s="774" t="s">
        <v>17</v>
      </c>
      <c r="W25" s="775">
        <f>J25</f>
        <v>100</v>
      </c>
      <c r="X25" s="1813"/>
      <c r="Y25" s="3244"/>
      <c r="Z25" s="1814">
        <f>Q25</f>
        <v>111</v>
      </c>
      <c r="AA25" s="1811">
        <f t="shared" si="3"/>
        <v>1</v>
      </c>
      <c r="AB25" s="1811">
        <f t="shared" si="4"/>
        <v>1</v>
      </c>
      <c r="AC25" s="1811">
        <f t="shared" si="5"/>
        <v>1</v>
      </c>
    </row>
    <row r="26" spans="1:29" ht="15.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4"/>
      <c r="Q26" s="1810">
        <f t="shared" ref="Q26:Q40" si="11">B26</f>
        <v>111</v>
      </c>
      <c r="R26" s="774" t="s">
        <v>17</v>
      </c>
      <c r="S26" s="775">
        <f>F26</f>
        <v>100</v>
      </c>
      <c r="T26" s="774" t="s">
        <v>17</v>
      </c>
      <c r="U26" s="775">
        <f>H26</f>
        <v>100</v>
      </c>
      <c r="V26" s="774" t="s">
        <v>17</v>
      </c>
      <c r="W26" s="775">
        <f>J26</f>
        <v>100</v>
      </c>
      <c r="X26" s="1813"/>
      <c r="Y26" s="3244"/>
      <c r="Z26" s="1814">
        <f>Q26</f>
        <v>111</v>
      </c>
      <c r="AA26" s="1811">
        <f t="shared" si="3"/>
        <v>1</v>
      </c>
      <c r="AB26" s="1811">
        <f t="shared" si="4"/>
        <v>1</v>
      </c>
      <c r="AC26" s="1811">
        <f t="shared" si="5"/>
        <v>1</v>
      </c>
    </row>
    <row r="27" spans="1:29" s="117" customFormat="1" ht="15.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4"/>
      <c r="Q27" s="1795">
        <f t="shared" si="11"/>
        <v>111</v>
      </c>
      <c r="R27" s="770" t="s">
        <v>17</v>
      </c>
      <c r="S27" s="771">
        <f>F27</f>
        <v>100</v>
      </c>
      <c r="T27" s="770" t="s">
        <v>17</v>
      </c>
      <c r="U27" s="771">
        <f>H27</f>
        <v>100</v>
      </c>
      <c r="V27" s="770" t="s">
        <v>17</v>
      </c>
      <c r="W27" s="771">
        <f>J27</f>
        <v>100</v>
      </c>
      <c r="X27" s="772"/>
      <c r="Y27" s="3244"/>
      <c r="Z27" s="55">
        <f>Q27</f>
        <v>111</v>
      </c>
      <c r="AA27" s="1811">
        <f>D27/F27</f>
        <v>1</v>
      </c>
      <c r="AB27" s="1811">
        <f>D27/H27</f>
        <v>1</v>
      </c>
      <c r="AC27" s="1811">
        <f>D27/J27</f>
        <v>1</v>
      </c>
    </row>
    <row r="28" spans="1:29" ht="1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4"/>
      <c r="Q28" s="1810">
        <f t="shared" si="11"/>
        <v>111</v>
      </c>
      <c r="R28" s="774" t="s">
        <v>17</v>
      </c>
      <c r="S28" s="775">
        <f t="shared" ref="S28:S40" si="12">F28</f>
        <v>100</v>
      </c>
      <c r="T28" s="774" t="s">
        <v>17</v>
      </c>
      <c r="U28" s="775">
        <f t="shared" ref="U28:U40" si="13">H28</f>
        <v>100</v>
      </c>
      <c r="V28" s="774" t="s">
        <v>17</v>
      </c>
      <c r="W28" s="775">
        <f t="shared" ref="W28:W40" si="14">J28</f>
        <v>100</v>
      </c>
      <c r="X28" s="1813"/>
      <c r="Y28" s="3244"/>
      <c r="Z28" s="1814">
        <f t="shared" ref="Z28:Z40" si="15">Q28</f>
        <v>111</v>
      </c>
      <c r="AA28" s="1811">
        <f t="shared" si="3"/>
        <v>1</v>
      </c>
      <c r="AB28" s="1811">
        <f t="shared" si="4"/>
        <v>1</v>
      </c>
      <c r="AC28" s="1811">
        <f t="shared" si="5"/>
        <v>1</v>
      </c>
    </row>
    <row r="29" spans="1:29" ht="29">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67" t="s">
        <v>2564</v>
      </c>
      <c r="Q29" s="1810" t="str">
        <f t="shared" si="11"/>
        <v>建筑类型</v>
      </c>
      <c r="R29" s="774" t="s">
        <v>17</v>
      </c>
      <c r="S29" s="775">
        <f t="shared" si="12"/>
        <v>100</v>
      </c>
      <c r="T29" s="774" t="s">
        <v>17</v>
      </c>
      <c r="U29" s="775">
        <f t="shared" si="13"/>
        <v>100</v>
      </c>
      <c r="V29" s="774" t="s">
        <v>17</v>
      </c>
      <c r="W29" s="775">
        <f t="shared" si="14"/>
        <v>100</v>
      </c>
      <c r="X29" s="1813"/>
      <c r="Y29" s="3248" t="s">
        <v>2564</v>
      </c>
      <c r="Z29" s="1814" t="str">
        <f t="shared" si="15"/>
        <v>建筑类型</v>
      </c>
      <c r="AA29" s="1811">
        <f t="shared" si="3"/>
        <v>1</v>
      </c>
      <c r="AB29" s="1811">
        <f t="shared" si="4"/>
        <v>1</v>
      </c>
      <c r="AC29" s="1811">
        <f t="shared" si="5"/>
        <v>1</v>
      </c>
    </row>
    <row r="30" spans="1:29" s="471" customFormat="1" ht="15.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8"/>
      <c r="Q30" s="776" t="str">
        <f t="shared" si="11"/>
        <v>项目建筑规模</v>
      </c>
      <c r="R30" s="777" t="s">
        <v>17</v>
      </c>
      <c r="S30" s="778" t="e">
        <f t="shared" si="12"/>
        <v>#N/A</v>
      </c>
      <c r="T30" s="777" t="s">
        <v>17</v>
      </c>
      <c r="U30" s="778" t="e">
        <f t="shared" si="13"/>
        <v>#N/A</v>
      </c>
      <c r="V30" s="777" t="s">
        <v>17</v>
      </c>
      <c r="W30" s="778" t="e">
        <f t="shared" si="14"/>
        <v>#N/A</v>
      </c>
      <c r="X30" s="779"/>
      <c r="Y30" s="3248"/>
      <c r="Z30" s="780" t="str">
        <f t="shared" si="15"/>
        <v>项目建筑规模</v>
      </c>
      <c r="AA30" s="1811" t="e">
        <f t="shared" si="3"/>
        <v>#N/A</v>
      </c>
      <c r="AB30" s="1811" t="e">
        <f t="shared" si="4"/>
        <v>#N/A</v>
      </c>
      <c r="AC30" s="1811" t="e">
        <f t="shared" si="5"/>
        <v>#N/A</v>
      </c>
    </row>
    <row r="31" spans="1:29" ht="15.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8"/>
      <c r="Q31" s="1810" t="str">
        <f t="shared" si="11"/>
        <v>建筑结构</v>
      </c>
      <c r="R31" s="774" t="s">
        <v>17</v>
      </c>
      <c r="S31" s="775">
        <f t="shared" si="12"/>
        <v>100</v>
      </c>
      <c r="T31" s="774" t="s">
        <v>17</v>
      </c>
      <c r="U31" s="775">
        <f t="shared" si="13"/>
        <v>100</v>
      </c>
      <c r="V31" s="774" t="s">
        <v>17</v>
      </c>
      <c r="W31" s="775">
        <f t="shared" si="14"/>
        <v>100</v>
      </c>
      <c r="X31" s="1813"/>
      <c r="Y31" s="3248"/>
      <c r="Z31" s="1814" t="str">
        <f t="shared" si="15"/>
        <v>建筑结构</v>
      </c>
      <c r="AA31" s="1811">
        <f t="shared" si="3"/>
        <v>1</v>
      </c>
      <c r="AB31" s="1811">
        <f t="shared" si="4"/>
        <v>1</v>
      </c>
      <c r="AC31" s="1811">
        <f t="shared" si="5"/>
        <v>1</v>
      </c>
    </row>
    <row r="32" spans="1:29" ht="15.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8"/>
      <c r="Q32" s="1810" t="str">
        <f t="shared" si="11"/>
        <v>公共部分装修</v>
      </c>
      <c r="R32" s="774" t="s">
        <v>17</v>
      </c>
      <c r="S32" s="775">
        <f t="shared" si="12"/>
        <v>100</v>
      </c>
      <c r="T32" s="774" t="s">
        <v>17</v>
      </c>
      <c r="U32" s="775">
        <f t="shared" si="13"/>
        <v>100</v>
      </c>
      <c r="V32" s="774" t="s">
        <v>17</v>
      </c>
      <c r="W32" s="775">
        <f t="shared" si="14"/>
        <v>100</v>
      </c>
      <c r="X32" s="1813"/>
      <c r="Y32" s="3248"/>
      <c r="Z32" s="1814" t="str">
        <f t="shared" si="15"/>
        <v>公共部分装修</v>
      </c>
      <c r="AA32" s="1811">
        <f t="shared" si="3"/>
        <v>1</v>
      </c>
      <c r="AB32" s="1811">
        <f t="shared" si="4"/>
        <v>1</v>
      </c>
      <c r="AC32" s="1811">
        <f t="shared" si="5"/>
        <v>1</v>
      </c>
    </row>
    <row r="33" spans="1:29" ht="15.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8"/>
      <c r="Q33" s="1810" t="str">
        <f t="shared" si="11"/>
        <v>成新度</v>
      </c>
      <c r="R33" s="774" t="s">
        <v>17</v>
      </c>
      <c r="S33" s="775" t="e">
        <f t="shared" si="12"/>
        <v>#N/A</v>
      </c>
      <c r="T33" s="774" t="s">
        <v>17</v>
      </c>
      <c r="U33" s="775" t="e">
        <f t="shared" si="13"/>
        <v>#N/A</v>
      </c>
      <c r="V33" s="774" t="s">
        <v>17</v>
      </c>
      <c r="W33" s="775" t="e">
        <f t="shared" si="14"/>
        <v>#N/A</v>
      </c>
      <c r="X33" s="1813"/>
      <c r="Y33" s="3248"/>
      <c r="Z33" s="1814" t="str">
        <f t="shared" si="15"/>
        <v>成新度</v>
      </c>
      <c r="AA33" s="1811" t="e">
        <f t="shared" si="3"/>
        <v>#N/A</v>
      </c>
      <c r="AB33" s="1811" t="e">
        <f t="shared" si="4"/>
        <v>#N/A</v>
      </c>
      <c r="AC33" s="1811" t="e">
        <f t="shared" si="5"/>
        <v>#N/A</v>
      </c>
    </row>
    <row r="34" spans="1:29" s="117" customFormat="1" ht="15.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8"/>
      <c r="Q34" s="1795" t="str">
        <f t="shared" si="11"/>
        <v>物业管理</v>
      </c>
      <c r="R34" s="770" t="s">
        <v>17</v>
      </c>
      <c r="S34" s="771">
        <f t="shared" si="12"/>
        <v>100</v>
      </c>
      <c r="T34" s="770" t="s">
        <v>17</v>
      </c>
      <c r="U34" s="771">
        <f t="shared" si="13"/>
        <v>100</v>
      </c>
      <c r="V34" s="770" t="s">
        <v>17</v>
      </c>
      <c r="W34" s="771">
        <f t="shared" si="14"/>
        <v>100</v>
      </c>
      <c r="X34" s="772"/>
      <c r="Y34" s="3248"/>
      <c r="Z34" s="55" t="str">
        <f t="shared" si="15"/>
        <v>物业管理</v>
      </c>
      <c r="AA34" s="773">
        <f t="shared" si="3"/>
        <v>1</v>
      </c>
      <c r="AB34" s="773">
        <f t="shared" si="4"/>
        <v>1</v>
      </c>
      <c r="AC34" s="773">
        <f t="shared" si="5"/>
        <v>1</v>
      </c>
    </row>
    <row r="35" spans="1:29" ht="15.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8" t="s">
        <v>2564</v>
      </c>
      <c r="Q35" s="1810" t="str">
        <f t="shared" si="11"/>
        <v>市政基础设施</v>
      </c>
      <c r="R35" s="774" t="s">
        <v>17</v>
      </c>
      <c r="S35" s="775">
        <f t="shared" si="12"/>
        <v>100</v>
      </c>
      <c r="T35" s="774" t="s">
        <v>17</v>
      </c>
      <c r="U35" s="775">
        <f t="shared" si="13"/>
        <v>100</v>
      </c>
      <c r="V35" s="774" t="s">
        <v>17</v>
      </c>
      <c r="W35" s="775">
        <f t="shared" si="14"/>
        <v>100</v>
      </c>
      <c r="X35" s="1813"/>
      <c r="Y35" s="3248" t="s">
        <v>2564</v>
      </c>
      <c r="Z35" s="1814" t="str">
        <f t="shared" si="15"/>
        <v>市政基础设施</v>
      </c>
      <c r="AA35" s="1811">
        <f t="shared" si="3"/>
        <v>1</v>
      </c>
      <c r="AB35" s="1811">
        <f t="shared" si="4"/>
        <v>1</v>
      </c>
      <c r="AC35" s="1811">
        <f t="shared" si="5"/>
        <v>1</v>
      </c>
    </row>
    <row r="36" spans="1:29" ht="15.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8"/>
      <c r="Q36" s="1810" t="str">
        <f t="shared" si="11"/>
        <v>内部装修</v>
      </c>
      <c r="R36" s="774" t="s">
        <v>17</v>
      </c>
      <c r="S36" s="775">
        <f t="shared" si="12"/>
        <v>100</v>
      </c>
      <c r="T36" s="774" t="s">
        <v>17</v>
      </c>
      <c r="U36" s="775">
        <f t="shared" si="13"/>
        <v>100</v>
      </c>
      <c r="V36" s="774" t="s">
        <v>17</v>
      </c>
      <c r="W36" s="775">
        <f t="shared" si="14"/>
        <v>100</v>
      </c>
      <c r="X36" s="1813"/>
      <c r="Y36" s="3248"/>
      <c r="Z36" s="1814" t="str">
        <f t="shared" si="15"/>
        <v>内部装修</v>
      </c>
      <c r="AA36" s="1811">
        <f t="shared" si="3"/>
        <v>1</v>
      </c>
      <c r="AB36" s="1811">
        <f t="shared" si="4"/>
        <v>1</v>
      </c>
      <c r="AC36" s="1811">
        <f t="shared" si="5"/>
        <v>1</v>
      </c>
    </row>
    <row r="37" spans="1:29" ht="15.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8"/>
      <c r="Q37" s="1810" t="str">
        <f t="shared" si="11"/>
        <v>内部装修状况</v>
      </c>
      <c r="R37" s="774" t="s">
        <v>17</v>
      </c>
      <c r="S37" s="775">
        <f t="shared" si="12"/>
        <v>100</v>
      </c>
      <c r="T37" s="774" t="s">
        <v>17</v>
      </c>
      <c r="U37" s="775">
        <f t="shared" si="13"/>
        <v>100</v>
      </c>
      <c r="V37" s="774" t="s">
        <v>17</v>
      </c>
      <c r="W37" s="775">
        <f t="shared" si="14"/>
        <v>100</v>
      </c>
      <c r="X37" s="1813"/>
      <c r="Y37" s="3248"/>
      <c r="Z37" s="1814" t="str">
        <f t="shared" si="15"/>
        <v>内部装修状况</v>
      </c>
      <c r="AA37" s="1811">
        <f t="shared" si="3"/>
        <v>1</v>
      </c>
      <c r="AB37" s="1811">
        <f t="shared" si="4"/>
        <v>1</v>
      </c>
      <c r="AC37" s="1811">
        <f t="shared" si="5"/>
        <v>1</v>
      </c>
    </row>
    <row r="38" spans="1:29" s="471" customFormat="1" ht="15.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8"/>
      <c r="Q38" s="776">
        <f t="shared" si="11"/>
        <v>111</v>
      </c>
      <c r="R38" s="777" t="s">
        <v>17</v>
      </c>
      <c r="S38" s="778">
        <f t="shared" si="12"/>
        <v>100</v>
      </c>
      <c r="T38" s="777" t="s">
        <v>17</v>
      </c>
      <c r="U38" s="778">
        <f t="shared" si="13"/>
        <v>100</v>
      </c>
      <c r="V38" s="777" t="s">
        <v>17</v>
      </c>
      <c r="W38" s="778">
        <f t="shared" si="14"/>
        <v>100</v>
      </c>
      <c r="X38" s="779"/>
      <c r="Y38" s="3248"/>
      <c r="Z38" s="780">
        <f t="shared" si="15"/>
        <v>111</v>
      </c>
      <c r="AA38" s="1811">
        <f t="shared" si="3"/>
        <v>1</v>
      </c>
      <c r="AB38" s="1811">
        <f t="shared" si="4"/>
        <v>1</v>
      </c>
      <c r="AC38" s="1811">
        <f t="shared" si="5"/>
        <v>1</v>
      </c>
    </row>
    <row r="39" spans="1:29" ht="15.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8"/>
      <c r="Q39" s="1810">
        <f t="shared" si="11"/>
        <v>111</v>
      </c>
      <c r="R39" s="774" t="s">
        <v>17</v>
      </c>
      <c r="S39" s="775">
        <f t="shared" si="12"/>
        <v>100</v>
      </c>
      <c r="T39" s="774" t="s">
        <v>17</v>
      </c>
      <c r="U39" s="775">
        <f t="shared" si="13"/>
        <v>100</v>
      </c>
      <c r="V39" s="774" t="s">
        <v>17</v>
      </c>
      <c r="W39" s="775">
        <f t="shared" si="14"/>
        <v>100</v>
      </c>
      <c r="X39" s="1813"/>
      <c r="Y39" s="3248"/>
      <c r="Z39" s="1814">
        <f t="shared" si="15"/>
        <v>111</v>
      </c>
      <c r="AA39" s="1811">
        <f t="shared" si="3"/>
        <v>1</v>
      </c>
      <c r="AB39" s="1811">
        <f t="shared" si="4"/>
        <v>1</v>
      </c>
      <c r="AC39" s="1811">
        <f t="shared" si="5"/>
        <v>1</v>
      </c>
    </row>
    <row r="40" spans="1:29" ht="16"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9"/>
      <c r="Q40" s="1810">
        <f t="shared" si="11"/>
        <v>111</v>
      </c>
      <c r="R40" s="774" t="s">
        <v>17</v>
      </c>
      <c r="S40" s="775">
        <f t="shared" si="12"/>
        <v>100</v>
      </c>
      <c r="T40" s="774" t="s">
        <v>17</v>
      </c>
      <c r="U40" s="775">
        <f t="shared" si="13"/>
        <v>100</v>
      </c>
      <c r="V40" s="774" t="s">
        <v>17</v>
      </c>
      <c r="W40" s="775">
        <f t="shared" si="14"/>
        <v>100</v>
      </c>
      <c r="X40" s="1813"/>
      <c r="Y40" s="3249"/>
      <c r="Z40" s="1814">
        <f t="shared" si="15"/>
        <v>111</v>
      </c>
      <c r="AA40" s="1811">
        <f t="shared" si="3"/>
        <v>1</v>
      </c>
      <c r="AB40" s="1811">
        <f t="shared" si="4"/>
        <v>1</v>
      </c>
      <c r="AC40" s="1811">
        <f t="shared" si="5"/>
        <v>1</v>
      </c>
    </row>
    <row r="41" spans="1:29">
      <c r="A41" s="479" t="s">
        <v>2576</v>
      </c>
      <c r="B41" s="480"/>
      <c r="C41" s="1407" t="s">
        <v>1</v>
      </c>
      <c r="D41" s="1408"/>
      <c r="E41" s="1409"/>
      <c r="F41" s="1410"/>
      <c r="G41" s="1411"/>
      <c r="H41" s="1412"/>
      <c r="I41" s="1409"/>
      <c r="J41" s="1412"/>
      <c r="K41" s="783"/>
      <c r="L41" s="1143"/>
      <c r="M41" s="1144"/>
      <c r="N41" s="1131"/>
      <c r="O41" s="1144"/>
      <c r="P41" s="3241" t="str">
        <f>A41</f>
        <v>成交单价（元/平方米）</v>
      </c>
      <c r="Q41" s="3241"/>
      <c r="R41" s="3242">
        <f>E41</f>
        <v>0</v>
      </c>
      <c r="S41" s="3242"/>
      <c r="T41" s="3242">
        <f>G41</f>
        <v>0</v>
      </c>
      <c r="U41" s="3242"/>
      <c r="V41" s="3242">
        <f>I41</f>
        <v>0</v>
      </c>
      <c r="W41" s="3242"/>
      <c r="X41" s="759"/>
      <c r="Y41" s="781"/>
      <c r="Z41" s="759"/>
      <c r="AA41" s="759"/>
      <c r="AB41" s="759"/>
      <c r="AC41" s="759"/>
    </row>
    <row r="42" spans="1:29" ht="14.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41" t="str">
        <f>A42</f>
        <v>比较价值（元/平方米）</v>
      </c>
      <c r="Q42" s="3241"/>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9"/>
      <c r="Y42" s="759"/>
      <c r="Z42" s="759"/>
      <c r="AA42" s="759"/>
      <c r="AB42" s="759"/>
      <c r="AC42" s="759"/>
    </row>
    <row r="43" spans="1:29" ht="14.5" thickBot="1">
      <c r="A43" s="492" t="s">
        <v>2669</v>
      </c>
      <c r="B43" s="493"/>
      <c r="C43" s="1417" t="e">
        <f>R43</f>
        <v>#DIV/0!</v>
      </c>
      <c r="D43" s="1417"/>
      <c r="E43" s="1417"/>
      <c r="F43" s="1417"/>
      <c r="G43" s="1417"/>
      <c r="H43" s="1417"/>
      <c r="I43" s="1417"/>
      <c r="J43" s="1417"/>
      <c r="K43" s="785"/>
      <c r="L43" s="1143"/>
      <c r="M43" s="1144"/>
      <c r="N43" s="1144"/>
      <c r="O43" s="1144"/>
      <c r="P43" s="3238" t="str">
        <f>A43</f>
        <v>估价对象XX用房的比较价值（楼面单价，元/平方米）</v>
      </c>
      <c r="Q43" s="3239"/>
      <c r="R43" s="3240" t="e">
        <f>IF(F1="售价",ROUND(AVERAGE(R42:V42),0),ROUND(AVERAGE(R42:V42),1))</f>
        <v>#DIV/0!</v>
      </c>
      <c r="S43" s="3240"/>
      <c r="T43" s="3240"/>
      <c r="U43" s="3240"/>
      <c r="V43" s="3240"/>
      <c r="W43" s="324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5" thickBot="1">
      <c r="A51" s="763" t="s">
        <v>2673</v>
      </c>
      <c r="B51" s="759"/>
      <c r="C51" s="764"/>
      <c r="D51" s="764"/>
      <c r="E51" s="764"/>
      <c r="F51" s="765"/>
      <c r="G51" s="765"/>
      <c r="H51" s="764"/>
      <c r="I51" s="764"/>
      <c r="J51" s="764"/>
      <c r="K51" s="1160"/>
      <c r="L51" s="1161"/>
      <c r="M51" s="1159"/>
      <c r="N51" s="1159"/>
      <c r="O51" s="1159"/>
      <c r="P51" s="503"/>
      <c r="Q51" s="504"/>
    </row>
    <row r="52" spans="1:17" s="508" customFormat="1">
      <c r="A52" s="505" t="s">
        <v>2547</v>
      </c>
      <c r="B52" s="506"/>
      <c r="C52" s="1574" t="str">
        <f>YEAR(C7)&amp;"-"&amp;MONTH(C7)</f>
        <v>2020-2</v>
      </c>
      <c r="D52" s="1575">
        <f>EDATE(C52,-1)</f>
        <v>43831</v>
      </c>
      <c r="E52" s="1575">
        <f t="shared" ref="E52:O52" si="16">EDATE(D52,-1)</f>
        <v>43800</v>
      </c>
      <c r="F52" s="1575">
        <f t="shared" si="16"/>
        <v>43770</v>
      </c>
      <c r="G52" s="1575">
        <f t="shared" si="16"/>
        <v>43739</v>
      </c>
      <c r="H52" s="1575">
        <f t="shared" si="16"/>
        <v>43709</v>
      </c>
      <c r="I52" s="1575">
        <f t="shared" si="16"/>
        <v>43678</v>
      </c>
      <c r="J52" s="1575">
        <f t="shared" si="16"/>
        <v>43647</v>
      </c>
      <c r="K52" s="1575">
        <f t="shared" si="16"/>
        <v>43617</v>
      </c>
      <c r="L52" s="1575">
        <f t="shared" si="16"/>
        <v>43586</v>
      </c>
      <c r="M52" s="1575">
        <f t="shared" si="16"/>
        <v>43556</v>
      </c>
      <c r="N52" s="1575">
        <f t="shared" si="16"/>
        <v>43525</v>
      </c>
      <c r="O52" s="1575">
        <f t="shared" si="16"/>
        <v>43497</v>
      </c>
      <c r="P52" s="507"/>
    </row>
    <row r="53" spans="1:17" s="117" customFormat="1">
      <c r="A53" s="509"/>
      <c r="B53" s="510"/>
      <c r="C53" s="1573">
        <v>100</v>
      </c>
      <c r="D53" s="512"/>
      <c r="E53" s="512"/>
      <c r="F53" s="512"/>
      <c r="G53" s="512"/>
      <c r="H53" s="512"/>
      <c r="I53" s="512"/>
      <c r="J53" s="512"/>
      <c r="K53" s="512"/>
      <c r="L53" s="512"/>
      <c r="M53" s="513"/>
      <c r="N53" s="512"/>
      <c r="O53" s="514"/>
      <c r="P53" s="504"/>
    </row>
    <row r="54" spans="1:17" s="117" customFormat="1" ht="14.5" thickBot="1">
      <c r="A54" s="515" t="s">
        <v>2584</v>
      </c>
      <c r="B54" s="516"/>
      <c r="C54" s="517"/>
      <c r="D54" s="518"/>
      <c r="E54" s="518"/>
      <c r="F54" s="518"/>
      <c r="G54" s="518"/>
      <c r="H54" s="518"/>
      <c r="I54" s="518"/>
      <c r="J54" s="518"/>
      <c r="K54" s="518"/>
      <c r="L54" s="518"/>
      <c r="M54" s="519"/>
      <c r="N54" s="518"/>
      <c r="O54" s="520"/>
      <c r="P54" s="504"/>
      <c r="Q54" s="504"/>
    </row>
    <row r="55" spans="1:17" s="117" customFormat="1">
      <c r="A55" s="521" t="s">
        <v>2549</v>
      </c>
      <c r="B55" s="510"/>
      <c r="C55" s="522" t="s">
        <v>2651</v>
      </c>
      <c r="D55" s="523"/>
      <c r="E55" s="523"/>
      <c r="F55" s="523"/>
      <c r="G55" s="523"/>
      <c r="H55" s="523"/>
      <c r="I55" s="523"/>
      <c r="J55" s="523"/>
      <c r="K55" s="523"/>
      <c r="L55" s="524"/>
      <c r="M55" s="525"/>
      <c r="N55" s="1151"/>
      <c r="O55" s="1151"/>
      <c r="P55" s="526"/>
      <c r="Q55" s="504"/>
    </row>
    <row r="56" spans="1:17" s="117" customFormat="1" ht="14.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4.5" thickBot="1">
      <c r="A58" s="534"/>
      <c r="B58" s="535"/>
      <c r="C58" s="536">
        <v>100</v>
      </c>
      <c r="D58" s="536"/>
      <c r="E58" s="536"/>
      <c r="F58" s="536"/>
      <c r="G58" s="536"/>
      <c r="H58" s="536"/>
      <c r="I58" s="536"/>
      <c r="J58" s="536"/>
      <c r="K58" s="536"/>
      <c r="L58" s="536"/>
      <c r="M58" s="537"/>
      <c r="N58" s="1153"/>
      <c r="O58" s="1153"/>
      <c r="P58" s="45"/>
      <c r="Q58" s="504"/>
    </row>
    <row r="59" spans="1:17" ht="28.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4.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4.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5" thickTop="1">
      <c r="A64" s="553"/>
      <c r="B64" s="538">
        <f>B12</f>
        <v>111</v>
      </c>
      <c r="C64" s="554"/>
      <c r="D64" s="554"/>
      <c r="E64" s="554"/>
      <c r="F64" s="554"/>
      <c r="G64" s="554"/>
      <c r="H64" s="555"/>
      <c r="I64" s="555"/>
      <c r="J64" s="555"/>
      <c r="K64" s="555"/>
      <c r="L64" s="556"/>
      <c r="M64" s="557"/>
      <c r="N64" s="1154"/>
      <c r="O64" s="1154"/>
      <c r="P64" s="558"/>
      <c r="Q64" s="559"/>
    </row>
    <row r="65" spans="1:17" s="471" customFormat="1" ht="14.5" thickBot="1">
      <c r="A65" s="553"/>
      <c r="B65" s="543"/>
      <c r="C65" s="560"/>
      <c r="D65" s="536"/>
      <c r="E65" s="536"/>
      <c r="F65" s="536"/>
      <c r="G65" s="536"/>
      <c r="H65" s="536"/>
      <c r="I65" s="536"/>
      <c r="J65" s="536"/>
      <c r="K65" s="536"/>
      <c r="L65" s="536"/>
      <c r="M65" s="537"/>
      <c r="N65" s="1153"/>
      <c r="O65" s="1153"/>
      <c r="P65" s="558"/>
      <c r="Q65" s="559"/>
    </row>
    <row r="66" spans="1:17" s="471" customFormat="1" ht="14.5" thickTop="1">
      <c r="A66" s="553"/>
      <c r="B66" s="538">
        <f>B13</f>
        <v>111</v>
      </c>
      <c r="C66" s="554"/>
      <c r="D66" s="554"/>
      <c r="E66" s="554"/>
      <c r="F66" s="554"/>
      <c r="G66" s="554"/>
      <c r="H66" s="555"/>
      <c r="I66" s="555"/>
      <c r="J66" s="555"/>
      <c r="K66" s="555"/>
      <c r="L66" s="556"/>
      <c r="M66" s="557"/>
      <c r="N66" s="1154"/>
      <c r="O66" s="1154"/>
      <c r="P66" s="470"/>
      <c r="Q66" s="561"/>
    </row>
    <row r="67" spans="1:17" s="471" customFormat="1" ht="14.5" thickBot="1">
      <c r="A67" s="553"/>
      <c r="B67" s="543"/>
      <c r="C67" s="560"/>
      <c r="D67" s="536"/>
      <c r="E67" s="536"/>
      <c r="F67" s="536"/>
      <c r="G67" s="560"/>
      <c r="H67" s="562"/>
      <c r="I67" s="562"/>
      <c r="J67" s="562"/>
      <c r="K67" s="562"/>
      <c r="L67" s="562"/>
      <c r="M67" s="563"/>
      <c r="N67" s="1154"/>
      <c r="O67" s="1154"/>
      <c r="P67" s="558"/>
      <c r="Q67" s="559"/>
    </row>
    <row r="68" spans="1:17" s="471" customFormat="1" ht="14.5" thickTop="1">
      <c r="A68" s="553"/>
      <c r="B68" s="546">
        <f>B14</f>
        <v>111</v>
      </c>
      <c r="C68" s="523"/>
      <c r="D68" s="523"/>
      <c r="E68" s="523"/>
      <c r="F68" s="523"/>
      <c r="G68" s="523"/>
      <c r="H68" s="564"/>
      <c r="I68" s="564"/>
      <c r="J68" s="564"/>
      <c r="K68" s="564"/>
      <c r="L68" s="565"/>
      <c r="M68" s="566"/>
      <c r="N68" s="1154"/>
      <c r="O68" s="1154"/>
      <c r="P68" s="567"/>
      <c r="Q68" s="559"/>
    </row>
    <row r="69" spans="1:17" s="471" customFormat="1" ht="14.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4.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4.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4.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4.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4.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4.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4.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4.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4.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5" thickTop="1">
      <c r="A80" s="579"/>
      <c r="B80" s="538">
        <f>B25</f>
        <v>111</v>
      </c>
      <c r="C80" s="554"/>
      <c r="D80" s="554"/>
      <c r="E80" s="554"/>
      <c r="F80" s="554"/>
      <c r="G80" s="554"/>
      <c r="H80" s="554"/>
      <c r="I80" s="554"/>
      <c r="J80" s="554"/>
      <c r="K80" s="554"/>
      <c r="L80" s="580"/>
      <c r="M80" s="581"/>
      <c r="N80" s="1151"/>
      <c r="O80" s="1151"/>
      <c r="P80" s="45"/>
      <c r="Q80" s="504"/>
    </row>
    <row r="81" spans="1:17" s="117" customFormat="1" ht="14.5" thickBot="1">
      <c r="A81" s="579"/>
      <c r="B81" s="543"/>
      <c r="C81" s="560"/>
      <c r="D81" s="536"/>
      <c r="E81" s="536"/>
      <c r="F81" s="536"/>
      <c r="G81" s="536"/>
      <c r="H81" s="536"/>
      <c r="I81" s="536"/>
      <c r="J81" s="536"/>
      <c r="K81" s="536"/>
      <c r="L81" s="536"/>
      <c r="M81" s="537"/>
      <c r="N81" s="1153"/>
      <c r="O81" s="1153"/>
      <c r="P81" s="45"/>
      <c r="Q81" s="504"/>
    </row>
    <row r="82" spans="1:17" s="117" customFormat="1" ht="14.5" thickTop="1">
      <c r="A82" s="579"/>
      <c r="B82" s="538">
        <f>B26</f>
        <v>111</v>
      </c>
      <c r="C82" s="554"/>
      <c r="D82" s="554"/>
      <c r="E82" s="554"/>
      <c r="F82" s="554"/>
      <c r="G82" s="554"/>
      <c r="H82" s="554"/>
      <c r="I82" s="554"/>
      <c r="J82" s="554"/>
      <c r="K82" s="554"/>
      <c r="L82" s="580"/>
      <c r="M82" s="581"/>
      <c r="N82" s="1151"/>
      <c r="O82" s="1151"/>
      <c r="P82" s="45"/>
      <c r="Q82" s="504"/>
    </row>
    <row r="83" spans="1:17" s="117" customFormat="1" ht="14.5" thickBot="1">
      <c r="A83" s="579"/>
      <c r="B83" s="543"/>
      <c r="C83" s="560"/>
      <c r="D83" s="536"/>
      <c r="E83" s="536"/>
      <c r="F83" s="536"/>
      <c r="G83" s="536"/>
      <c r="H83" s="536"/>
      <c r="I83" s="536"/>
      <c r="J83" s="536"/>
      <c r="K83" s="536"/>
      <c r="L83" s="536"/>
      <c r="M83" s="537"/>
      <c r="N83" s="1153"/>
      <c r="O83" s="1153"/>
      <c r="P83" s="45"/>
      <c r="Q83" s="504"/>
    </row>
    <row r="84" spans="1:17" s="471" customFormat="1" ht="14.5" thickTop="1">
      <c r="A84" s="553"/>
      <c r="B84" s="538">
        <f>B27</f>
        <v>111</v>
      </c>
      <c r="C84" s="554"/>
      <c r="D84" s="554"/>
      <c r="E84" s="554"/>
      <c r="F84" s="554"/>
      <c r="G84" s="554"/>
      <c r="H84" s="554"/>
      <c r="I84" s="554"/>
      <c r="J84" s="554"/>
      <c r="K84" s="554"/>
      <c r="L84" s="580"/>
      <c r="M84" s="581"/>
      <c r="N84" s="1154"/>
      <c r="O84" s="1154"/>
      <c r="P84" s="558"/>
      <c r="Q84" s="559"/>
    </row>
    <row r="85" spans="1:17" s="471" customFormat="1" ht="14.5" thickBot="1">
      <c r="A85" s="553"/>
      <c r="B85" s="543"/>
      <c r="C85" s="560"/>
      <c r="D85" s="536"/>
      <c r="E85" s="536"/>
      <c r="F85" s="536"/>
      <c r="G85" s="536"/>
      <c r="H85" s="536"/>
      <c r="I85" s="536"/>
      <c r="J85" s="536"/>
      <c r="K85" s="536"/>
      <c r="L85" s="536"/>
      <c r="M85" s="537"/>
      <c r="N85" s="1154"/>
      <c r="O85" s="1154"/>
      <c r="P85" s="558"/>
      <c r="Q85" s="559"/>
    </row>
    <row r="86" spans="1:17" ht="14.5" thickTop="1">
      <c r="A86" s="534"/>
      <c r="B86" s="546">
        <f>B28</f>
        <v>111</v>
      </c>
      <c r="C86" s="523"/>
      <c r="D86" s="523"/>
      <c r="E86" s="523"/>
      <c r="F86" s="523"/>
      <c r="G86" s="587"/>
      <c r="H86" s="587"/>
      <c r="I86" s="587"/>
      <c r="J86" s="587"/>
      <c r="K86" s="588"/>
      <c r="L86" s="589"/>
      <c r="M86" s="590"/>
      <c r="N86" s="1152"/>
      <c r="O86" s="1152"/>
      <c r="P86" s="45"/>
      <c r="Q86" s="504"/>
    </row>
    <row r="87" spans="1:17" ht="14.5" thickBot="1">
      <c r="A87" s="263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4.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4.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5" thickBot="1">
      <c r="A92" s="553"/>
      <c r="B92" s="543"/>
      <c r="C92" s="560"/>
      <c r="D92" s="536"/>
      <c r="E92" s="536"/>
      <c r="F92" s="536"/>
      <c r="G92" s="536"/>
      <c r="H92" s="536"/>
      <c r="I92" s="536"/>
      <c r="J92" s="536"/>
      <c r="K92" s="536"/>
      <c r="L92" s="536"/>
      <c r="M92" s="537"/>
      <c r="N92" s="1153"/>
      <c r="O92" s="1153"/>
      <c r="P92" s="558"/>
      <c r="Q92" s="559"/>
    </row>
    <row r="93" spans="1:17" ht="14.5" thickTop="1">
      <c r="A93" s="599"/>
      <c r="B93" s="538" t="s">
        <v>2613</v>
      </c>
      <c r="C93" s="554"/>
      <c r="D93" s="554"/>
      <c r="E93" s="583"/>
      <c r="F93" s="583"/>
      <c r="G93" s="583"/>
      <c r="H93" s="583"/>
      <c r="I93" s="583"/>
      <c r="J93" s="583"/>
      <c r="K93" s="584"/>
      <c r="L93" s="585"/>
      <c r="M93" s="586"/>
      <c r="N93" s="1152"/>
      <c r="O93" s="1152"/>
      <c r="P93" s="45"/>
      <c r="Q93" s="504"/>
    </row>
    <row r="94" spans="1:17" ht="14.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4.5" thickTop="1">
      <c r="A95" s="599"/>
      <c r="B95" s="538" t="s">
        <v>2615</v>
      </c>
      <c r="C95" s="554"/>
      <c r="D95" s="554"/>
      <c r="E95" s="554"/>
      <c r="F95" s="583"/>
      <c r="G95" s="583"/>
      <c r="H95" s="583"/>
      <c r="I95" s="583"/>
      <c r="J95" s="583"/>
      <c r="K95" s="584"/>
      <c r="L95" s="585"/>
      <c r="M95" s="586"/>
      <c r="N95" s="1152"/>
      <c r="O95" s="1152"/>
      <c r="P95" s="45"/>
      <c r="Q95" s="504"/>
    </row>
    <row r="96" spans="1:17" ht="14.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4.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4.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4.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4.5" thickTop="1">
      <c r="A102" s="599"/>
      <c r="B102" s="538" t="s">
        <v>2617</v>
      </c>
      <c r="C102" s="554"/>
      <c r="D102" s="554"/>
      <c r="E102" s="554"/>
      <c r="F102" s="554"/>
      <c r="G102" s="554"/>
      <c r="H102" s="583"/>
      <c r="I102" s="583"/>
      <c r="J102" s="583"/>
      <c r="K102" s="584"/>
      <c r="L102" s="585"/>
      <c r="M102" s="586"/>
      <c r="N102" s="1152"/>
      <c r="O102" s="1152"/>
      <c r="P102" s="45"/>
      <c r="Q102" s="504"/>
    </row>
    <row r="103" spans="1:17" ht="14.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4.5" thickTop="1">
      <c r="A104" s="599"/>
      <c r="B104" s="538" t="s">
        <v>2619</v>
      </c>
      <c r="C104" s="554"/>
      <c r="D104" s="554"/>
      <c r="E104" s="554"/>
      <c r="F104" s="554"/>
      <c r="G104" s="554"/>
      <c r="H104" s="583"/>
      <c r="I104" s="583"/>
      <c r="J104" s="583"/>
      <c r="K104" s="584"/>
      <c r="L104" s="585"/>
      <c r="M104" s="586"/>
      <c r="N104" s="1152"/>
      <c r="O104" s="1152"/>
      <c r="P104" s="45"/>
      <c r="Q104" s="504"/>
    </row>
    <row r="105" spans="1:17" ht="14.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8.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4.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5" thickBot="1">
      <c r="A109" s="553"/>
      <c r="B109" s="535"/>
      <c r="C109" s="560"/>
      <c r="D109" s="536"/>
      <c r="E109" s="536"/>
      <c r="F109" s="536"/>
      <c r="G109" s="560"/>
      <c r="H109" s="562"/>
      <c r="I109" s="562"/>
      <c r="J109" s="562"/>
      <c r="K109" s="562"/>
      <c r="L109" s="562"/>
      <c r="M109" s="563"/>
      <c r="N109" s="1154"/>
      <c r="O109" s="1154"/>
      <c r="P109" s="558"/>
      <c r="Q109" s="559"/>
    </row>
    <row r="110" spans="1:17" ht="14.5" thickTop="1">
      <c r="A110" s="599"/>
      <c r="B110" s="538">
        <f>B39</f>
        <v>111</v>
      </c>
      <c r="C110" s="554"/>
      <c r="D110" s="554"/>
      <c r="E110" s="554"/>
      <c r="F110" s="554"/>
      <c r="G110" s="554"/>
      <c r="H110" s="555"/>
      <c r="I110" s="555"/>
      <c r="J110" s="555"/>
      <c r="K110" s="555"/>
      <c r="L110" s="556"/>
      <c r="M110" s="557"/>
      <c r="N110" s="1152"/>
      <c r="O110" s="1152"/>
      <c r="P110" s="45"/>
      <c r="Q110" s="504"/>
    </row>
    <row r="111" spans="1:17" ht="14.5" thickBot="1">
      <c r="A111" s="534"/>
      <c r="B111" s="543"/>
      <c r="C111" s="560"/>
      <c r="D111" s="536"/>
      <c r="E111" s="536"/>
      <c r="F111" s="536"/>
      <c r="G111" s="560"/>
      <c r="H111" s="562"/>
      <c r="I111" s="562"/>
      <c r="J111" s="562"/>
      <c r="K111" s="562"/>
      <c r="L111" s="562"/>
      <c r="M111" s="563"/>
      <c r="N111" s="1153"/>
      <c r="O111" s="1153"/>
      <c r="P111" s="45"/>
      <c r="Q111" s="504"/>
    </row>
    <row r="112" spans="1:17" ht="14.5" thickTop="1">
      <c r="A112" s="599"/>
      <c r="B112" s="546">
        <f>B40</f>
        <v>111</v>
      </c>
      <c r="C112" s="523"/>
      <c r="D112" s="523"/>
      <c r="E112" s="523"/>
      <c r="F112" s="523"/>
      <c r="G112" s="587"/>
      <c r="H112" s="587"/>
      <c r="I112" s="587"/>
      <c r="J112" s="587"/>
      <c r="K112" s="523"/>
      <c r="L112" s="524"/>
      <c r="M112" s="590"/>
      <c r="N112" s="1152"/>
      <c r="O112" s="1152"/>
      <c r="P112" s="45"/>
      <c r="Q112" s="504"/>
    </row>
    <row r="113" spans="1:17" ht="14.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944" customWidth="1"/>
    <col min="2" max="16384" width="9" style="1944"/>
  </cols>
  <sheetData>
    <row r="1" spans="1:1" ht="23">
      <c r="A1" s="1943" t="s">
        <v>1605</v>
      </c>
    </row>
    <row r="2" spans="1:1">
      <c r="A2" s="1945"/>
    </row>
    <row r="3" spans="1:1" ht="18">
      <c r="A3" s="1946" t="str">
        <f>项目基本情况!B5&amp;"："</f>
        <v>：</v>
      </c>
    </row>
    <row r="4" spans="1:1" ht="17.5">
      <c r="A4" s="1947" t="str">
        <f>"受贵公司委托，我公司对"&amp;项目基本情况!S1&amp;"进行了预评估。"</f>
        <v>受贵公司委托，我公司对进行了预评估。</v>
      </c>
    </row>
    <row r="5" spans="1:1" ht="18">
      <c r="A5" s="1948" t="s">
        <v>1606</v>
      </c>
    </row>
    <row r="6" spans="1:1" ht="17.5">
      <c r="A6" s="1949" t="s">
        <v>1607</v>
      </c>
    </row>
    <row r="7" spans="1:1" ht="5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估价对象为房地产，为所有。根据《国有土地使用证》[]，估价对象（分摊）出让国有建设用地使用权面积为0平方米，建筑面积为3000.73平方米。</v>
      </c>
    </row>
    <row r="8" spans="1:1" ht="53.5">
      <c r="A8" s="1950" t="s">
        <v>1608</v>
      </c>
    </row>
    <row r="9" spans="1:1" ht="17.5">
      <c r="A9" s="1949" t="s">
        <v>1609</v>
      </c>
    </row>
    <row r="10" spans="1:1" ht="52.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估价对象为房地产,属开发建设的，该项目尚在开发建设中。根据《国有土地使用证》[]，估价对象（分摊）出让国有建设用地使用权面积为0平方米，规划建筑面积为3000.73平方米。</v>
      </c>
    </row>
    <row r="11" spans="1:1" ht="71">
      <c r="A11" s="1950" t="s">
        <v>1610</v>
      </c>
    </row>
    <row r="12" spans="1:1" ht="18">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
      <c r="A14" s="1952" t="s">
        <v>1612</v>
      </c>
    </row>
    <row r="15" spans="1:1" ht="17.5">
      <c r="A15" s="1953" t="str">
        <f>TEXT(项目基本情况!D3,"yyyy年m月d日;;")&amp;IF(项目基本情况!D3=项目基本情况!B3,"（评估专业人员实地查勘之日）","")</f>
        <v>2020年2月11日</v>
      </c>
    </row>
    <row r="16" spans="1:1" ht="18">
      <c r="A16" s="1952" t="s">
        <v>1613</v>
      </c>
    </row>
    <row r="17" spans="1:1" ht="70">
      <c r="A17" s="1947" t="s">
        <v>1614</v>
      </c>
    </row>
    <row r="18" spans="1:1" ht="70">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952" t="s">
        <v>1603</v>
      </c>
    </row>
    <row r="24" spans="1:1" ht="17.5">
      <c r="A24" s="1954" t="str">
        <f>"本次评估采用的主估价方法为"&amp;结果表!K4&amp;"和"&amp;结果表!L4&amp;"。"</f>
        <v>本次评估采用的主估价方法为比较法和收益法。</v>
      </c>
    </row>
    <row r="25" spans="1:1" ht="17.5">
      <c r="A25" s="1954"/>
    </row>
    <row r="26" spans="1:1" ht="1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8"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zoomScale="93" zoomScaleNormal="93" workbookViewId="0">
      <selection sqref="A1:XFD1048576"/>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5.453125" style="403" customWidth="1"/>
    <col min="10" max="10" width="12.1796875" style="403" customWidth="1"/>
    <col min="11" max="11" width="12.1796875" style="495" customWidth="1"/>
    <col min="12" max="12" width="12.1796875" style="496" customWidth="1"/>
    <col min="13" max="15" width="12.1796875" style="403" customWidth="1"/>
    <col min="16" max="16" width="4.81640625" style="112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11" t="s">
        <v>2646</v>
      </c>
      <c r="S4" s="3212"/>
      <c r="T4" s="3211" t="s">
        <v>2647</v>
      </c>
      <c r="U4" s="3212"/>
      <c r="V4" s="3236" t="s">
        <v>2648</v>
      </c>
      <c r="W4" s="3236"/>
      <c r="X4" s="1813"/>
      <c r="Y4" s="3211" t="s">
        <v>2650</v>
      </c>
      <c r="Z4" s="3212"/>
      <c r="AA4" s="3206" t="s">
        <v>2646</v>
      </c>
      <c r="AB4" s="3207" t="s">
        <v>2647</v>
      </c>
      <c r="AC4" s="3206" t="s">
        <v>2648</v>
      </c>
    </row>
    <row r="5" spans="1:29">
      <c r="A5" s="404"/>
      <c r="B5" s="405"/>
      <c r="C5" s="3217" t="s">
        <v>2541</v>
      </c>
      <c r="D5" s="3218"/>
      <c r="E5" s="3215" t="s">
        <v>2542</v>
      </c>
      <c r="F5" s="3216"/>
      <c r="G5" s="3217" t="s">
        <v>2543</v>
      </c>
      <c r="H5" s="3218"/>
      <c r="I5" s="3217" t="s">
        <v>2544</v>
      </c>
      <c r="J5" s="3218"/>
      <c r="K5" s="610"/>
      <c r="L5" s="1130"/>
      <c r="M5" s="1131"/>
      <c r="N5" s="1131"/>
      <c r="O5" s="1131"/>
      <c r="P5" s="3230"/>
      <c r="Q5" s="3231"/>
      <c r="R5" s="3213"/>
      <c r="S5" s="3214"/>
      <c r="T5" s="3213"/>
      <c r="U5" s="3214"/>
      <c r="V5" s="3236"/>
      <c r="W5" s="3236"/>
      <c r="X5" s="1813"/>
      <c r="Y5" s="3213"/>
      <c r="Z5" s="3214"/>
      <c r="AA5" s="3207"/>
      <c r="AB5" s="3207"/>
      <c r="AC5" s="3207"/>
    </row>
    <row r="6" spans="1:29" ht="15" thickBot="1">
      <c r="A6" s="406"/>
      <c r="B6" s="407"/>
      <c r="C6" s="3219" t="s">
        <v>2545</v>
      </c>
      <c r="D6" s="3220"/>
      <c r="E6" s="3221" t="s">
        <v>2545</v>
      </c>
      <c r="F6" s="3222"/>
      <c r="G6" s="3219" t="s">
        <v>2545</v>
      </c>
      <c r="H6" s="3220"/>
      <c r="I6" s="3219" t="s">
        <v>2545</v>
      </c>
      <c r="J6" s="3220"/>
      <c r="K6" s="610" t="s">
        <v>2546</v>
      </c>
      <c r="L6" s="1130"/>
      <c r="M6" s="1131"/>
      <c r="N6" s="1131"/>
      <c r="O6" s="1131"/>
      <c r="P6" s="3232"/>
      <c r="Q6" s="3233"/>
      <c r="R6" s="3213"/>
      <c r="S6" s="3214"/>
      <c r="T6" s="3234"/>
      <c r="U6" s="3235"/>
      <c r="V6" s="3236"/>
      <c r="W6" s="3236"/>
      <c r="X6" s="1813"/>
      <c r="Y6" s="3234"/>
      <c r="Z6" s="3235"/>
      <c r="AA6" s="3208"/>
      <c r="AB6" s="3208"/>
      <c r="AC6" s="3208"/>
    </row>
    <row r="7" spans="1:29" s="117" customFormat="1" ht="14.5" thickBot="1">
      <c r="A7" s="408" t="s">
        <v>2547</v>
      </c>
      <c r="B7" s="409"/>
      <c r="C7" s="410">
        <f>'数据-取费表'!B2</f>
        <v>43872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9" t="s">
        <v>2548</v>
      </c>
      <c r="Q7" s="3237"/>
      <c r="R7" s="770" t="s">
        <v>17</v>
      </c>
      <c r="S7" s="771">
        <f t="shared" ref="S7:S14" si="0">F7</f>
        <v>0</v>
      </c>
      <c r="T7" s="770" t="s">
        <v>17</v>
      </c>
      <c r="U7" s="771">
        <f t="shared" ref="U7:U14" si="1">H7</f>
        <v>0</v>
      </c>
      <c r="V7" s="770" t="s">
        <v>17</v>
      </c>
      <c r="W7" s="771">
        <f t="shared" ref="W7:W14" si="2">J7</f>
        <v>0</v>
      </c>
      <c r="X7" s="772"/>
      <c r="Y7" s="3209" t="s">
        <v>2548</v>
      </c>
      <c r="Z7" s="3210"/>
      <c r="AA7" s="773" t="e">
        <f>D7/F7</f>
        <v>#DIV/0!</v>
      </c>
      <c r="AB7" s="773" t="e">
        <f>D7/H7</f>
        <v>#DIV/0!</v>
      </c>
      <c r="AC7" s="773" t="e">
        <f>D7/J7</f>
        <v>#DIV/0!</v>
      </c>
    </row>
    <row r="8" spans="1:29" s="117" customFormat="1" ht="14.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9" t="s">
        <v>2551</v>
      </c>
      <c r="Q8" s="3210"/>
      <c r="R8" s="770" t="s">
        <v>17</v>
      </c>
      <c r="S8" s="771">
        <f t="shared" si="0"/>
        <v>0</v>
      </c>
      <c r="T8" s="770" t="s">
        <v>17</v>
      </c>
      <c r="U8" s="771">
        <f t="shared" si="1"/>
        <v>0</v>
      </c>
      <c r="V8" s="770" t="s">
        <v>17</v>
      </c>
      <c r="W8" s="771">
        <f t="shared" si="2"/>
        <v>0</v>
      </c>
      <c r="X8" s="772"/>
      <c r="Y8" s="3209" t="s">
        <v>2551</v>
      </c>
      <c r="Z8" s="3210"/>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1" t="s">
        <v>2554</v>
      </c>
      <c r="Q9" s="1795" t="str">
        <f t="shared" ref="Q9:Q14" si="6">B9</f>
        <v>用途</v>
      </c>
      <c r="R9" s="770" t="s">
        <v>17</v>
      </c>
      <c r="S9" s="771">
        <f t="shared" si="0"/>
        <v>100</v>
      </c>
      <c r="T9" s="770" t="s">
        <v>17</v>
      </c>
      <c r="U9" s="771">
        <f t="shared" si="1"/>
        <v>100</v>
      </c>
      <c r="V9" s="770" t="s">
        <v>17</v>
      </c>
      <c r="W9" s="771">
        <f t="shared" si="2"/>
        <v>100</v>
      </c>
      <c r="X9" s="772"/>
      <c r="Y9" s="3056" t="s">
        <v>2555</v>
      </c>
      <c r="Z9" s="55" t="str">
        <f t="shared" ref="Z9:Z14" si="7">Q9</f>
        <v>用途</v>
      </c>
      <c r="AA9" s="773">
        <f t="shared" si="3"/>
        <v>1</v>
      </c>
      <c r="AB9" s="773">
        <f t="shared" si="4"/>
        <v>1</v>
      </c>
      <c r="AC9" s="773">
        <f t="shared" si="5"/>
        <v>1</v>
      </c>
    </row>
    <row r="10" spans="1:29" s="427" customFormat="1" ht="28">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1"/>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1"/>
      <c r="Q11" s="1795">
        <f t="shared" si="6"/>
        <v>111</v>
      </c>
      <c r="R11" s="770" t="s">
        <v>17</v>
      </c>
      <c r="S11" s="771">
        <f t="shared" si="0"/>
        <v>100</v>
      </c>
      <c r="T11" s="770" t="s">
        <v>17</v>
      </c>
      <c r="U11" s="771">
        <f t="shared" si="1"/>
        <v>100</v>
      </c>
      <c r="V11" s="770" t="s">
        <v>17</v>
      </c>
      <c r="W11" s="771">
        <f t="shared" si="2"/>
        <v>100</v>
      </c>
      <c r="X11" s="772"/>
      <c r="Y11" s="3056"/>
      <c r="Z11" s="55">
        <f t="shared" si="7"/>
        <v>111</v>
      </c>
      <c r="AA11" s="773">
        <f t="shared" si="3"/>
        <v>1</v>
      </c>
      <c r="AB11" s="773">
        <f t="shared" si="4"/>
        <v>1</v>
      </c>
      <c r="AC11" s="773">
        <f t="shared" si="5"/>
        <v>1</v>
      </c>
    </row>
    <row r="12" spans="1:29" s="117" customFormat="1" ht="15.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1"/>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1"/>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98">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3" t="s">
        <v>2559</v>
      </c>
      <c r="Q14" s="1810" t="str">
        <f t="shared" si="6"/>
        <v>交通便捷度</v>
      </c>
      <c r="R14" s="774" t="s">
        <v>17</v>
      </c>
      <c r="S14" s="775">
        <f t="shared" si="0"/>
        <v>100</v>
      </c>
      <c r="T14" s="774" t="s">
        <v>17</v>
      </c>
      <c r="U14" s="775">
        <f t="shared" si="1"/>
        <v>100</v>
      </c>
      <c r="V14" s="774" t="s">
        <v>17</v>
      </c>
      <c r="W14" s="775">
        <f t="shared" si="2"/>
        <v>100</v>
      </c>
      <c r="X14" s="1813"/>
      <c r="Y14" s="3243" t="s">
        <v>2559</v>
      </c>
      <c r="Z14" s="1814" t="str">
        <f t="shared" si="7"/>
        <v>交通便捷度</v>
      </c>
      <c r="AA14" s="1811">
        <f t="shared" si="3"/>
        <v>1</v>
      </c>
      <c r="AB14" s="1811">
        <f t="shared" si="4"/>
        <v>1</v>
      </c>
      <c r="AC14" s="1811">
        <f t="shared" si="5"/>
        <v>1</v>
      </c>
    </row>
    <row r="15" spans="1:29" ht="15.5">
      <c r="A15" s="404"/>
      <c r="B15" s="647"/>
      <c r="C15" s="447"/>
      <c r="D15" s="448"/>
      <c r="E15" s="447"/>
      <c r="F15" s="449"/>
      <c r="G15" s="447"/>
      <c r="H15" s="450"/>
      <c r="I15" s="447"/>
      <c r="J15" s="448"/>
      <c r="K15" s="615"/>
      <c r="L15" s="1140"/>
      <c r="M15" s="1131"/>
      <c r="N15" s="1131"/>
      <c r="O15" s="1131"/>
      <c r="P15" s="3244"/>
      <c r="Q15" s="1810"/>
      <c r="R15" s="774"/>
      <c r="S15" s="775"/>
      <c r="T15" s="774"/>
      <c r="U15" s="775"/>
      <c r="V15" s="774"/>
      <c r="W15" s="775"/>
      <c r="X15" s="1813"/>
      <c r="Y15" s="3244"/>
      <c r="Z15" s="1814"/>
      <c r="AA15" s="1811">
        <v>1</v>
      </c>
      <c r="AB15" s="1811">
        <v>1</v>
      </c>
      <c r="AC15" s="1811">
        <v>1</v>
      </c>
    </row>
    <row r="16" spans="1:29" ht="42">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4"/>
      <c r="Q16" s="1810" t="str">
        <f>B16</f>
        <v>公共配套设施</v>
      </c>
      <c r="R16" s="774" t="s">
        <v>17</v>
      </c>
      <c r="S16" s="775">
        <f>F16</f>
        <v>100</v>
      </c>
      <c r="T16" s="774" t="s">
        <v>17</v>
      </c>
      <c r="U16" s="775">
        <f>H16</f>
        <v>100</v>
      </c>
      <c r="V16" s="774" t="s">
        <v>17</v>
      </c>
      <c r="W16" s="775">
        <f>J16</f>
        <v>100</v>
      </c>
      <c r="X16" s="1813"/>
      <c r="Y16" s="3244"/>
      <c r="Z16" s="1814" t="str">
        <f>Q16</f>
        <v>公共配套设施</v>
      </c>
      <c r="AA16" s="1811">
        <f t="shared" si="3"/>
        <v>1</v>
      </c>
      <c r="AB16" s="1811">
        <f t="shared" si="4"/>
        <v>1</v>
      </c>
      <c r="AC16" s="1811">
        <f t="shared" si="5"/>
        <v>1</v>
      </c>
    </row>
    <row r="17" spans="1:29" ht="15.5">
      <c r="A17" s="404"/>
      <c r="B17" s="632"/>
      <c r="C17" s="2610"/>
      <c r="D17" s="448"/>
      <c r="E17" s="447"/>
      <c r="F17" s="449"/>
      <c r="G17" s="447"/>
      <c r="H17" s="448"/>
      <c r="I17" s="447"/>
      <c r="J17" s="448"/>
      <c r="K17" s="615"/>
      <c r="L17" s="1140"/>
      <c r="M17" s="1131"/>
      <c r="N17" s="1131"/>
      <c r="O17" s="1131"/>
      <c r="P17" s="3244"/>
      <c r="Q17" s="1810"/>
      <c r="R17" s="774"/>
      <c r="S17" s="775"/>
      <c r="T17" s="774"/>
      <c r="U17" s="775"/>
      <c r="V17" s="774"/>
      <c r="W17" s="775"/>
      <c r="X17" s="1813"/>
      <c r="Y17" s="3244"/>
      <c r="Z17" s="1814"/>
      <c r="AA17" s="1811">
        <v>1</v>
      </c>
      <c r="AB17" s="1811">
        <v>1</v>
      </c>
      <c r="AC17" s="1811">
        <v>1</v>
      </c>
    </row>
    <row r="18" spans="1:29" ht="42">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4"/>
      <c r="Q18" s="1810" t="str">
        <f>B18</f>
        <v>基础设施水平</v>
      </c>
      <c r="R18" s="774" t="s">
        <v>17</v>
      </c>
      <c r="S18" s="775">
        <f>F18</f>
        <v>100</v>
      </c>
      <c r="T18" s="774" t="s">
        <v>17</v>
      </c>
      <c r="U18" s="775">
        <f>H18</f>
        <v>100</v>
      </c>
      <c r="V18" s="774" t="s">
        <v>17</v>
      </c>
      <c r="W18" s="775">
        <f>J18</f>
        <v>100</v>
      </c>
      <c r="X18" s="1813"/>
      <c r="Y18" s="3244"/>
      <c r="Z18" s="1814" t="str">
        <f>Q18</f>
        <v>基础设施水平</v>
      </c>
      <c r="AA18" s="1811">
        <f t="shared" ref="AA18" si="8">D18/F18</f>
        <v>1</v>
      </c>
      <c r="AB18" s="1811">
        <f t="shared" ref="AB18" si="9">D18/H18</f>
        <v>1</v>
      </c>
      <c r="AC18" s="1811">
        <f t="shared" ref="AC18" si="10">D18/J18</f>
        <v>1</v>
      </c>
    </row>
    <row r="19" spans="1:29" ht="15.5">
      <c r="A19" s="404"/>
      <c r="B19" s="633"/>
      <c r="C19" s="2610"/>
      <c r="D19" s="450"/>
      <c r="E19" s="2610"/>
      <c r="F19" s="453"/>
      <c r="G19" s="2610"/>
      <c r="H19" s="448"/>
      <c r="I19" s="447"/>
      <c r="J19" s="448"/>
      <c r="K19" s="1383"/>
      <c r="L19" s="1140"/>
      <c r="M19" s="1131"/>
      <c r="N19" s="1131"/>
      <c r="O19" s="1131"/>
      <c r="P19" s="3244"/>
      <c r="Q19" s="1810"/>
      <c r="R19" s="774"/>
      <c r="S19" s="775"/>
      <c r="T19" s="774"/>
      <c r="U19" s="775"/>
      <c r="V19" s="774"/>
      <c r="W19" s="775"/>
      <c r="X19" s="1813"/>
      <c r="Y19" s="3244"/>
      <c r="Z19" s="1814"/>
      <c r="AA19" s="1811">
        <v>1</v>
      </c>
      <c r="AB19" s="1811">
        <v>1</v>
      </c>
      <c r="AC19" s="1811">
        <v>1</v>
      </c>
    </row>
    <row r="20" spans="1:29" ht="56">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4"/>
      <c r="Q20" s="1810" t="str">
        <f>B20</f>
        <v>自然及人文环境</v>
      </c>
      <c r="R20" s="774" t="s">
        <v>17</v>
      </c>
      <c r="S20" s="775">
        <f>F20</f>
        <v>100</v>
      </c>
      <c r="T20" s="774" t="s">
        <v>17</v>
      </c>
      <c r="U20" s="775">
        <f>H20</f>
        <v>100</v>
      </c>
      <c r="V20" s="774" t="s">
        <v>17</v>
      </c>
      <c r="W20" s="775">
        <f>J20</f>
        <v>100</v>
      </c>
      <c r="X20" s="1813"/>
      <c r="Y20" s="3244"/>
      <c r="Z20" s="1814" t="str">
        <f>Q20</f>
        <v>自然及人文环境</v>
      </c>
      <c r="AA20" s="1811">
        <f t="shared" si="3"/>
        <v>1</v>
      </c>
      <c r="AB20" s="1811">
        <f t="shared" si="4"/>
        <v>1</v>
      </c>
      <c r="AC20" s="1811">
        <f t="shared" si="5"/>
        <v>1</v>
      </c>
    </row>
    <row r="21" spans="1:29" ht="15.5">
      <c r="A21" s="404"/>
      <c r="B21" s="632"/>
      <c r="C21" s="447"/>
      <c r="D21" s="448"/>
      <c r="E21" s="447"/>
      <c r="F21" s="449"/>
      <c r="G21" s="447"/>
      <c r="H21" s="448"/>
      <c r="I21" s="447"/>
      <c r="J21" s="448"/>
      <c r="K21" s="615"/>
      <c r="L21" s="1140"/>
      <c r="M21" s="1131"/>
      <c r="N21" s="1131"/>
      <c r="O21" s="1131"/>
      <c r="P21" s="3244"/>
      <c r="Q21" s="1810"/>
      <c r="R21" s="774"/>
      <c r="S21" s="775"/>
      <c r="T21" s="774"/>
      <c r="U21" s="775"/>
      <c r="V21" s="774"/>
      <c r="W21" s="775"/>
      <c r="X21" s="1813"/>
      <c r="Y21" s="3244"/>
      <c r="Z21" s="1814"/>
      <c r="AA21" s="1811">
        <v>1</v>
      </c>
      <c r="AB21" s="1811">
        <v>1</v>
      </c>
      <c r="AC21" s="1811">
        <v>1</v>
      </c>
    </row>
    <row r="22" spans="1:29" ht="15.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4"/>
      <c r="Q22" s="1810" t="str">
        <f>B22</f>
        <v>楼层</v>
      </c>
      <c r="R22" s="774" t="s">
        <v>17</v>
      </c>
      <c r="S22" s="775">
        <f>F22</f>
        <v>100</v>
      </c>
      <c r="T22" s="774" t="s">
        <v>17</v>
      </c>
      <c r="U22" s="775">
        <f>H22</f>
        <v>100</v>
      </c>
      <c r="V22" s="774" t="s">
        <v>17</v>
      </c>
      <c r="W22" s="775">
        <f>J22</f>
        <v>100</v>
      </c>
      <c r="X22" s="1813"/>
      <c r="Y22" s="3244"/>
      <c r="Z22" s="1814" t="str">
        <f>Q22</f>
        <v>楼层</v>
      </c>
      <c r="AA22" s="1811">
        <f t="shared" si="3"/>
        <v>1</v>
      </c>
      <c r="AB22" s="1811">
        <f t="shared" si="4"/>
        <v>1</v>
      </c>
      <c r="AC22" s="1811">
        <f t="shared" si="5"/>
        <v>1</v>
      </c>
    </row>
    <row r="23" spans="1:29" ht="15.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4"/>
      <c r="Q23" s="1810">
        <f>B23</f>
        <v>111</v>
      </c>
      <c r="R23" s="774" t="s">
        <v>17</v>
      </c>
      <c r="S23" s="775">
        <f>F23</f>
        <v>100</v>
      </c>
      <c r="T23" s="774" t="s">
        <v>17</v>
      </c>
      <c r="U23" s="775">
        <f>H23</f>
        <v>100</v>
      </c>
      <c r="V23" s="774" t="s">
        <v>17</v>
      </c>
      <c r="W23" s="775">
        <f>J23</f>
        <v>100</v>
      </c>
      <c r="X23" s="1813"/>
      <c r="Y23" s="3244"/>
      <c r="Z23" s="1814">
        <f>Q23</f>
        <v>111</v>
      </c>
      <c r="AA23" s="1811">
        <f t="shared" si="3"/>
        <v>1</v>
      </c>
      <c r="AB23" s="1811">
        <f t="shared" si="4"/>
        <v>1</v>
      </c>
      <c r="AC23" s="1811">
        <f t="shared" si="5"/>
        <v>1</v>
      </c>
    </row>
    <row r="24" spans="1:29" ht="15.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4"/>
      <c r="Q24" s="1810">
        <f t="shared" ref="Q24:Q36" si="11">B24</f>
        <v>111</v>
      </c>
      <c r="R24" s="774" t="s">
        <v>17</v>
      </c>
      <c r="S24" s="775">
        <f>F24</f>
        <v>100</v>
      </c>
      <c r="T24" s="774" t="s">
        <v>17</v>
      </c>
      <c r="U24" s="775">
        <f>H24</f>
        <v>100</v>
      </c>
      <c r="V24" s="774" t="s">
        <v>17</v>
      </c>
      <c r="W24" s="775">
        <f>J24</f>
        <v>100</v>
      </c>
      <c r="X24" s="1813"/>
      <c r="Y24" s="3244"/>
      <c r="Z24" s="1814">
        <f>Q24</f>
        <v>111</v>
      </c>
      <c r="AA24" s="1811">
        <f t="shared" si="3"/>
        <v>1</v>
      </c>
      <c r="AB24" s="1811">
        <f t="shared" si="4"/>
        <v>1</v>
      </c>
      <c r="AC24" s="1811">
        <f t="shared" si="5"/>
        <v>1</v>
      </c>
    </row>
    <row r="25" spans="1:29" s="117" customFormat="1" ht="1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4"/>
      <c r="Q25" s="1795">
        <f t="shared" si="11"/>
        <v>111</v>
      </c>
      <c r="R25" s="770" t="s">
        <v>17</v>
      </c>
      <c r="S25" s="771">
        <f>F25</f>
        <v>100</v>
      </c>
      <c r="T25" s="770" t="s">
        <v>17</v>
      </c>
      <c r="U25" s="771">
        <f>H25</f>
        <v>100</v>
      </c>
      <c r="V25" s="770" t="s">
        <v>17</v>
      </c>
      <c r="W25" s="771">
        <f>J25</f>
        <v>100</v>
      </c>
      <c r="X25" s="772"/>
      <c r="Y25" s="3244"/>
      <c r="Z25" s="55">
        <f>Q25</f>
        <v>111</v>
      </c>
      <c r="AA25" s="1811">
        <f>D25/F25</f>
        <v>1</v>
      </c>
      <c r="AB25" s="1811">
        <f>D25/H25</f>
        <v>1</v>
      </c>
      <c r="AC25" s="1811">
        <f>D25/J25</f>
        <v>1</v>
      </c>
    </row>
    <row r="26" spans="1:29" ht="29">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7"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8" t="s">
        <v>2564</v>
      </c>
      <c r="Z26" s="1814" t="str">
        <f t="shared" ref="Z26:Z36" si="15">Q26</f>
        <v>配套类型</v>
      </c>
      <c r="AA26" s="1811">
        <f t="shared" si="3"/>
        <v>1</v>
      </c>
      <c r="AB26" s="1811">
        <f t="shared" si="4"/>
        <v>1</v>
      </c>
      <c r="AC26" s="1811">
        <f t="shared" si="5"/>
        <v>1</v>
      </c>
    </row>
    <row r="27" spans="1:29" s="471" customFormat="1" ht="15.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8"/>
      <c r="Q27" s="776" t="str">
        <f t="shared" si="11"/>
        <v>项目停车位配比</v>
      </c>
      <c r="R27" s="777" t="s">
        <v>17</v>
      </c>
      <c r="S27" s="778">
        <f t="shared" si="12"/>
        <v>100</v>
      </c>
      <c r="T27" s="777" t="s">
        <v>17</v>
      </c>
      <c r="U27" s="778">
        <f t="shared" si="13"/>
        <v>100</v>
      </c>
      <c r="V27" s="777" t="s">
        <v>17</v>
      </c>
      <c r="W27" s="778">
        <f t="shared" si="14"/>
        <v>100</v>
      </c>
      <c r="X27" s="779"/>
      <c r="Y27" s="3248"/>
      <c r="Z27" s="780" t="str">
        <f t="shared" si="15"/>
        <v>项目停车位配比</v>
      </c>
      <c r="AA27" s="1811">
        <f t="shared" si="3"/>
        <v>1</v>
      </c>
      <c r="AB27" s="1811">
        <f t="shared" si="4"/>
        <v>1</v>
      </c>
      <c r="AC27" s="1811">
        <f t="shared" si="5"/>
        <v>1</v>
      </c>
    </row>
    <row r="28" spans="1:29" ht="15.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8"/>
      <c r="Q28" s="1810" t="str">
        <f t="shared" si="11"/>
        <v>公共部分装修</v>
      </c>
      <c r="R28" s="774" t="s">
        <v>17</v>
      </c>
      <c r="S28" s="775">
        <f t="shared" si="12"/>
        <v>100</v>
      </c>
      <c r="T28" s="774" t="s">
        <v>17</v>
      </c>
      <c r="U28" s="775">
        <f t="shared" si="13"/>
        <v>100</v>
      </c>
      <c r="V28" s="774" t="s">
        <v>17</v>
      </c>
      <c r="W28" s="775">
        <f t="shared" si="14"/>
        <v>100</v>
      </c>
      <c r="X28" s="1813"/>
      <c r="Y28" s="3248"/>
      <c r="Z28" s="1814" t="str">
        <f t="shared" si="15"/>
        <v>公共部分装修</v>
      </c>
      <c r="AA28" s="1811">
        <f t="shared" si="3"/>
        <v>1</v>
      </c>
      <c r="AB28" s="1811">
        <f t="shared" si="4"/>
        <v>1</v>
      </c>
      <c r="AC28" s="1811">
        <f t="shared" si="5"/>
        <v>1</v>
      </c>
    </row>
    <row r="29" spans="1:29" ht="15.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8"/>
      <c r="Q29" s="1810" t="str">
        <f t="shared" si="11"/>
        <v>成新率</v>
      </c>
      <c r="R29" s="774" t="s">
        <v>17</v>
      </c>
      <c r="S29" s="775" t="e">
        <f t="shared" si="12"/>
        <v>#N/A</v>
      </c>
      <c r="T29" s="774" t="s">
        <v>17</v>
      </c>
      <c r="U29" s="775" t="e">
        <f t="shared" si="13"/>
        <v>#N/A</v>
      </c>
      <c r="V29" s="774" t="s">
        <v>17</v>
      </c>
      <c r="W29" s="775" t="e">
        <f t="shared" si="14"/>
        <v>#N/A</v>
      </c>
      <c r="X29" s="1813"/>
      <c r="Y29" s="3248"/>
      <c r="Z29" s="1814" t="str">
        <f t="shared" si="15"/>
        <v>成新率</v>
      </c>
      <c r="AA29" s="1811" t="e">
        <f t="shared" si="3"/>
        <v>#N/A</v>
      </c>
      <c r="AB29" s="1811" t="e">
        <f t="shared" si="4"/>
        <v>#N/A</v>
      </c>
      <c r="AC29" s="1811" t="e">
        <f t="shared" si="5"/>
        <v>#N/A</v>
      </c>
    </row>
    <row r="30" spans="1:29" ht="15.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8"/>
      <c r="Q30" s="1810" t="str">
        <f t="shared" si="11"/>
        <v>物业等级</v>
      </c>
      <c r="R30" s="774" t="s">
        <v>17</v>
      </c>
      <c r="S30" s="775">
        <f t="shared" si="12"/>
        <v>100</v>
      </c>
      <c r="T30" s="774" t="s">
        <v>17</v>
      </c>
      <c r="U30" s="775">
        <f t="shared" si="13"/>
        <v>100</v>
      </c>
      <c r="V30" s="774" t="s">
        <v>17</v>
      </c>
      <c r="W30" s="775">
        <f t="shared" si="14"/>
        <v>100</v>
      </c>
      <c r="X30" s="1813"/>
      <c r="Y30" s="3248"/>
      <c r="Z30" s="1814" t="str">
        <f t="shared" si="15"/>
        <v>物业等级</v>
      </c>
      <c r="AA30" s="1811">
        <f t="shared" si="3"/>
        <v>1</v>
      </c>
      <c r="AB30" s="1811">
        <f t="shared" si="4"/>
        <v>1</v>
      </c>
      <c r="AC30" s="1811">
        <f t="shared" si="5"/>
        <v>1</v>
      </c>
    </row>
    <row r="31" spans="1:29" s="117" customFormat="1" ht="15.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8"/>
      <c r="Q31" s="1795" t="str">
        <f t="shared" si="11"/>
        <v>停车位面积</v>
      </c>
      <c r="R31" s="770" t="s">
        <v>17</v>
      </c>
      <c r="S31" s="771" t="e">
        <f t="shared" si="12"/>
        <v>#N/A</v>
      </c>
      <c r="T31" s="770" t="s">
        <v>17</v>
      </c>
      <c r="U31" s="771" t="e">
        <f t="shared" si="13"/>
        <v>#N/A</v>
      </c>
      <c r="V31" s="770" t="s">
        <v>17</v>
      </c>
      <c r="W31" s="771" t="e">
        <f t="shared" si="14"/>
        <v>#N/A</v>
      </c>
      <c r="X31" s="772"/>
      <c r="Y31" s="3248"/>
      <c r="Z31" s="55" t="str">
        <f t="shared" si="15"/>
        <v>停车位面积</v>
      </c>
      <c r="AA31" s="773" t="e">
        <f t="shared" si="3"/>
        <v>#N/A</v>
      </c>
      <c r="AB31" s="773" t="e">
        <f t="shared" si="4"/>
        <v>#N/A</v>
      </c>
      <c r="AC31" s="773" t="e">
        <f t="shared" si="5"/>
        <v>#N/A</v>
      </c>
    </row>
    <row r="32" spans="1:29" ht="15.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8" t="s">
        <v>2564</v>
      </c>
      <c r="Q32" s="1810" t="str">
        <f t="shared" si="11"/>
        <v>车位类型</v>
      </c>
      <c r="R32" s="774" t="s">
        <v>17</v>
      </c>
      <c r="S32" s="775">
        <f t="shared" si="12"/>
        <v>100</v>
      </c>
      <c r="T32" s="774" t="s">
        <v>17</v>
      </c>
      <c r="U32" s="775">
        <f t="shared" si="13"/>
        <v>100</v>
      </c>
      <c r="V32" s="774" t="s">
        <v>17</v>
      </c>
      <c r="W32" s="775">
        <f t="shared" si="14"/>
        <v>100</v>
      </c>
      <c r="X32" s="1813"/>
      <c r="Y32" s="3248" t="s">
        <v>2564</v>
      </c>
      <c r="Z32" s="1814" t="str">
        <f t="shared" si="15"/>
        <v>车位类型</v>
      </c>
      <c r="AA32" s="1811">
        <f t="shared" si="3"/>
        <v>1</v>
      </c>
      <c r="AB32" s="1811">
        <f t="shared" si="4"/>
        <v>1</v>
      </c>
      <c r="AC32" s="1811">
        <f t="shared" si="5"/>
        <v>1</v>
      </c>
    </row>
    <row r="33" spans="1:29" ht="15.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8"/>
      <c r="Q33" s="1810" t="str">
        <f t="shared" si="11"/>
        <v>是否直接入户</v>
      </c>
      <c r="R33" s="774" t="s">
        <v>17</v>
      </c>
      <c r="S33" s="775">
        <f t="shared" si="12"/>
        <v>100</v>
      </c>
      <c r="T33" s="774" t="s">
        <v>17</v>
      </c>
      <c r="U33" s="775">
        <f t="shared" si="13"/>
        <v>100</v>
      </c>
      <c r="V33" s="774" t="s">
        <v>17</v>
      </c>
      <c r="W33" s="775">
        <f t="shared" si="14"/>
        <v>100</v>
      </c>
      <c r="X33" s="1813"/>
      <c r="Y33" s="3248"/>
      <c r="Z33" s="1814" t="str">
        <f t="shared" si="15"/>
        <v>是否直接入户</v>
      </c>
      <c r="AA33" s="1811">
        <f t="shared" si="3"/>
        <v>1</v>
      </c>
      <c r="AB33" s="1811">
        <f t="shared" si="4"/>
        <v>1</v>
      </c>
      <c r="AC33" s="1811">
        <f t="shared" si="5"/>
        <v>1</v>
      </c>
    </row>
    <row r="34" spans="1:29" ht="15.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8"/>
      <c r="Q34" s="1810">
        <f t="shared" si="11"/>
        <v>111</v>
      </c>
      <c r="R34" s="774" t="s">
        <v>17</v>
      </c>
      <c r="S34" s="775">
        <f t="shared" si="12"/>
        <v>100</v>
      </c>
      <c r="T34" s="774" t="s">
        <v>17</v>
      </c>
      <c r="U34" s="775">
        <f t="shared" si="13"/>
        <v>100</v>
      </c>
      <c r="V34" s="774" t="s">
        <v>17</v>
      </c>
      <c r="W34" s="775">
        <f t="shared" si="14"/>
        <v>100</v>
      </c>
      <c r="X34" s="1813"/>
      <c r="Y34" s="3248"/>
      <c r="Z34" s="1814">
        <f t="shared" si="15"/>
        <v>111</v>
      </c>
      <c r="AA34" s="1811">
        <f t="shared" si="3"/>
        <v>1</v>
      </c>
      <c r="AB34" s="1811">
        <f t="shared" si="4"/>
        <v>1</v>
      </c>
      <c r="AC34" s="1811">
        <f t="shared" si="5"/>
        <v>1</v>
      </c>
    </row>
    <row r="35" spans="1:29" s="471" customFormat="1" ht="15.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8"/>
      <c r="Q35" s="776">
        <f t="shared" si="11"/>
        <v>111</v>
      </c>
      <c r="R35" s="777" t="s">
        <v>17</v>
      </c>
      <c r="S35" s="778">
        <f t="shared" si="12"/>
        <v>100</v>
      </c>
      <c r="T35" s="777" t="s">
        <v>17</v>
      </c>
      <c r="U35" s="778">
        <f t="shared" si="13"/>
        <v>100</v>
      </c>
      <c r="V35" s="777" t="s">
        <v>17</v>
      </c>
      <c r="W35" s="778">
        <f t="shared" si="14"/>
        <v>100</v>
      </c>
      <c r="X35" s="779"/>
      <c r="Y35" s="3248"/>
      <c r="Z35" s="780">
        <f t="shared" si="15"/>
        <v>111</v>
      </c>
      <c r="AA35" s="1811">
        <f t="shared" si="3"/>
        <v>1</v>
      </c>
      <c r="AB35" s="1811">
        <f t="shared" si="4"/>
        <v>1</v>
      </c>
      <c r="AC35" s="1811">
        <f t="shared" si="5"/>
        <v>1</v>
      </c>
    </row>
    <row r="36" spans="1:29" ht="1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8"/>
      <c r="Q36" s="1810">
        <f t="shared" si="11"/>
        <v>111</v>
      </c>
      <c r="R36" s="774" t="s">
        <v>17</v>
      </c>
      <c r="S36" s="775">
        <f t="shared" si="12"/>
        <v>100</v>
      </c>
      <c r="T36" s="774" t="s">
        <v>17</v>
      </c>
      <c r="U36" s="775">
        <f t="shared" si="13"/>
        <v>100</v>
      </c>
      <c r="V36" s="774" t="s">
        <v>17</v>
      </c>
      <c r="W36" s="775">
        <f t="shared" si="14"/>
        <v>100</v>
      </c>
      <c r="X36" s="1813"/>
      <c r="Y36" s="3248"/>
      <c r="Z36" s="1814">
        <f t="shared" si="15"/>
        <v>111</v>
      </c>
      <c r="AA36" s="1811">
        <f t="shared" si="3"/>
        <v>1</v>
      </c>
      <c r="AB36" s="1811">
        <f t="shared" si="4"/>
        <v>1</v>
      </c>
      <c r="AC36" s="1811">
        <f t="shared" si="5"/>
        <v>1</v>
      </c>
    </row>
    <row r="37" spans="1:29">
      <c r="A37" s="479" t="s">
        <v>2719</v>
      </c>
      <c r="B37" s="2697" t="s">
        <v>2720</v>
      </c>
      <c r="C37" s="1407" t="s">
        <v>1</v>
      </c>
      <c r="D37" s="1408"/>
      <c r="E37" s="1409"/>
      <c r="F37" s="1410"/>
      <c r="G37" s="1411"/>
      <c r="H37" s="1412"/>
      <c r="I37" s="1409"/>
      <c r="J37" s="1412"/>
      <c r="K37" s="619"/>
      <c r="L37" s="1143"/>
      <c r="M37" s="1144"/>
      <c r="N37" s="1131"/>
      <c r="O37" s="1144"/>
      <c r="P37" s="3241" t="str">
        <f>A37</f>
        <v>成交单价</v>
      </c>
      <c r="Q37" s="3241"/>
      <c r="R37" s="3242">
        <f>E37</f>
        <v>0</v>
      </c>
      <c r="S37" s="3242"/>
      <c r="T37" s="3242">
        <f>G37</f>
        <v>0</v>
      </c>
      <c r="U37" s="3242"/>
      <c r="V37" s="3242">
        <f>I37</f>
        <v>0</v>
      </c>
      <c r="W37" s="3242"/>
      <c r="X37" s="759"/>
      <c r="Y37" s="781"/>
      <c r="Z37" s="759"/>
      <c r="AA37" s="759"/>
      <c r="AB37" s="759"/>
      <c r="AC37" s="759"/>
    </row>
    <row r="38" spans="1:29" ht="14.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1" t="str">
        <f>A38</f>
        <v>比较价值（元/平方米）</v>
      </c>
      <c r="Q38" s="3241"/>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9"/>
      <c r="Y38" s="759"/>
      <c r="Z38" s="759"/>
      <c r="AA38" s="759"/>
      <c r="AB38" s="759"/>
      <c r="AC38" s="759"/>
    </row>
    <row r="39" spans="1:29" ht="14.5" thickBot="1">
      <c r="A39" s="492" t="s">
        <v>2722</v>
      </c>
      <c r="B39" s="493"/>
      <c r="C39" s="1417" t="e">
        <f>R39</f>
        <v>#DIV/0!</v>
      </c>
      <c r="D39" s="1417"/>
      <c r="E39" s="1417"/>
      <c r="F39" s="1417"/>
      <c r="G39" s="1417"/>
      <c r="H39" s="1417"/>
      <c r="I39" s="1417"/>
      <c r="J39" s="1417"/>
      <c r="K39" s="621"/>
      <c r="L39" s="1143"/>
      <c r="M39" s="1144"/>
      <c r="N39" s="1144"/>
      <c r="O39" s="1144"/>
      <c r="P39" s="3238" t="str">
        <f>A39</f>
        <v>估价对象XX用房的比较价值（楼面单价，元/平方米）</v>
      </c>
      <c r="Q39" s="3239"/>
      <c r="R39" s="3240" t="e">
        <f>IF(F1="售价",ROUND(AVERAGE(R38:V38),0),ROUND(AVERAGE(R38:V38),1))</f>
        <v>#DIV/0!</v>
      </c>
      <c r="S39" s="3240"/>
      <c r="T39" s="3240"/>
      <c r="U39" s="3240"/>
      <c r="V39" s="3240"/>
      <c r="W39" s="324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c r="A48" s="505" t="s">
        <v>2727</v>
      </c>
      <c r="B48" s="506"/>
      <c r="C48" s="1574" t="str">
        <f>YEAR(C7)&amp;"-"&amp;MONTH(C7)</f>
        <v>2020-2</v>
      </c>
      <c r="D48" s="1575">
        <f>EDATE(C48,-1)</f>
        <v>43831</v>
      </c>
      <c r="E48" s="1575">
        <f t="shared" ref="E48:O48" si="16">EDATE(D48,-1)</f>
        <v>43800</v>
      </c>
      <c r="F48" s="1575">
        <f t="shared" si="16"/>
        <v>43770</v>
      </c>
      <c r="G48" s="1575">
        <f t="shared" si="16"/>
        <v>43739</v>
      </c>
      <c r="H48" s="1575">
        <f t="shared" si="16"/>
        <v>43709</v>
      </c>
      <c r="I48" s="1575">
        <f t="shared" si="16"/>
        <v>43678</v>
      </c>
      <c r="J48" s="1575">
        <f t="shared" si="16"/>
        <v>43647</v>
      </c>
      <c r="K48" s="1575">
        <f t="shared" si="16"/>
        <v>43617</v>
      </c>
      <c r="L48" s="1575">
        <f t="shared" si="16"/>
        <v>43586</v>
      </c>
      <c r="M48" s="1575">
        <f t="shared" si="16"/>
        <v>43556</v>
      </c>
      <c r="N48" s="1575">
        <f t="shared" si="16"/>
        <v>43525</v>
      </c>
      <c r="O48" s="1575">
        <f t="shared" si="16"/>
        <v>43497</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4.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8.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4.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4.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4.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4.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4.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8.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4.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4.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4.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4.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4.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4.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4.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C241"/>
  <sheetViews>
    <sheetView zoomScale="89" zoomScaleNormal="89" workbookViewId="0">
      <selection sqref="A1:XFD1048576"/>
    </sheetView>
  </sheetViews>
  <sheetFormatPr defaultColWidth="9" defaultRowHeight="14"/>
  <cols>
    <col min="1" max="1" width="10.453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11" t="s">
        <v>2646</v>
      </c>
      <c r="S4" s="3212"/>
      <c r="T4" s="3211" t="s">
        <v>2647</v>
      </c>
      <c r="U4" s="3212"/>
      <c r="V4" s="3236" t="s">
        <v>2648</v>
      </c>
      <c r="W4" s="3236"/>
      <c r="X4" s="1813"/>
      <c r="Y4" s="3211" t="s">
        <v>2650</v>
      </c>
      <c r="Z4" s="3212"/>
      <c r="AA4" s="3206" t="s">
        <v>2646</v>
      </c>
      <c r="AB4" s="3207" t="s">
        <v>2647</v>
      </c>
      <c r="AC4" s="3206" t="s">
        <v>2648</v>
      </c>
    </row>
    <row r="5" spans="1:29">
      <c r="A5" s="404"/>
      <c r="B5" s="405"/>
      <c r="C5" s="3217" t="s">
        <v>2541</v>
      </c>
      <c r="D5" s="3218"/>
      <c r="E5" s="3215" t="s">
        <v>2542</v>
      </c>
      <c r="F5" s="3216"/>
      <c r="G5" s="3217" t="s">
        <v>2543</v>
      </c>
      <c r="H5" s="3218"/>
      <c r="I5" s="3217" t="s">
        <v>2544</v>
      </c>
      <c r="J5" s="3218"/>
      <c r="K5" s="610"/>
      <c r="L5" s="1130"/>
      <c r="M5" s="1131"/>
      <c r="N5" s="1131"/>
      <c r="O5" s="1131"/>
      <c r="P5" s="3230"/>
      <c r="Q5" s="3231"/>
      <c r="R5" s="3213"/>
      <c r="S5" s="3214"/>
      <c r="T5" s="3213"/>
      <c r="U5" s="3214"/>
      <c r="V5" s="3236"/>
      <c r="W5" s="3236"/>
      <c r="X5" s="1813"/>
      <c r="Y5" s="3213"/>
      <c r="Z5" s="3214"/>
      <c r="AA5" s="3207"/>
      <c r="AB5" s="3207"/>
      <c r="AC5" s="3207"/>
    </row>
    <row r="6" spans="1:29" ht="15" thickBot="1">
      <c r="A6" s="406"/>
      <c r="B6" s="407"/>
      <c r="C6" s="3219" t="s">
        <v>2545</v>
      </c>
      <c r="D6" s="3220"/>
      <c r="E6" s="3221" t="s">
        <v>2545</v>
      </c>
      <c r="F6" s="3222"/>
      <c r="G6" s="3219" t="s">
        <v>2545</v>
      </c>
      <c r="H6" s="3220"/>
      <c r="I6" s="3219" t="s">
        <v>2545</v>
      </c>
      <c r="J6" s="3220"/>
      <c r="K6" s="610" t="s">
        <v>2546</v>
      </c>
      <c r="L6" s="1130"/>
      <c r="M6" s="1131"/>
      <c r="N6" s="1131"/>
      <c r="O6" s="1131"/>
      <c r="P6" s="3232"/>
      <c r="Q6" s="3233"/>
      <c r="R6" s="3213"/>
      <c r="S6" s="3214"/>
      <c r="T6" s="3234"/>
      <c r="U6" s="3235"/>
      <c r="V6" s="3236"/>
      <c r="W6" s="3236"/>
      <c r="X6" s="1813"/>
      <c r="Y6" s="3234"/>
      <c r="Z6" s="3235"/>
      <c r="AA6" s="3208"/>
      <c r="AB6" s="3208"/>
      <c r="AC6" s="3208"/>
    </row>
    <row r="7" spans="1:29" s="117" customFormat="1" ht="14.5" thickBot="1">
      <c r="A7" s="408" t="s">
        <v>2547</v>
      </c>
      <c r="B7" s="409"/>
      <c r="C7" s="410">
        <f>'数据-取费表'!B2</f>
        <v>43872</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09" t="s">
        <v>2548</v>
      </c>
      <c r="Q7" s="3237"/>
      <c r="R7" s="770" t="s">
        <v>17</v>
      </c>
      <c r="S7" s="771">
        <f t="shared" ref="S7:S14" si="0">F7</f>
        <v>0</v>
      </c>
      <c r="T7" s="770" t="s">
        <v>17</v>
      </c>
      <c r="U7" s="771">
        <f t="shared" ref="U7:U14" si="1">H7</f>
        <v>0</v>
      </c>
      <c r="V7" s="770" t="s">
        <v>17</v>
      </c>
      <c r="W7" s="771">
        <f t="shared" ref="W7:W14" si="2">J7</f>
        <v>0</v>
      </c>
      <c r="X7" s="772"/>
      <c r="Y7" s="3209" t="s">
        <v>2548</v>
      </c>
      <c r="Z7" s="3210"/>
      <c r="AA7" s="773" t="e">
        <f>D7/F7</f>
        <v>#DIV/0!</v>
      </c>
      <c r="AB7" s="773" t="e">
        <f>D7/H7</f>
        <v>#DIV/0!</v>
      </c>
      <c r="AC7" s="773" t="e">
        <f>D7/J7</f>
        <v>#DIV/0!</v>
      </c>
    </row>
    <row r="8" spans="1:29" s="117" customFormat="1" ht="14.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9" t="s">
        <v>2551</v>
      </c>
      <c r="Q8" s="3210"/>
      <c r="R8" s="770" t="s">
        <v>17</v>
      </c>
      <c r="S8" s="771">
        <f t="shared" si="0"/>
        <v>0</v>
      </c>
      <c r="T8" s="770" t="s">
        <v>17</v>
      </c>
      <c r="U8" s="771">
        <f t="shared" si="1"/>
        <v>0</v>
      </c>
      <c r="V8" s="770" t="s">
        <v>17</v>
      </c>
      <c r="W8" s="771">
        <f t="shared" si="2"/>
        <v>0</v>
      </c>
      <c r="X8" s="772"/>
      <c r="Y8" s="3209" t="s">
        <v>2551</v>
      </c>
      <c r="Z8" s="3210"/>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1" t="s">
        <v>2554</v>
      </c>
      <c r="Q9" s="1795" t="str">
        <f t="shared" ref="Q9:Q14" si="6">B9</f>
        <v>用途</v>
      </c>
      <c r="R9" s="770" t="s">
        <v>17</v>
      </c>
      <c r="S9" s="771">
        <f t="shared" si="0"/>
        <v>100</v>
      </c>
      <c r="T9" s="770" t="s">
        <v>17</v>
      </c>
      <c r="U9" s="771">
        <f t="shared" si="1"/>
        <v>100</v>
      </c>
      <c r="V9" s="770" t="s">
        <v>17</v>
      </c>
      <c r="W9" s="771">
        <f t="shared" si="2"/>
        <v>100</v>
      </c>
      <c r="X9" s="772"/>
      <c r="Y9" s="3056" t="s">
        <v>2555</v>
      </c>
      <c r="Z9" s="55" t="str">
        <f t="shared" ref="Z9:Z14" si="7">Q9</f>
        <v>用途</v>
      </c>
      <c r="AA9" s="773">
        <f t="shared" si="3"/>
        <v>1</v>
      </c>
      <c r="AB9" s="773">
        <f t="shared" si="4"/>
        <v>1</v>
      </c>
      <c r="AC9" s="773">
        <f t="shared" si="5"/>
        <v>1</v>
      </c>
    </row>
    <row r="10" spans="1:29" s="427" customFormat="1" ht="28">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1"/>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1"/>
      <c r="Q11" s="1795">
        <f t="shared" si="6"/>
        <v>111</v>
      </c>
      <c r="R11" s="770" t="s">
        <v>17</v>
      </c>
      <c r="S11" s="771">
        <f t="shared" si="0"/>
        <v>100</v>
      </c>
      <c r="T11" s="770" t="s">
        <v>17</v>
      </c>
      <c r="U11" s="771">
        <f t="shared" si="1"/>
        <v>100</v>
      </c>
      <c r="V11" s="770" t="s">
        <v>17</v>
      </c>
      <c r="W11" s="771">
        <f t="shared" si="2"/>
        <v>100</v>
      </c>
      <c r="X11" s="772"/>
      <c r="Y11" s="3056"/>
      <c r="Z11" s="55">
        <f t="shared" si="7"/>
        <v>111</v>
      </c>
      <c r="AA11" s="773">
        <f t="shared" si="3"/>
        <v>1</v>
      </c>
      <c r="AB11" s="773">
        <f t="shared" si="4"/>
        <v>1</v>
      </c>
      <c r="AC11" s="773">
        <f t="shared" si="5"/>
        <v>1</v>
      </c>
    </row>
    <row r="12" spans="1:29" s="117" customFormat="1" ht="15.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1"/>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6"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41"/>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98">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3" t="s">
        <v>2559</v>
      </c>
      <c r="Q14" s="1810" t="str">
        <f t="shared" si="6"/>
        <v>交通便捷度</v>
      </c>
      <c r="R14" s="774" t="s">
        <v>17</v>
      </c>
      <c r="S14" s="775">
        <f t="shared" si="0"/>
        <v>100</v>
      </c>
      <c r="T14" s="774" t="s">
        <v>17</v>
      </c>
      <c r="U14" s="775">
        <f t="shared" si="1"/>
        <v>100</v>
      </c>
      <c r="V14" s="774" t="s">
        <v>17</v>
      </c>
      <c r="W14" s="775">
        <f t="shared" si="2"/>
        <v>100</v>
      </c>
      <c r="X14" s="1813"/>
      <c r="Y14" s="3243" t="s">
        <v>2559</v>
      </c>
      <c r="Z14" s="1814" t="str">
        <f t="shared" si="7"/>
        <v>交通便捷度</v>
      </c>
      <c r="AA14" s="1811">
        <f t="shared" si="3"/>
        <v>1</v>
      </c>
      <c r="AB14" s="1811">
        <f t="shared" si="4"/>
        <v>1</v>
      </c>
      <c r="AC14" s="1811">
        <f t="shared" si="5"/>
        <v>1</v>
      </c>
    </row>
    <row r="15" spans="1:29" ht="15.5">
      <c r="A15" s="428"/>
      <c r="B15" s="446"/>
      <c r="C15" s="447"/>
      <c r="D15" s="448"/>
      <c r="E15" s="447"/>
      <c r="F15" s="449"/>
      <c r="G15" s="447"/>
      <c r="H15" s="450"/>
      <c r="I15" s="447"/>
      <c r="J15" s="448"/>
      <c r="K15" s="615"/>
      <c r="L15" s="1140"/>
      <c r="M15" s="1131"/>
      <c r="N15" s="1131"/>
      <c r="O15" s="1139"/>
      <c r="P15" s="3244"/>
      <c r="Q15" s="1810"/>
      <c r="R15" s="774"/>
      <c r="S15" s="775"/>
      <c r="T15" s="774"/>
      <c r="U15" s="775"/>
      <c r="V15" s="774"/>
      <c r="W15" s="775"/>
      <c r="X15" s="1813"/>
      <c r="Y15" s="3244"/>
      <c r="Z15" s="1814"/>
      <c r="AA15" s="1811">
        <v>1</v>
      </c>
      <c r="AB15" s="1811">
        <v>1</v>
      </c>
      <c r="AC15" s="1811">
        <v>1</v>
      </c>
    </row>
    <row r="16" spans="1:29" ht="42">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4"/>
      <c r="Q16" s="1810" t="str">
        <f>B16</f>
        <v>公共配套设施</v>
      </c>
      <c r="R16" s="774" t="s">
        <v>17</v>
      </c>
      <c r="S16" s="775">
        <f>F16</f>
        <v>100</v>
      </c>
      <c r="T16" s="774" t="s">
        <v>17</v>
      </c>
      <c r="U16" s="775">
        <f>H16</f>
        <v>100</v>
      </c>
      <c r="V16" s="774" t="s">
        <v>17</v>
      </c>
      <c r="W16" s="775">
        <f>J16</f>
        <v>100</v>
      </c>
      <c r="X16" s="1813"/>
      <c r="Y16" s="3244"/>
      <c r="Z16" s="1814" t="str">
        <f>Q16</f>
        <v>公共配套设施</v>
      </c>
      <c r="AA16" s="1811">
        <f t="shared" si="3"/>
        <v>1</v>
      </c>
      <c r="AB16" s="1811">
        <f t="shared" si="4"/>
        <v>1</v>
      </c>
      <c r="AC16" s="1811">
        <f t="shared" si="5"/>
        <v>1</v>
      </c>
    </row>
    <row r="17" spans="1:29" ht="15.5">
      <c r="A17" s="428"/>
      <c r="B17" s="456"/>
      <c r="C17" s="2610"/>
      <c r="D17" s="448"/>
      <c r="E17" s="447"/>
      <c r="F17" s="449"/>
      <c r="G17" s="447"/>
      <c r="H17" s="448"/>
      <c r="I17" s="447"/>
      <c r="J17" s="448"/>
      <c r="K17" s="615"/>
      <c r="L17" s="1140"/>
      <c r="M17" s="1131"/>
      <c r="N17" s="1131"/>
      <c r="O17" s="1139"/>
      <c r="P17" s="3244"/>
      <c r="Q17" s="1810"/>
      <c r="R17" s="774"/>
      <c r="S17" s="775"/>
      <c r="T17" s="774"/>
      <c r="U17" s="775"/>
      <c r="V17" s="774"/>
      <c r="W17" s="775"/>
      <c r="X17" s="1813"/>
      <c r="Y17" s="3244"/>
      <c r="Z17" s="1814"/>
      <c r="AA17" s="1811">
        <v>1</v>
      </c>
      <c r="AB17" s="1811">
        <v>1</v>
      </c>
      <c r="AC17" s="1811">
        <v>1</v>
      </c>
    </row>
    <row r="18" spans="1:29" ht="42">
      <c r="A18" s="428"/>
      <c r="B18" s="1384"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4"/>
      <c r="Q18" s="1810" t="str">
        <f>B18</f>
        <v>基础设施水平</v>
      </c>
      <c r="R18" s="774" t="s">
        <v>17</v>
      </c>
      <c r="S18" s="775">
        <f>F18</f>
        <v>100</v>
      </c>
      <c r="T18" s="774" t="s">
        <v>17</v>
      </c>
      <c r="U18" s="775">
        <f>H18</f>
        <v>100</v>
      </c>
      <c r="V18" s="774" t="s">
        <v>17</v>
      </c>
      <c r="W18" s="775">
        <f>J18</f>
        <v>100</v>
      </c>
      <c r="X18" s="1813"/>
      <c r="Y18" s="3244"/>
      <c r="Z18" s="1814" t="str">
        <f>Q18</f>
        <v>基础设施水平</v>
      </c>
      <c r="AA18" s="1811">
        <f t="shared" ref="AA18" si="8">D18/F18</f>
        <v>1</v>
      </c>
      <c r="AB18" s="1811">
        <f t="shared" ref="AB18" si="9">D18/H18</f>
        <v>1</v>
      </c>
      <c r="AC18" s="1811">
        <f t="shared" ref="AC18" si="10">D18/J18</f>
        <v>1</v>
      </c>
    </row>
    <row r="19" spans="1:29" ht="15.5">
      <c r="A19" s="428"/>
      <c r="B19" s="1384"/>
      <c r="C19" s="2610"/>
      <c r="D19" s="450"/>
      <c r="E19" s="2610"/>
      <c r="F19" s="453"/>
      <c r="G19" s="2610"/>
      <c r="H19" s="448"/>
      <c r="I19" s="447"/>
      <c r="J19" s="448"/>
      <c r="K19" s="1383"/>
      <c r="L19" s="1140"/>
      <c r="M19" s="1131"/>
      <c r="N19" s="1131"/>
      <c r="O19" s="1139"/>
      <c r="P19" s="3244"/>
      <c r="Q19" s="1810"/>
      <c r="R19" s="774"/>
      <c r="S19" s="775"/>
      <c r="T19" s="774"/>
      <c r="U19" s="775"/>
      <c r="V19" s="774"/>
      <c r="W19" s="775"/>
      <c r="X19" s="1813"/>
      <c r="Y19" s="3244"/>
      <c r="Z19" s="1814"/>
      <c r="AA19" s="1811">
        <v>1</v>
      </c>
      <c r="AB19" s="1811">
        <v>1</v>
      </c>
      <c r="AC19" s="1811">
        <v>1</v>
      </c>
    </row>
    <row r="20" spans="1:29" ht="56">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4"/>
      <c r="Q20" s="1810" t="str">
        <f>B20</f>
        <v>自然及人文环境</v>
      </c>
      <c r="R20" s="774" t="s">
        <v>17</v>
      </c>
      <c r="S20" s="775">
        <f>F20</f>
        <v>100</v>
      </c>
      <c r="T20" s="774" t="s">
        <v>17</v>
      </c>
      <c r="U20" s="775">
        <f>H20</f>
        <v>100</v>
      </c>
      <c r="V20" s="774" t="s">
        <v>17</v>
      </c>
      <c r="W20" s="775">
        <f>J20</f>
        <v>100</v>
      </c>
      <c r="X20" s="1813"/>
      <c r="Y20" s="3244"/>
      <c r="Z20" s="1814" t="str">
        <f>Q20</f>
        <v>自然及人文环境</v>
      </c>
      <c r="AA20" s="1811">
        <f t="shared" si="3"/>
        <v>1</v>
      </c>
      <c r="AB20" s="1811">
        <f t="shared" si="4"/>
        <v>1</v>
      </c>
      <c r="AC20" s="1811">
        <f t="shared" si="5"/>
        <v>1</v>
      </c>
    </row>
    <row r="21" spans="1:29" ht="15.5">
      <c r="A21" s="428"/>
      <c r="B21" s="456"/>
      <c r="C21" s="447"/>
      <c r="D21" s="448"/>
      <c r="E21" s="447"/>
      <c r="F21" s="449"/>
      <c r="G21" s="447"/>
      <c r="H21" s="448"/>
      <c r="I21" s="447"/>
      <c r="J21" s="448"/>
      <c r="K21" s="615"/>
      <c r="L21" s="1140"/>
      <c r="M21" s="1131"/>
      <c r="N21" s="1131"/>
      <c r="O21" s="1139"/>
      <c r="P21" s="3244"/>
      <c r="Q21" s="1810"/>
      <c r="R21" s="774"/>
      <c r="S21" s="775"/>
      <c r="T21" s="774"/>
      <c r="U21" s="775"/>
      <c r="V21" s="774"/>
      <c r="W21" s="775"/>
      <c r="X21" s="1813"/>
      <c r="Y21" s="3244"/>
      <c r="Z21" s="1814"/>
      <c r="AA21" s="1811">
        <v>1</v>
      </c>
      <c r="AB21" s="1811">
        <v>1</v>
      </c>
      <c r="AC21" s="1811">
        <v>1</v>
      </c>
    </row>
    <row r="22" spans="1:29" ht="15.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4"/>
      <c r="Q22" s="1810" t="str">
        <f>B22</f>
        <v>楼层</v>
      </c>
      <c r="R22" s="774" t="s">
        <v>17</v>
      </c>
      <c r="S22" s="775">
        <f>F22</f>
        <v>100</v>
      </c>
      <c r="T22" s="774" t="s">
        <v>17</v>
      </c>
      <c r="U22" s="775">
        <f>H22</f>
        <v>100</v>
      </c>
      <c r="V22" s="774" t="s">
        <v>17</v>
      </c>
      <c r="W22" s="775">
        <f>J22</f>
        <v>100</v>
      </c>
      <c r="X22" s="1813"/>
      <c r="Y22" s="3244"/>
      <c r="Z22" s="1814" t="str">
        <f>Q22</f>
        <v>楼层</v>
      </c>
      <c r="AA22" s="1811">
        <f t="shared" si="3"/>
        <v>1</v>
      </c>
      <c r="AB22" s="1811">
        <f t="shared" si="4"/>
        <v>1</v>
      </c>
      <c r="AC22" s="1811">
        <f t="shared" si="5"/>
        <v>1</v>
      </c>
    </row>
    <row r="23" spans="1:29" ht="15.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4"/>
      <c r="Q23" s="1810">
        <f>B23</f>
        <v>111</v>
      </c>
      <c r="R23" s="774" t="s">
        <v>17</v>
      </c>
      <c r="S23" s="775">
        <f>F23</f>
        <v>100</v>
      </c>
      <c r="T23" s="774" t="s">
        <v>17</v>
      </c>
      <c r="U23" s="775">
        <f>H23</f>
        <v>100</v>
      </c>
      <c r="V23" s="774" t="s">
        <v>17</v>
      </c>
      <c r="W23" s="775">
        <f>J23</f>
        <v>100</v>
      </c>
      <c r="X23" s="1813"/>
      <c r="Y23" s="3244"/>
      <c r="Z23" s="1814">
        <f>Q23</f>
        <v>111</v>
      </c>
      <c r="AA23" s="1811">
        <f t="shared" si="3"/>
        <v>1</v>
      </c>
      <c r="AB23" s="1811">
        <f t="shared" si="4"/>
        <v>1</v>
      </c>
      <c r="AC23" s="1811">
        <f t="shared" si="5"/>
        <v>1</v>
      </c>
    </row>
    <row r="24" spans="1:29" ht="15.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4"/>
      <c r="Q24" s="1810">
        <f t="shared" ref="Q24:Q34" si="11">B24</f>
        <v>111</v>
      </c>
      <c r="R24" s="774" t="s">
        <v>17</v>
      </c>
      <c r="S24" s="775">
        <f>F24</f>
        <v>100</v>
      </c>
      <c r="T24" s="774" t="s">
        <v>17</v>
      </c>
      <c r="U24" s="775">
        <f>H24</f>
        <v>100</v>
      </c>
      <c r="V24" s="774" t="s">
        <v>17</v>
      </c>
      <c r="W24" s="775">
        <f>J24</f>
        <v>100</v>
      </c>
      <c r="X24" s="1813"/>
      <c r="Y24" s="3244"/>
      <c r="Z24" s="1814">
        <f>Q24</f>
        <v>111</v>
      </c>
      <c r="AA24" s="1811">
        <f t="shared" si="3"/>
        <v>1</v>
      </c>
      <c r="AB24" s="1811">
        <f t="shared" si="4"/>
        <v>1</v>
      </c>
      <c r="AC24" s="1811">
        <f t="shared" si="5"/>
        <v>1</v>
      </c>
    </row>
    <row r="25" spans="1:29" s="117" customFormat="1" ht="16"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44"/>
      <c r="Q25" s="1795">
        <f t="shared" si="11"/>
        <v>111</v>
      </c>
      <c r="R25" s="770" t="s">
        <v>17</v>
      </c>
      <c r="S25" s="771">
        <f>F25</f>
        <v>100</v>
      </c>
      <c r="T25" s="770" t="s">
        <v>17</v>
      </c>
      <c r="U25" s="771">
        <f>H25</f>
        <v>100</v>
      </c>
      <c r="V25" s="770" t="s">
        <v>17</v>
      </c>
      <c r="W25" s="771">
        <f>J25</f>
        <v>100</v>
      </c>
      <c r="X25" s="772"/>
      <c r="Y25" s="3244"/>
      <c r="Z25" s="55">
        <f>Q25</f>
        <v>111</v>
      </c>
      <c r="AA25" s="1811">
        <f>D25/F25</f>
        <v>1</v>
      </c>
      <c r="AB25" s="1811">
        <f>D25/H25</f>
        <v>1</v>
      </c>
      <c r="AC25" s="1811">
        <f>D25/J25</f>
        <v>1</v>
      </c>
    </row>
    <row r="26" spans="1:29" ht="29">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67"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8" t="s">
        <v>2564</v>
      </c>
      <c r="Z26" s="1814" t="str">
        <f t="shared" ref="Z26:Z34" si="15">Q26</f>
        <v>公共部分装修</v>
      </c>
      <c r="AA26" s="1811">
        <f t="shared" si="3"/>
        <v>1</v>
      </c>
      <c r="AB26" s="1811">
        <f t="shared" si="4"/>
        <v>1</v>
      </c>
      <c r="AC26" s="1811">
        <f t="shared" si="5"/>
        <v>1</v>
      </c>
    </row>
    <row r="27" spans="1:29" s="471" customFormat="1" ht="15.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8"/>
      <c r="Q27" s="776" t="str">
        <f t="shared" si="11"/>
        <v>成新率</v>
      </c>
      <c r="R27" s="777" t="s">
        <v>17</v>
      </c>
      <c r="S27" s="778" t="e">
        <f t="shared" si="12"/>
        <v>#N/A</v>
      </c>
      <c r="T27" s="777" t="s">
        <v>17</v>
      </c>
      <c r="U27" s="778" t="e">
        <f t="shared" si="13"/>
        <v>#N/A</v>
      </c>
      <c r="V27" s="777" t="s">
        <v>17</v>
      </c>
      <c r="W27" s="778" t="e">
        <f t="shared" si="14"/>
        <v>#N/A</v>
      </c>
      <c r="X27" s="779"/>
      <c r="Y27" s="3248"/>
      <c r="Z27" s="780" t="str">
        <f t="shared" si="15"/>
        <v>成新率</v>
      </c>
      <c r="AA27" s="1811" t="e">
        <f t="shared" si="3"/>
        <v>#N/A</v>
      </c>
      <c r="AB27" s="1811" t="e">
        <f t="shared" si="4"/>
        <v>#N/A</v>
      </c>
      <c r="AC27" s="1811" t="e">
        <f t="shared" si="5"/>
        <v>#N/A</v>
      </c>
    </row>
    <row r="28" spans="1:29" ht="15.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8"/>
      <c r="Q28" s="1810" t="str">
        <f t="shared" si="11"/>
        <v>物业等级</v>
      </c>
      <c r="R28" s="774" t="s">
        <v>17</v>
      </c>
      <c r="S28" s="775">
        <f t="shared" si="12"/>
        <v>100</v>
      </c>
      <c r="T28" s="774" t="s">
        <v>17</v>
      </c>
      <c r="U28" s="775">
        <f t="shared" si="13"/>
        <v>100</v>
      </c>
      <c r="V28" s="774" t="s">
        <v>17</v>
      </c>
      <c r="W28" s="775">
        <f t="shared" si="14"/>
        <v>100</v>
      </c>
      <c r="X28" s="1813"/>
      <c r="Y28" s="3248"/>
      <c r="Z28" s="1814" t="str">
        <f t="shared" si="15"/>
        <v>物业等级</v>
      </c>
      <c r="AA28" s="1811">
        <f t="shared" si="3"/>
        <v>1</v>
      </c>
      <c r="AB28" s="1811">
        <f t="shared" si="4"/>
        <v>1</v>
      </c>
      <c r="AC28" s="1811">
        <f t="shared" si="5"/>
        <v>1</v>
      </c>
    </row>
    <row r="29" spans="1:29" ht="15.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8"/>
      <c r="Q29" s="1810" t="str">
        <f t="shared" si="11"/>
        <v>有无电梯</v>
      </c>
      <c r="R29" s="774" t="s">
        <v>17</v>
      </c>
      <c r="S29" s="775">
        <f t="shared" si="12"/>
        <v>100</v>
      </c>
      <c r="T29" s="774" t="s">
        <v>17</v>
      </c>
      <c r="U29" s="775">
        <f t="shared" si="13"/>
        <v>100</v>
      </c>
      <c r="V29" s="774" t="s">
        <v>17</v>
      </c>
      <c r="W29" s="775">
        <f t="shared" si="14"/>
        <v>100</v>
      </c>
      <c r="X29" s="1813"/>
      <c r="Y29" s="3248"/>
      <c r="Z29" s="1814" t="str">
        <f t="shared" si="15"/>
        <v>有无电梯</v>
      </c>
      <c r="AA29" s="1811">
        <f t="shared" si="3"/>
        <v>1</v>
      </c>
      <c r="AB29" s="1811">
        <f t="shared" si="4"/>
        <v>1</v>
      </c>
      <c r="AC29" s="1811">
        <f t="shared" si="5"/>
        <v>1</v>
      </c>
    </row>
    <row r="30" spans="1:29" ht="15.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8"/>
      <c r="Q30" s="1810" t="str">
        <f t="shared" si="11"/>
        <v>建筑面积</v>
      </c>
      <c r="R30" s="774" t="s">
        <v>17</v>
      </c>
      <c r="S30" s="775" t="e">
        <f t="shared" si="12"/>
        <v>#N/A</v>
      </c>
      <c r="T30" s="774" t="s">
        <v>17</v>
      </c>
      <c r="U30" s="775" t="e">
        <f t="shared" si="13"/>
        <v>#N/A</v>
      </c>
      <c r="V30" s="774" t="s">
        <v>17</v>
      </c>
      <c r="W30" s="775" t="e">
        <f t="shared" si="14"/>
        <v>#N/A</v>
      </c>
      <c r="X30" s="1813"/>
      <c r="Y30" s="3248"/>
      <c r="Z30" s="1814" t="str">
        <f t="shared" si="15"/>
        <v>建筑面积</v>
      </c>
      <c r="AA30" s="1811" t="e">
        <f t="shared" si="3"/>
        <v>#N/A</v>
      </c>
      <c r="AB30" s="1811" t="e">
        <f t="shared" si="4"/>
        <v>#N/A</v>
      </c>
      <c r="AC30" s="1811" t="e">
        <f t="shared" si="5"/>
        <v>#N/A</v>
      </c>
    </row>
    <row r="31" spans="1:29" s="117" customFormat="1" ht="15.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8"/>
      <c r="Q31" s="1795" t="str">
        <f t="shared" si="11"/>
        <v>是否封闭</v>
      </c>
      <c r="R31" s="770" t="s">
        <v>17</v>
      </c>
      <c r="S31" s="771">
        <f t="shared" si="12"/>
        <v>100</v>
      </c>
      <c r="T31" s="770" t="s">
        <v>17</v>
      </c>
      <c r="U31" s="771">
        <f t="shared" si="13"/>
        <v>100</v>
      </c>
      <c r="V31" s="770" t="s">
        <v>17</v>
      </c>
      <c r="W31" s="771">
        <f t="shared" si="14"/>
        <v>100</v>
      </c>
      <c r="X31" s="772"/>
      <c r="Y31" s="3248"/>
      <c r="Z31" s="55" t="str">
        <f t="shared" si="15"/>
        <v>是否封闭</v>
      </c>
      <c r="AA31" s="773">
        <f t="shared" si="3"/>
        <v>1</v>
      </c>
      <c r="AB31" s="773">
        <f t="shared" si="4"/>
        <v>1</v>
      </c>
      <c r="AC31" s="773">
        <f t="shared" si="5"/>
        <v>1</v>
      </c>
    </row>
    <row r="32" spans="1:29" ht="15.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8" t="s">
        <v>2564</v>
      </c>
      <c r="Q32" s="1810">
        <f t="shared" si="11"/>
        <v>111</v>
      </c>
      <c r="R32" s="774" t="s">
        <v>17</v>
      </c>
      <c r="S32" s="775">
        <f t="shared" si="12"/>
        <v>100</v>
      </c>
      <c r="T32" s="774" t="s">
        <v>17</v>
      </c>
      <c r="U32" s="775">
        <f t="shared" si="13"/>
        <v>100</v>
      </c>
      <c r="V32" s="774" t="s">
        <v>17</v>
      </c>
      <c r="W32" s="775">
        <f t="shared" si="14"/>
        <v>100</v>
      </c>
      <c r="X32" s="1813"/>
      <c r="Y32" s="3248" t="s">
        <v>2564</v>
      </c>
      <c r="Z32" s="1814">
        <f t="shared" si="15"/>
        <v>111</v>
      </c>
      <c r="AA32" s="1811">
        <f t="shared" si="3"/>
        <v>1</v>
      </c>
      <c r="AB32" s="1811">
        <f t="shared" si="4"/>
        <v>1</v>
      </c>
      <c r="AC32" s="1811">
        <f t="shared" si="5"/>
        <v>1</v>
      </c>
    </row>
    <row r="33" spans="1:29" ht="15.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8"/>
      <c r="Q33" s="1810">
        <f t="shared" si="11"/>
        <v>111</v>
      </c>
      <c r="R33" s="774" t="s">
        <v>17</v>
      </c>
      <c r="S33" s="775">
        <f t="shared" si="12"/>
        <v>100</v>
      </c>
      <c r="T33" s="774" t="s">
        <v>17</v>
      </c>
      <c r="U33" s="775">
        <f t="shared" si="13"/>
        <v>100</v>
      </c>
      <c r="V33" s="774" t="s">
        <v>17</v>
      </c>
      <c r="W33" s="775">
        <f t="shared" si="14"/>
        <v>100</v>
      </c>
      <c r="X33" s="1813"/>
      <c r="Y33" s="3248"/>
      <c r="Z33" s="1814">
        <f t="shared" si="15"/>
        <v>111</v>
      </c>
      <c r="AA33" s="1811">
        <f t="shared" si="3"/>
        <v>1</v>
      </c>
      <c r="AB33" s="1811">
        <f t="shared" si="4"/>
        <v>1</v>
      </c>
      <c r="AC33" s="1811">
        <f t="shared" si="5"/>
        <v>1</v>
      </c>
    </row>
    <row r="34" spans="1:29" ht="16"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48"/>
      <c r="Q34" s="1810">
        <f t="shared" si="11"/>
        <v>111</v>
      </c>
      <c r="R34" s="774" t="s">
        <v>17</v>
      </c>
      <c r="S34" s="775">
        <f t="shared" si="12"/>
        <v>100</v>
      </c>
      <c r="T34" s="774" t="s">
        <v>17</v>
      </c>
      <c r="U34" s="775">
        <f t="shared" si="13"/>
        <v>100</v>
      </c>
      <c r="V34" s="774" t="s">
        <v>17</v>
      </c>
      <c r="W34" s="775">
        <f t="shared" si="14"/>
        <v>100</v>
      </c>
      <c r="X34" s="1813"/>
      <c r="Y34" s="3248"/>
      <c r="Z34" s="1814">
        <f t="shared" si="15"/>
        <v>111</v>
      </c>
      <c r="AA34" s="1811">
        <f t="shared" si="3"/>
        <v>1</v>
      </c>
      <c r="AB34" s="1811">
        <f t="shared" si="4"/>
        <v>1</v>
      </c>
      <c r="AC34" s="1811">
        <f t="shared" si="5"/>
        <v>1</v>
      </c>
    </row>
    <row r="35" spans="1:29">
      <c r="A35" s="479" t="s">
        <v>2576</v>
      </c>
      <c r="B35" s="480"/>
      <c r="C35" s="1407" t="s">
        <v>1</v>
      </c>
      <c r="D35" s="1408"/>
      <c r="E35" s="1409"/>
      <c r="F35" s="1410"/>
      <c r="G35" s="1411"/>
      <c r="H35" s="1412"/>
      <c r="I35" s="1409"/>
      <c r="J35" s="1412"/>
      <c r="K35" s="783"/>
      <c r="L35" s="1143"/>
      <c r="M35" s="1144"/>
      <c r="N35" s="1131"/>
      <c r="O35" s="1144"/>
      <c r="P35" s="3241" t="str">
        <f>A35</f>
        <v>成交单价（元/平方米）</v>
      </c>
      <c r="Q35" s="3241"/>
      <c r="R35" s="3242">
        <f>E35</f>
        <v>0</v>
      </c>
      <c r="S35" s="3242"/>
      <c r="T35" s="3242">
        <f>G35</f>
        <v>0</v>
      </c>
      <c r="U35" s="3242"/>
      <c r="V35" s="3242">
        <f>I35</f>
        <v>0</v>
      </c>
      <c r="W35" s="3242"/>
      <c r="X35" s="759"/>
      <c r="Y35" s="781"/>
      <c r="Z35" s="759"/>
      <c r="AA35" s="759"/>
      <c r="AB35" s="759"/>
      <c r="AC35" s="759"/>
    </row>
    <row r="36" spans="1:29" ht="14.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41" t="str">
        <f>A36</f>
        <v>比较价值（元/平方米）</v>
      </c>
      <c r="Q36" s="3241"/>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9"/>
      <c r="Y36" s="759"/>
      <c r="Z36" s="759"/>
      <c r="AA36" s="759"/>
      <c r="AB36" s="759"/>
      <c r="AC36" s="759"/>
    </row>
    <row r="37" spans="1:29" ht="14.5" thickBot="1">
      <c r="A37" s="492" t="s">
        <v>2669</v>
      </c>
      <c r="B37" s="493"/>
      <c r="C37" s="1417" t="e">
        <f>R37</f>
        <v>#DIV/0!</v>
      </c>
      <c r="D37" s="1417"/>
      <c r="E37" s="1417"/>
      <c r="F37" s="1417"/>
      <c r="G37" s="1417"/>
      <c r="H37" s="1417"/>
      <c r="I37" s="1417"/>
      <c r="J37" s="1417"/>
      <c r="K37" s="785"/>
      <c r="L37" s="1143"/>
      <c r="M37" s="1144"/>
      <c r="N37" s="1144"/>
      <c r="O37" s="1144"/>
      <c r="P37" s="3238" t="str">
        <f>A37</f>
        <v>估价对象XX用房的比较价值（楼面单价，元/平方米）</v>
      </c>
      <c r="Q37" s="3239"/>
      <c r="R37" s="3240" t="e">
        <f>IF(F1="售价",ROUND(AVERAGE(R36:V36),0),ROUND(AVERAGE(R36:V36),1))</f>
        <v>#DIV/0!</v>
      </c>
      <c r="S37" s="3240"/>
      <c r="T37" s="3240"/>
      <c r="U37" s="3240"/>
      <c r="V37" s="3240"/>
      <c r="W37" s="324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5" thickBot="1">
      <c r="A45" s="763" t="s">
        <v>2673</v>
      </c>
      <c r="B45" s="759"/>
      <c r="C45" s="764"/>
      <c r="D45" s="764"/>
      <c r="E45" s="764"/>
      <c r="F45" s="765"/>
      <c r="G45" s="765"/>
      <c r="H45" s="764"/>
      <c r="I45" s="764"/>
      <c r="J45" s="764"/>
      <c r="K45" s="766"/>
      <c r="L45" s="767"/>
      <c r="M45" s="764"/>
      <c r="N45" s="764"/>
      <c r="O45" s="764"/>
      <c r="P45" s="503"/>
      <c r="Q45" s="504"/>
    </row>
    <row r="46" spans="1:29" s="508" customFormat="1">
      <c r="A46" s="505" t="s">
        <v>2547</v>
      </c>
      <c r="B46" s="506"/>
      <c r="C46" s="1574" t="str">
        <f>YEAR(C7)&amp;"-"&amp;MONTH(C7)</f>
        <v>2020-2</v>
      </c>
      <c r="D46" s="1575">
        <f>EDATE(C46,-1)</f>
        <v>43831</v>
      </c>
      <c r="E46" s="1575">
        <f t="shared" ref="E46:O46" si="16">EDATE(D46,-1)</f>
        <v>43800</v>
      </c>
      <c r="F46" s="1575">
        <f t="shared" si="16"/>
        <v>43770</v>
      </c>
      <c r="G46" s="1575">
        <f t="shared" si="16"/>
        <v>43739</v>
      </c>
      <c r="H46" s="1575">
        <f t="shared" si="16"/>
        <v>43709</v>
      </c>
      <c r="I46" s="1575">
        <f t="shared" si="16"/>
        <v>43678</v>
      </c>
      <c r="J46" s="1575">
        <f t="shared" si="16"/>
        <v>43647</v>
      </c>
      <c r="K46" s="1575">
        <f t="shared" si="16"/>
        <v>43617</v>
      </c>
      <c r="L46" s="1575">
        <f t="shared" si="16"/>
        <v>43586</v>
      </c>
      <c r="M46" s="1575">
        <f t="shared" si="16"/>
        <v>43556</v>
      </c>
      <c r="N46" s="1575">
        <f t="shared" si="16"/>
        <v>43525</v>
      </c>
      <c r="O46" s="1575">
        <f t="shared" si="16"/>
        <v>43497</v>
      </c>
      <c r="P46" s="507"/>
    </row>
    <row r="47" spans="1:29" s="117" customFormat="1">
      <c r="A47" s="509"/>
      <c r="B47" s="510"/>
      <c r="C47" s="1573">
        <v>100</v>
      </c>
      <c r="D47" s="512"/>
      <c r="E47" s="512"/>
      <c r="F47" s="512"/>
      <c r="G47" s="512"/>
      <c r="H47" s="512"/>
      <c r="I47" s="512"/>
      <c r="J47" s="512"/>
      <c r="K47" s="512"/>
      <c r="L47" s="512"/>
      <c r="M47" s="513"/>
      <c r="N47" s="512"/>
      <c r="O47" s="514"/>
      <c r="P47" s="504"/>
    </row>
    <row r="48" spans="1:29" s="117" customFormat="1" ht="14.5" thickBot="1">
      <c r="A48" s="515" t="s">
        <v>2584</v>
      </c>
      <c r="B48" s="516"/>
      <c r="C48" s="517"/>
      <c r="D48" s="518"/>
      <c r="E48" s="518"/>
      <c r="F48" s="518"/>
      <c r="G48" s="518"/>
      <c r="H48" s="518"/>
      <c r="I48" s="518"/>
      <c r="J48" s="518"/>
      <c r="K48" s="518"/>
      <c r="L48" s="518"/>
      <c r="M48" s="519"/>
      <c r="N48" s="518"/>
      <c r="O48" s="520"/>
      <c r="P48" s="504"/>
      <c r="Q48" s="504"/>
    </row>
    <row r="49" spans="1:17" s="117" customFormat="1">
      <c r="A49" s="521" t="s">
        <v>2549</v>
      </c>
      <c r="B49" s="510"/>
      <c r="C49" s="522" t="s">
        <v>2651</v>
      </c>
      <c r="D49" s="523"/>
      <c r="E49" s="523"/>
      <c r="F49" s="523"/>
      <c r="G49" s="523"/>
      <c r="H49" s="523"/>
      <c r="I49" s="523"/>
      <c r="J49" s="523"/>
      <c r="K49" s="523"/>
      <c r="L49" s="524"/>
      <c r="M49" s="525"/>
      <c r="N49" s="1151"/>
      <c r="O49" s="1151"/>
      <c r="P49" s="526"/>
      <c r="Q49" s="504"/>
    </row>
    <row r="50" spans="1:17" s="117" customFormat="1" ht="14.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4.5" thickBot="1">
      <c r="A52" s="534"/>
      <c r="B52" s="535"/>
      <c r="C52" s="536">
        <v>100</v>
      </c>
      <c r="D52" s="536"/>
      <c r="E52" s="536"/>
      <c r="F52" s="536"/>
      <c r="G52" s="536"/>
      <c r="H52" s="536"/>
      <c r="I52" s="536"/>
      <c r="J52" s="536"/>
      <c r="K52" s="536"/>
      <c r="L52" s="536"/>
      <c r="M52" s="537"/>
      <c r="N52" s="1153"/>
      <c r="O52" s="1153"/>
      <c r="P52" s="45"/>
      <c r="Q52" s="504"/>
    </row>
    <row r="53" spans="1:17" ht="28.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4.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5" thickTop="1">
      <c r="A55" s="534"/>
      <c r="B55" s="660">
        <f>B11</f>
        <v>111</v>
      </c>
      <c r="C55" s="549"/>
      <c r="D55" s="549"/>
      <c r="E55" s="549"/>
      <c r="F55" s="549"/>
      <c r="G55" s="549"/>
      <c r="H55" s="549"/>
      <c r="I55" s="549"/>
      <c r="J55" s="549"/>
      <c r="K55" s="550"/>
      <c r="L55" s="551"/>
      <c r="M55" s="552"/>
      <c r="N55" s="1152"/>
      <c r="O55" s="1152"/>
      <c r="P55" s="45"/>
      <c r="Q55" s="504"/>
    </row>
    <row r="56" spans="1:17" ht="14.5" thickBot="1">
      <c r="A56" s="534"/>
      <c r="B56" s="535"/>
      <c r="C56" s="560"/>
      <c r="D56" s="536"/>
      <c r="E56" s="536"/>
      <c r="F56" s="536"/>
      <c r="G56" s="536"/>
      <c r="H56" s="536"/>
      <c r="I56" s="536"/>
      <c r="J56" s="536"/>
      <c r="K56" s="536"/>
      <c r="L56" s="536"/>
      <c r="M56" s="537"/>
      <c r="N56" s="1153"/>
      <c r="O56" s="1153"/>
      <c r="P56" s="45"/>
      <c r="Q56" s="504"/>
    </row>
    <row r="57" spans="1:17" s="471" customFormat="1" ht="14.5" thickTop="1">
      <c r="A57" s="553"/>
      <c r="B57" s="538">
        <f>B12</f>
        <v>111</v>
      </c>
      <c r="C57" s="549"/>
      <c r="D57" s="549"/>
      <c r="E57" s="549"/>
      <c r="F57" s="549"/>
      <c r="G57" s="554"/>
      <c r="H57" s="555"/>
      <c r="I57" s="555"/>
      <c r="J57" s="555"/>
      <c r="K57" s="555"/>
      <c r="L57" s="556"/>
      <c r="M57" s="557"/>
      <c r="N57" s="1154"/>
      <c r="O57" s="1154"/>
      <c r="P57" s="558"/>
      <c r="Q57" s="559"/>
    </row>
    <row r="58" spans="1:17" s="471" customFormat="1" ht="14.5" thickBot="1">
      <c r="A58" s="553"/>
      <c r="B58" s="543"/>
      <c r="C58" s="560"/>
      <c r="D58" s="536"/>
      <c r="E58" s="536"/>
      <c r="F58" s="536"/>
      <c r="G58" s="536"/>
      <c r="H58" s="536"/>
      <c r="I58" s="536"/>
      <c r="J58" s="536"/>
      <c r="K58" s="536"/>
      <c r="L58" s="536"/>
      <c r="M58" s="537"/>
      <c r="N58" s="1153"/>
      <c r="O58" s="1153"/>
      <c r="P58" s="558"/>
      <c r="Q58" s="559"/>
    </row>
    <row r="59" spans="1:17" s="471" customFormat="1" ht="14.5" thickTop="1">
      <c r="A59" s="553"/>
      <c r="B59" s="538">
        <f>B13</f>
        <v>111</v>
      </c>
      <c r="C59" s="549"/>
      <c r="D59" s="549"/>
      <c r="E59" s="549"/>
      <c r="F59" s="549"/>
      <c r="G59" s="554"/>
      <c r="H59" s="555"/>
      <c r="I59" s="555"/>
      <c r="J59" s="555"/>
      <c r="K59" s="555"/>
      <c r="L59" s="556"/>
      <c r="M59" s="557"/>
      <c r="N59" s="1154"/>
      <c r="O59" s="1154"/>
      <c r="P59" s="470"/>
      <c r="Q59" s="561"/>
    </row>
    <row r="60" spans="1:17" s="471" customFormat="1" ht="14.5" thickBot="1">
      <c r="A60" s="553"/>
      <c r="B60" s="543"/>
      <c r="C60" s="560"/>
      <c r="D60" s="560"/>
      <c r="E60" s="560"/>
      <c r="F60" s="560"/>
      <c r="G60" s="560"/>
      <c r="H60" s="562"/>
      <c r="I60" s="562"/>
      <c r="J60" s="562"/>
      <c r="K60" s="562"/>
      <c r="L60" s="562"/>
      <c r="M60" s="563"/>
      <c r="N60" s="1154"/>
      <c r="O60" s="1154"/>
      <c r="P60" s="558"/>
      <c r="Q60" s="559"/>
    </row>
    <row r="61" spans="1:17" ht="14.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4.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8.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4.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4.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4.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4.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4.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4.5" thickTop="1">
      <c r="A69" s="534"/>
      <c r="B69" s="538" t="s">
        <v>2728</v>
      </c>
      <c r="C69" s="554"/>
      <c r="D69" s="554"/>
      <c r="E69" s="554"/>
      <c r="F69" s="554"/>
      <c r="G69" s="554"/>
      <c r="H69" s="583"/>
      <c r="I69" s="583"/>
      <c r="J69" s="583"/>
      <c r="K69" s="584"/>
      <c r="L69" s="585"/>
      <c r="M69" s="586"/>
      <c r="N69" s="1152"/>
      <c r="O69" s="1152"/>
      <c r="P69" s="45"/>
      <c r="Q69" s="504"/>
    </row>
    <row r="70" spans="1:17" ht="14.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5" thickTop="1">
      <c r="A71" s="579"/>
      <c r="B71" s="538">
        <f>B23</f>
        <v>111</v>
      </c>
      <c r="C71" s="549"/>
      <c r="D71" s="549"/>
      <c r="E71" s="549"/>
      <c r="F71" s="549"/>
      <c r="G71" s="554"/>
      <c r="H71" s="554"/>
      <c r="I71" s="554"/>
      <c r="J71" s="554"/>
      <c r="K71" s="554"/>
      <c r="L71" s="580"/>
      <c r="M71" s="581"/>
      <c r="N71" s="1151"/>
      <c r="O71" s="1151"/>
      <c r="P71" s="45"/>
      <c r="Q71" s="504"/>
    </row>
    <row r="72" spans="1:17" s="117" customFormat="1" ht="14.5" thickBot="1">
      <c r="A72" s="579"/>
      <c r="B72" s="543"/>
      <c r="C72" s="560"/>
      <c r="D72" s="536"/>
      <c r="E72" s="536"/>
      <c r="F72" s="536"/>
      <c r="G72" s="536"/>
      <c r="H72" s="536"/>
      <c r="I72" s="536"/>
      <c r="J72" s="536"/>
      <c r="K72" s="536"/>
      <c r="L72" s="536"/>
      <c r="M72" s="537"/>
      <c r="N72" s="1153"/>
      <c r="O72" s="1153"/>
      <c r="P72" s="45"/>
      <c r="Q72" s="504"/>
    </row>
    <row r="73" spans="1:17" s="117" customFormat="1" ht="14.5" thickTop="1">
      <c r="A73" s="579"/>
      <c r="B73" s="538">
        <f>B24</f>
        <v>111</v>
      </c>
      <c r="C73" s="549"/>
      <c r="D73" s="549"/>
      <c r="E73" s="549"/>
      <c r="F73" s="549"/>
      <c r="G73" s="554"/>
      <c r="H73" s="554"/>
      <c r="I73" s="554"/>
      <c r="J73" s="554"/>
      <c r="K73" s="554"/>
      <c r="L73" s="554"/>
      <c r="M73" s="581"/>
      <c r="N73" s="1151"/>
      <c r="O73" s="1151"/>
      <c r="P73" s="45"/>
      <c r="Q73" s="504"/>
    </row>
    <row r="74" spans="1:17" s="117" customFormat="1" ht="14.5" thickBot="1">
      <c r="A74" s="579"/>
      <c r="B74" s="543"/>
      <c r="C74" s="560"/>
      <c r="D74" s="536"/>
      <c r="E74" s="536"/>
      <c r="F74" s="536"/>
      <c r="G74" s="536"/>
      <c r="H74" s="536"/>
      <c r="I74" s="536"/>
      <c r="J74" s="536"/>
      <c r="K74" s="536"/>
      <c r="L74" s="536"/>
      <c r="M74" s="537"/>
      <c r="N74" s="1153"/>
      <c r="O74" s="1153"/>
      <c r="P74" s="45"/>
      <c r="Q74" s="504"/>
    </row>
    <row r="75" spans="1:17" s="471" customFormat="1" ht="14.5" thickTop="1">
      <c r="A75" s="553"/>
      <c r="B75" s="538">
        <f>B25</f>
        <v>111</v>
      </c>
      <c r="C75" s="549"/>
      <c r="D75" s="549"/>
      <c r="E75" s="549"/>
      <c r="F75" s="549"/>
      <c r="G75" s="554"/>
      <c r="H75" s="555"/>
      <c r="I75" s="555"/>
      <c r="J75" s="555"/>
      <c r="K75" s="555"/>
      <c r="L75" s="556"/>
      <c r="M75" s="557"/>
      <c r="N75" s="1154"/>
      <c r="O75" s="1154"/>
      <c r="P75" s="558"/>
      <c r="Q75" s="559"/>
    </row>
    <row r="76" spans="1:17" s="471" customFormat="1" ht="14.5" thickBot="1">
      <c r="A76" s="553"/>
      <c r="B76" s="543"/>
      <c r="C76" s="560"/>
      <c r="D76" s="560"/>
      <c r="E76" s="560"/>
      <c r="F76" s="560"/>
      <c r="G76" s="536"/>
      <c r="H76" s="536"/>
      <c r="I76" s="536"/>
      <c r="J76" s="536"/>
      <c r="K76" s="536"/>
      <c r="L76" s="536"/>
      <c r="M76" s="537"/>
      <c r="N76" s="1154"/>
      <c r="O76" s="1154"/>
      <c r="P76" s="558"/>
      <c r="Q76" s="559"/>
    </row>
    <row r="77" spans="1:17" ht="14.5" thickTop="1">
      <c r="A77" s="527" t="s">
        <v>2562</v>
      </c>
      <c r="B77" s="528" t="s">
        <v>2615</v>
      </c>
      <c r="C77" s="554"/>
      <c r="D77" s="554"/>
      <c r="E77" s="530"/>
      <c r="F77" s="530"/>
      <c r="G77" s="530"/>
      <c r="H77" s="530"/>
      <c r="I77" s="530"/>
      <c r="J77" s="530"/>
      <c r="K77" s="531"/>
      <c r="L77" s="532"/>
      <c r="M77" s="533"/>
      <c r="N77" s="1152"/>
      <c r="O77" s="1152"/>
      <c r="P77" s="45"/>
      <c r="Q77" s="504"/>
    </row>
    <row r="78" spans="1:17" ht="14.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4.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4.5" thickTop="1">
      <c r="A82" s="599"/>
      <c r="B82" s="546" t="s">
        <v>2732</v>
      </c>
      <c r="C82" s="554"/>
      <c r="D82" s="554"/>
      <c r="E82" s="583"/>
      <c r="F82" s="583"/>
      <c r="G82" s="583"/>
      <c r="H82" s="583"/>
      <c r="I82" s="583"/>
      <c r="J82" s="583"/>
      <c r="K82" s="584"/>
      <c r="L82" s="585"/>
      <c r="M82" s="586"/>
      <c r="N82" s="1152"/>
      <c r="O82" s="1152"/>
      <c r="P82" s="45"/>
      <c r="Q82" s="504"/>
    </row>
    <row r="83" spans="1:17" ht="14.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4.5" thickTop="1">
      <c r="A84" s="599"/>
      <c r="B84" s="538" t="s">
        <v>2740</v>
      </c>
      <c r="C84" s="554"/>
      <c r="D84" s="554"/>
      <c r="E84" s="554"/>
      <c r="F84" s="554"/>
      <c r="G84" s="554"/>
      <c r="H84" s="554"/>
      <c r="I84" s="583"/>
      <c r="J84" s="583"/>
      <c r="K84" s="584"/>
      <c r="L84" s="585"/>
      <c r="M84" s="586"/>
      <c r="N84" s="1152"/>
      <c r="O84" s="1152"/>
      <c r="P84" s="45"/>
      <c r="Q84" s="504"/>
    </row>
    <row r="85" spans="1:17" ht="14.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4.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5" thickBot="1">
      <c r="A88" s="534"/>
      <c r="B88" s="543"/>
      <c r="C88" s="560"/>
      <c r="D88" s="536"/>
      <c r="E88" s="536"/>
      <c r="F88" s="536"/>
      <c r="G88" s="536"/>
      <c r="H88" s="536"/>
      <c r="I88" s="536"/>
      <c r="J88" s="536"/>
      <c r="K88" s="536"/>
      <c r="L88" s="536"/>
      <c r="M88" s="536"/>
      <c r="N88" s="1153"/>
      <c r="O88" s="1153"/>
      <c r="P88" s="45"/>
      <c r="Q88" s="504"/>
    </row>
    <row r="89" spans="1:17" s="471" customFormat="1" ht="14.5" thickTop="1">
      <c r="A89" s="593"/>
      <c r="B89" s="538" t="s">
        <v>2742</v>
      </c>
      <c r="C89" s="554"/>
      <c r="D89" s="554"/>
      <c r="E89" s="554"/>
      <c r="F89" s="554"/>
      <c r="G89" s="554"/>
      <c r="H89" s="554"/>
      <c r="I89" s="554"/>
      <c r="J89" s="554"/>
      <c r="K89" s="554"/>
      <c r="L89" s="554"/>
      <c r="M89" s="581"/>
      <c r="N89" s="1154"/>
      <c r="O89" s="1154"/>
      <c r="P89" s="558"/>
      <c r="Q89" s="559"/>
    </row>
    <row r="90" spans="1:17" s="471" customFormat="1" ht="14.5" thickBot="1">
      <c r="A90" s="553"/>
      <c r="B90" s="543"/>
      <c r="C90" s="560"/>
      <c r="D90" s="536"/>
      <c r="E90" s="536"/>
      <c r="F90" s="536"/>
      <c r="G90" s="536"/>
      <c r="H90" s="536"/>
      <c r="I90" s="536"/>
      <c r="J90" s="536"/>
      <c r="K90" s="536"/>
      <c r="L90" s="536"/>
      <c r="M90" s="537"/>
      <c r="N90" s="1154"/>
      <c r="O90" s="1154"/>
      <c r="P90" s="558"/>
      <c r="Q90" s="559"/>
    </row>
    <row r="91" spans="1:17" ht="14.5" thickTop="1">
      <c r="A91" s="599"/>
      <c r="B91" s="538">
        <f>B32</f>
        <v>111</v>
      </c>
      <c r="C91" s="549"/>
      <c r="D91" s="549"/>
      <c r="E91" s="549"/>
      <c r="F91" s="549"/>
      <c r="G91" s="554"/>
      <c r="H91" s="555"/>
      <c r="I91" s="555"/>
      <c r="J91" s="555"/>
      <c r="K91" s="555"/>
      <c r="L91" s="556"/>
      <c r="M91" s="557"/>
      <c r="N91" s="1152"/>
      <c r="O91" s="1152"/>
      <c r="P91" s="45"/>
      <c r="Q91" s="504"/>
    </row>
    <row r="92" spans="1:17" ht="14.5" thickBot="1">
      <c r="A92" s="534"/>
      <c r="B92" s="543"/>
      <c r="C92" s="560"/>
      <c r="D92" s="536"/>
      <c r="E92" s="536"/>
      <c r="F92" s="536"/>
      <c r="G92" s="560"/>
      <c r="H92" s="562"/>
      <c r="I92" s="562"/>
      <c r="J92" s="562"/>
      <c r="K92" s="562"/>
      <c r="L92" s="562"/>
      <c r="M92" s="563"/>
      <c r="N92" s="1153"/>
      <c r="O92" s="1153"/>
      <c r="P92" s="45"/>
      <c r="Q92" s="504"/>
    </row>
    <row r="93" spans="1:17" ht="14.5" thickTop="1">
      <c r="A93" s="599"/>
      <c r="B93" s="538">
        <f>B33</f>
        <v>111</v>
      </c>
      <c r="C93" s="549"/>
      <c r="D93" s="549"/>
      <c r="E93" s="549"/>
      <c r="F93" s="549"/>
      <c r="G93" s="554"/>
      <c r="H93" s="555"/>
      <c r="I93" s="555"/>
      <c r="J93" s="555"/>
      <c r="K93" s="555"/>
      <c r="L93" s="556"/>
      <c r="M93" s="557"/>
      <c r="N93" s="1152"/>
      <c r="O93" s="1152"/>
      <c r="P93" s="45"/>
      <c r="Q93" s="504"/>
    </row>
    <row r="94" spans="1:17" ht="14.5" thickBot="1">
      <c r="A94" s="534"/>
      <c r="B94" s="543"/>
      <c r="C94" s="560"/>
      <c r="D94" s="536"/>
      <c r="E94" s="536"/>
      <c r="F94" s="536"/>
      <c r="G94" s="560"/>
      <c r="H94" s="562"/>
      <c r="I94" s="562"/>
      <c r="J94" s="562"/>
      <c r="K94" s="562"/>
      <c r="L94" s="562"/>
      <c r="M94" s="563"/>
      <c r="N94" s="1153"/>
      <c r="O94" s="1153"/>
      <c r="P94" s="45"/>
      <c r="Q94" s="504"/>
    </row>
    <row r="95" spans="1:17" ht="14.5" thickTop="1">
      <c r="A95" s="599"/>
      <c r="B95" s="636">
        <f>B34</f>
        <v>111</v>
      </c>
      <c r="C95" s="549"/>
      <c r="D95" s="549"/>
      <c r="E95" s="549"/>
      <c r="F95" s="549"/>
      <c r="G95" s="554"/>
      <c r="H95" s="555"/>
      <c r="I95" s="555"/>
      <c r="J95" s="555"/>
      <c r="K95" s="555"/>
      <c r="L95" s="556"/>
      <c r="M95" s="557"/>
      <c r="N95" s="1153"/>
      <c r="O95" s="1153"/>
      <c r="P95" s="637"/>
      <c r="Q95" s="638"/>
    </row>
    <row r="96" spans="1:17" ht="14.5" thickBot="1">
      <c r="A96" s="534"/>
      <c r="B96" s="543"/>
      <c r="C96" s="560"/>
      <c r="D96" s="560"/>
      <c r="E96" s="560"/>
      <c r="F96" s="560"/>
      <c r="G96" s="560"/>
      <c r="H96" s="562"/>
      <c r="I96" s="562"/>
      <c r="J96" s="562"/>
      <c r="K96" s="562"/>
      <c r="L96" s="562"/>
      <c r="M96" s="563"/>
      <c r="N96" s="1153"/>
      <c r="O96" s="1153"/>
      <c r="P96" s="45"/>
      <c r="Q96" s="504"/>
    </row>
    <row r="97" spans="1:20" ht="14.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zoomScale="80" zoomScaleNormal="80" workbookViewId="0">
      <selection sqref="A1:XFD1048576"/>
    </sheetView>
  </sheetViews>
  <sheetFormatPr defaultColWidth="9" defaultRowHeight="14"/>
  <cols>
    <col min="1" max="1" width="14.36328125" style="403" customWidth="1"/>
    <col min="2" max="2" width="15.81640625" style="403" customWidth="1"/>
    <col min="3" max="3" width="14.36328125" style="403" customWidth="1"/>
    <col min="4" max="4" width="14.089843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11" t="s">
        <v>2646</v>
      </c>
      <c r="S4" s="3212"/>
      <c r="T4" s="3211" t="s">
        <v>2647</v>
      </c>
      <c r="U4" s="3212"/>
      <c r="V4" s="3236" t="s">
        <v>2648</v>
      </c>
      <c r="W4" s="3236"/>
      <c r="X4" s="1813"/>
      <c r="Y4" s="3211" t="s">
        <v>2650</v>
      </c>
      <c r="Z4" s="3212"/>
      <c r="AA4" s="3206" t="s">
        <v>2646</v>
      </c>
      <c r="AB4" s="3207" t="s">
        <v>2647</v>
      </c>
      <c r="AC4" s="3206" t="s">
        <v>2648</v>
      </c>
    </row>
    <row r="5" spans="1:30">
      <c r="A5" s="404"/>
      <c r="B5" s="405"/>
      <c r="C5" s="3217" t="s">
        <v>2541</v>
      </c>
      <c r="D5" s="3218"/>
      <c r="E5" s="3215" t="s">
        <v>2542</v>
      </c>
      <c r="F5" s="3216"/>
      <c r="G5" s="3217" t="s">
        <v>2543</v>
      </c>
      <c r="H5" s="3218"/>
      <c r="I5" s="3217" t="s">
        <v>2544</v>
      </c>
      <c r="J5" s="3218"/>
      <c r="K5" s="610"/>
      <c r="L5" s="1130"/>
      <c r="M5" s="1131"/>
      <c r="N5" s="1131"/>
      <c r="O5" s="1131"/>
      <c r="P5" s="3230"/>
      <c r="Q5" s="3231"/>
      <c r="R5" s="3213"/>
      <c r="S5" s="3214"/>
      <c r="T5" s="3213"/>
      <c r="U5" s="3214"/>
      <c r="V5" s="3236"/>
      <c r="W5" s="3236"/>
      <c r="X5" s="1813"/>
      <c r="Y5" s="3213"/>
      <c r="Z5" s="3214"/>
      <c r="AA5" s="3207"/>
      <c r="AB5" s="3207"/>
      <c r="AC5" s="3207"/>
    </row>
    <row r="6" spans="1:30" ht="15" thickBot="1">
      <c r="A6" s="406"/>
      <c r="B6" s="407"/>
      <c r="C6" s="3219" t="s">
        <v>2545</v>
      </c>
      <c r="D6" s="3220"/>
      <c r="E6" s="3221" t="s">
        <v>2545</v>
      </c>
      <c r="F6" s="3222"/>
      <c r="G6" s="3219" t="s">
        <v>2545</v>
      </c>
      <c r="H6" s="3220"/>
      <c r="I6" s="3219" t="s">
        <v>2545</v>
      </c>
      <c r="J6" s="3220"/>
      <c r="K6" s="610" t="s">
        <v>2546</v>
      </c>
      <c r="L6" s="1130"/>
      <c r="M6" s="1131"/>
      <c r="N6" s="1131"/>
      <c r="O6" s="1131"/>
      <c r="P6" s="3232"/>
      <c r="Q6" s="3233"/>
      <c r="R6" s="3213"/>
      <c r="S6" s="3214"/>
      <c r="T6" s="3234"/>
      <c r="U6" s="3235"/>
      <c r="V6" s="3236"/>
      <c r="W6" s="3236"/>
      <c r="X6" s="1813"/>
      <c r="Y6" s="3234"/>
      <c r="Z6" s="3235"/>
      <c r="AA6" s="3208"/>
      <c r="AB6" s="3208"/>
      <c r="AC6" s="3208"/>
    </row>
    <row r="7" spans="1:30" s="117" customFormat="1" ht="14.5" thickBot="1">
      <c r="A7" s="408" t="s">
        <v>2547</v>
      </c>
      <c r="B7" s="409"/>
      <c r="C7" s="410">
        <f>'数据-取费表'!B2</f>
        <v>43872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09" t="s">
        <v>2548</v>
      </c>
      <c r="Q7" s="3237"/>
      <c r="R7" s="770" t="s">
        <v>17</v>
      </c>
      <c r="S7" s="771">
        <f t="shared" ref="S7:S15" si="0">F7</f>
        <v>0</v>
      </c>
      <c r="T7" s="770" t="s">
        <v>17</v>
      </c>
      <c r="U7" s="771">
        <f t="shared" ref="U7:U15" si="1">H7</f>
        <v>0</v>
      </c>
      <c r="V7" s="770" t="s">
        <v>17</v>
      </c>
      <c r="W7" s="771">
        <f t="shared" ref="W7:W15" si="2">J7</f>
        <v>0</v>
      </c>
      <c r="X7" s="772"/>
      <c r="Y7" s="3209" t="s">
        <v>2548</v>
      </c>
      <c r="Z7" s="3210"/>
      <c r="AA7" s="773" t="e">
        <f>D7/F7</f>
        <v>#DIV/0!</v>
      </c>
      <c r="AB7" s="773" t="e">
        <f>D7/H7</f>
        <v>#DIV/0!</v>
      </c>
      <c r="AC7" s="773" t="e">
        <f>D7/J7</f>
        <v>#DIV/0!</v>
      </c>
    </row>
    <row r="8" spans="1:30" s="117" customFormat="1" ht="14.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9" t="s">
        <v>2551</v>
      </c>
      <c r="Q8" s="3210"/>
      <c r="R8" s="770" t="s">
        <v>17</v>
      </c>
      <c r="S8" s="771">
        <f t="shared" si="0"/>
        <v>0</v>
      </c>
      <c r="T8" s="770" t="s">
        <v>17</v>
      </c>
      <c r="U8" s="771">
        <f t="shared" si="1"/>
        <v>0</v>
      </c>
      <c r="V8" s="770" t="s">
        <v>17</v>
      </c>
      <c r="W8" s="771">
        <f t="shared" si="2"/>
        <v>0</v>
      </c>
      <c r="X8" s="772"/>
      <c r="Y8" s="3209" t="s">
        <v>2551</v>
      </c>
      <c r="Z8" s="3210"/>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41" t="s">
        <v>2554</v>
      </c>
      <c r="Q9" s="1795"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30" s="427" customFormat="1" ht="28">
      <c r="A10" s="421"/>
      <c r="B10" s="422" t="s">
        <v>2556</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241"/>
      <c r="Q10" s="1795" t="str">
        <f t="shared" si="6"/>
        <v>土地使用年限（年）</v>
      </c>
      <c r="R10" s="770" t="s">
        <v>17</v>
      </c>
      <c r="S10" s="771">
        <f t="shared" si="0"/>
        <v>113</v>
      </c>
      <c r="T10" s="770" t="s">
        <v>17</v>
      </c>
      <c r="U10" s="771">
        <f t="shared" si="1"/>
        <v>113</v>
      </c>
      <c r="V10" s="770" t="s">
        <v>17</v>
      </c>
      <c r="W10" s="771">
        <f t="shared" si="2"/>
        <v>113</v>
      </c>
      <c r="X10" s="772"/>
      <c r="Y10" s="3056"/>
      <c r="Z10" s="55" t="str">
        <f t="shared" si="7"/>
        <v>土地使用年限（年）</v>
      </c>
      <c r="AA10" s="773">
        <f t="shared" si="3"/>
        <v>0.88495575221238942</v>
      </c>
      <c r="AB10" s="773">
        <f t="shared" si="4"/>
        <v>0.88495575221238942</v>
      </c>
      <c r="AC10" s="773">
        <f t="shared" si="5"/>
        <v>0.88495575221238942</v>
      </c>
    </row>
    <row r="11" spans="1:30" ht="15.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1"/>
      <c r="Q11" s="1795"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30" s="117" customFormat="1" ht="15.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1"/>
      <c r="Q12" s="1795" t="str">
        <f t="shared" si="6"/>
        <v>配建</v>
      </c>
      <c r="R12" s="770" t="s">
        <v>17</v>
      </c>
      <c r="S12" s="771">
        <f t="shared" si="0"/>
        <v>100</v>
      </c>
      <c r="T12" s="770" t="s">
        <v>17</v>
      </c>
      <c r="U12" s="771">
        <f t="shared" si="1"/>
        <v>100</v>
      </c>
      <c r="V12" s="770" t="s">
        <v>17</v>
      </c>
      <c r="W12" s="771">
        <f t="shared" si="2"/>
        <v>100</v>
      </c>
      <c r="X12" s="772"/>
      <c r="Y12" s="3056"/>
      <c r="Z12" s="55" t="str">
        <f t="shared" si="7"/>
        <v>配建</v>
      </c>
      <c r="AA12" s="773">
        <f>D12/F12</f>
        <v>1</v>
      </c>
      <c r="AB12" s="773">
        <f>D12/H12</f>
        <v>1</v>
      </c>
      <c r="AC12" s="773">
        <f>D12/J12</f>
        <v>1</v>
      </c>
    </row>
    <row r="13" spans="1:30" ht="15.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1"/>
      <c r="Q13" s="1795">
        <f t="shared" si="6"/>
        <v>111</v>
      </c>
      <c r="R13" s="770" t="s">
        <v>17</v>
      </c>
      <c r="S13" s="771">
        <f t="shared" si="0"/>
        <v>100</v>
      </c>
      <c r="T13" s="770" t="s">
        <v>17</v>
      </c>
      <c r="U13" s="771">
        <f t="shared" si="1"/>
        <v>100</v>
      </c>
      <c r="V13" s="770" t="s">
        <v>17</v>
      </c>
      <c r="W13" s="771">
        <f t="shared" si="2"/>
        <v>100</v>
      </c>
      <c r="X13" s="772"/>
      <c r="Y13" s="3056"/>
      <c r="Z13" s="55">
        <f t="shared" si="7"/>
        <v>111</v>
      </c>
      <c r="AA13" s="773">
        <f>D13/F13</f>
        <v>1</v>
      </c>
      <c r="AB13" s="773">
        <f>D13/H13</f>
        <v>1</v>
      </c>
      <c r="AC13" s="773">
        <f>D13/J13</f>
        <v>1</v>
      </c>
    </row>
    <row r="14" spans="1:30" ht="16"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1"/>
      <c r="Q14" s="1795">
        <f t="shared" si="6"/>
        <v>111</v>
      </c>
      <c r="R14" s="770" t="s">
        <v>17</v>
      </c>
      <c r="S14" s="771">
        <f t="shared" si="0"/>
        <v>100</v>
      </c>
      <c r="T14" s="770" t="s">
        <v>17</v>
      </c>
      <c r="U14" s="771">
        <f t="shared" si="1"/>
        <v>100</v>
      </c>
      <c r="V14" s="770" t="s">
        <v>17</v>
      </c>
      <c r="W14" s="771">
        <f t="shared" si="2"/>
        <v>100</v>
      </c>
      <c r="X14" s="772"/>
      <c r="Y14" s="3056"/>
      <c r="Z14" s="55">
        <f t="shared" si="7"/>
        <v>111</v>
      </c>
      <c r="AA14" s="773">
        <f>D14/F14</f>
        <v>1</v>
      </c>
      <c r="AB14" s="773">
        <f>D14/H14</f>
        <v>1</v>
      </c>
      <c r="AC14" s="773">
        <f>D14/J14</f>
        <v>1</v>
      </c>
    </row>
    <row r="15" spans="1:30" ht="98">
      <c r="A15" s="440" t="s">
        <v>2558</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3" t="s">
        <v>2559</v>
      </c>
      <c r="Q15" s="1810" t="str">
        <f t="shared" si="6"/>
        <v>居住社区成熟度</v>
      </c>
      <c r="R15" s="774" t="s">
        <v>17</v>
      </c>
      <c r="S15" s="775">
        <f t="shared" si="0"/>
        <v>100</v>
      </c>
      <c r="T15" s="774" t="s">
        <v>17</v>
      </c>
      <c r="U15" s="775">
        <f t="shared" si="1"/>
        <v>100</v>
      </c>
      <c r="V15" s="774" t="s">
        <v>17</v>
      </c>
      <c r="W15" s="775">
        <f t="shared" si="2"/>
        <v>100</v>
      </c>
      <c r="X15" s="1813"/>
      <c r="Y15" s="3243" t="s">
        <v>2559</v>
      </c>
      <c r="Z15" s="1814" t="str">
        <f t="shared" si="7"/>
        <v>居住社区成熟度</v>
      </c>
      <c r="AA15" s="1811">
        <f t="shared" si="3"/>
        <v>1</v>
      </c>
      <c r="AB15" s="1811">
        <f t="shared" si="4"/>
        <v>1</v>
      </c>
      <c r="AC15" s="1811">
        <f t="shared" si="5"/>
        <v>1</v>
      </c>
    </row>
    <row r="16" spans="1:30" ht="15.5">
      <c r="A16" s="428"/>
      <c r="B16" s="446"/>
      <c r="C16" s="447"/>
      <c r="D16" s="448"/>
      <c r="E16" s="2607"/>
      <c r="F16" s="448"/>
      <c r="G16" s="2607"/>
      <c r="H16" s="450"/>
      <c r="I16" s="2606"/>
      <c r="J16" s="448"/>
      <c r="K16" s="672"/>
      <c r="L16" s="1140"/>
      <c r="M16" s="1131"/>
      <c r="N16" s="1131"/>
      <c r="O16" s="1139"/>
      <c r="P16" s="3244"/>
      <c r="Q16" s="1810"/>
      <c r="R16" s="774"/>
      <c r="S16" s="775"/>
      <c r="T16" s="774"/>
      <c r="U16" s="775"/>
      <c r="V16" s="774"/>
      <c r="W16" s="775"/>
      <c r="X16" s="1813"/>
      <c r="Y16" s="3244"/>
      <c r="Z16" s="1814"/>
      <c r="AA16" s="1811">
        <v>1</v>
      </c>
      <c r="AB16" s="1811">
        <v>1</v>
      </c>
      <c r="AC16" s="1811">
        <v>1</v>
      </c>
    </row>
    <row r="17" spans="1:29" ht="84">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4"/>
      <c r="Q17" s="1810" t="str">
        <f>B17</f>
        <v>商业繁华度</v>
      </c>
      <c r="R17" s="774" t="s">
        <v>17</v>
      </c>
      <c r="S17" s="775">
        <f>F17</f>
        <v>100</v>
      </c>
      <c r="T17" s="774" t="s">
        <v>17</v>
      </c>
      <c r="U17" s="775">
        <f>H17</f>
        <v>100</v>
      </c>
      <c r="V17" s="774" t="s">
        <v>17</v>
      </c>
      <c r="W17" s="775">
        <f>J17</f>
        <v>100</v>
      </c>
      <c r="X17" s="1813"/>
      <c r="Y17" s="3244"/>
      <c r="Z17" s="1814" t="str">
        <f>Q17</f>
        <v>商业繁华度</v>
      </c>
      <c r="AA17" s="1811">
        <f t="shared" si="3"/>
        <v>1</v>
      </c>
      <c r="AB17" s="1811">
        <f t="shared" si="4"/>
        <v>1</v>
      </c>
      <c r="AC17" s="1811">
        <f t="shared" si="5"/>
        <v>1</v>
      </c>
    </row>
    <row r="18" spans="1:29" ht="15.5">
      <c r="A18" s="428"/>
      <c r="B18" s="456"/>
      <c r="C18" s="2610"/>
      <c r="D18" s="450"/>
      <c r="E18" s="2612"/>
      <c r="F18" s="450"/>
      <c r="G18" s="2612"/>
      <c r="H18" s="448"/>
      <c r="I18" s="2611"/>
      <c r="J18" s="448"/>
      <c r="K18" s="672"/>
      <c r="L18" s="1140"/>
      <c r="M18" s="1131"/>
      <c r="N18" s="1131"/>
      <c r="O18" s="1139"/>
      <c r="P18" s="3244"/>
      <c r="Q18" s="1810"/>
      <c r="R18" s="774"/>
      <c r="S18" s="775"/>
      <c r="T18" s="774"/>
      <c r="U18" s="775"/>
      <c r="V18" s="774"/>
      <c r="W18" s="775"/>
      <c r="X18" s="1813"/>
      <c r="Y18" s="3244"/>
      <c r="Z18" s="1814"/>
      <c r="AA18" s="1811">
        <v>1</v>
      </c>
      <c r="AB18" s="1811">
        <v>1</v>
      </c>
      <c r="AC18" s="1811">
        <v>1</v>
      </c>
    </row>
    <row r="19" spans="1:29" ht="84">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4"/>
      <c r="Q19" s="1810" t="str">
        <f>B19</f>
        <v>办公集聚程度</v>
      </c>
      <c r="R19" s="774" t="s">
        <v>17</v>
      </c>
      <c r="S19" s="775">
        <f>F19</f>
        <v>100</v>
      </c>
      <c r="T19" s="774" t="s">
        <v>17</v>
      </c>
      <c r="U19" s="775">
        <f>H19</f>
        <v>100</v>
      </c>
      <c r="V19" s="774" t="s">
        <v>17</v>
      </c>
      <c r="W19" s="775">
        <f>J19</f>
        <v>100</v>
      </c>
      <c r="X19" s="1813"/>
      <c r="Y19" s="3244"/>
      <c r="Z19" s="1814" t="str">
        <f>Q19</f>
        <v>办公集聚程度</v>
      </c>
      <c r="AA19" s="1811">
        <f t="shared" si="3"/>
        <v>1</v>
      </c>
      <c r="AB19" s="1811">
        <f t="shared" si="4"/>
        <v>1</v>
      </c>
      <c r="AC19" s="1811">
        <f t="shared" si="5"/>
        <v>1</v>
      </c>
    </row>
    <row r="20" spans="1:29" ht="15.5">
      <c r="A20" s="428"/>
      <c r="B20" s="456"/>
      <c r="C20" s="447"/>
      <c r="D20" s="448"/>
      <c r="E20" s="2607"/>
      <c r="F20" s="448"/>
      <c r="G20" s="2607"/>
      <c r="H20" s="448"/>
      <c r="I20" s="2606"/>
      <c r="J20" s="448"/>
      <c r="K20" s="672"/>
      <c r="L20" s="1140"/>
      <c r="M20" s="1131"/>
      <c r="N20" s="1131"/>
      <c r="O20" s="1139"/>
      <c r="P20" s="3244"/>
      <c r="Q20" s="1810"/>
      <c r="R20" s="774"/>
      <c r="S20" s="775"/>
      <c r="T20" s="774"/>
      <c r="U20" s="775"/>
      <c r="V20" s="774"/>
      <c r="W20" s="775"/>
      <c r="X20" s="1813"/>
      <c r="Y20" s="3244"/>
      <c r="Z20" s="1814"/>
      <c r="AA20" s="1811">
        <v>1</v>
      </c>
      <c r="AB20" s="1811">
        <v>1</v>
      </c>
      <c r="AC20" s="1811">
        <v>1</v>
      </c>
    </row>
    <row r="21" spans="1:29" ht="98">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4"/>
      <c r="Q21" s="1810" t="str">
        <f>B21</f>
        <v>交通便捷度</v>
      </c>
      <c r="R21" s="774" t="s">
        <v>17</v>
      </c>
      <c r="S21" s="775">
        <f>F21</f>
        <v>100</v>
      </c>
      <c r="T21" s="774" t="s">
        <v>17</v>
      </c>
      <c r="U21" s="775">
        <f>H21</f>
        <v>100</v>
      </c>
      <c r="V21" s="774" t="s">
        <v>17</v>
      </c>
      <c r="W21" s="775">
        <f>J21</f>
        <v>100</v>
      </c>
      <c r="X21" s="1813"/>
      <c r="Y21" s="3244"/>
      <c r="Z21" s="1814" t="str">
        <f>Q21</f>
        <v>交通便捷度</v>
      </c>
      <c r="AA21" s="1811">
        <f t="shared" si="3"/>
        <v>1</v>
      </c>
      <c r="AB21" s="1811">
        <f t="shared" si="4"/>
        <v>1</v>
      </c>
      <c r="AC21" s="1811">
        <f t="shared" si="5"/>
        <v>1</v>
      </c>
    </row>
    <row r="22" spans="1:29" ht="15.5">
      <c r="A22" s="428"/>
      <c r="B22" s="1384"/>
      <c r="C22" s="447"/>
      <c r="D22" s="450"/>
      <c r="E22" s="2607"/>
      <c r="F22" s="448"/>
      <c r="G22" s="2607"/>
      <c r="H22" s="448"/>
      <c r="I22" s="2606"/>
      <c r="J22" s="448"/>
      <c r="K22" s="672"/>
      <c r="L22" s="1140"/>
      <c r="M22" s="1131"/>
      <c r="N22" s="1131"/>
      <c r="O22" s="1139"/>
      <c r="P22" s="3244"/>
      <c r="Q22" s="1810"/>
      <c r="R22" s="774"/>
      <c r="S22" s="775"/>
      <c r="T22" s="774"/>
      <c r="U22" s="775"/>
      <c r="V22" s="774"/>
      <c r="W22" s="775"/>
      <c r="X22" s="1813"/>
      <c r="Y22" s="3244"/>
      <c r="Z22" s="1814"/>
      <c r="AA22" s="1811">
        <v>1</v>
      </c>
      <c r="AB22" s="1811">
        <v>1</v>
      </c>
      <c r="AC22" s="1811">
        <v>1</v>
      </c>
    </row>
    <row r="23" spans="1:29" ht="28">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4"/>
      <c r="Q23" s="1810" t="str">
        <f t="shared" ref="Q23:Q37" si="8">B23</f>
        <v>区域土地利用方向</v>
      </c>
      <c r="R23" s="774" t="s">
        <v>17</v>
      </c>
      <c r="S23" s="775">
        <f>F23</f>
        <v>100</v>
      </c>
      <c r="T23" s="774" t="s">
        <v>17</v>
      </c>
      <c r="U23" s="775">
        <f>H23</f>
        <v>100</v>
      </c>
      <c r="V23" s="774" t="s">
        <v>17</v>
      </c>
      <c r="W23" s="775">
        <f>J23</f>
        <v>100</v>
      </c>
      <c r="X23" s="1813"/>
      <c r="Y23" s="3244"/>
      <c r="Z23" s="1814" t="str">
        <f>Q23</f>
        <v>区域土地利用方向</v>
      </c>
      <c r="AA23" s="1811">
        <f t="shared" si="3"/>
        <v>1</v>
      </c>
      <c r="AB23" s="1811">
        <f t="shared" si="4"/>
        <v>1</v>
      </c>
      <c r="AC23" s="1811">
        <f t="shared" si="5"/>
        <v>1</v>
      </c>
    </row>
    <row r="24" spans="1:29" ht="15.5">
      <c r="A24" s="404"/>
      <c r="B24" s="456"/>
      <c r="C24" s="616"/>
      <c r="D24" s="448"/>
      <c r="E24" s="2607"/>
      <c r="F24" s="448"/>
      <c r="G24" s="2606"/>
      <c r="H24" s="448"/>
      <c r="I24" s="2606"/>
      <c r="J24" s="448"/>
      <c r="K24" s="812"/>
      <c r="L24" s="1140"/>
      <c r="M24" s="1131"/>
      <c r="N24" s="1131"/>
      <c r="O24" s="1139"/>
      <c r="P24" s="3244"/>
      <c r="Q24" s="1810"/>
      <c r="R24" s="774"/>
      <c r="S24" s="775"/>
      <c r="T24" s="774"/>
      <c r="U24" s="775"/>
      <c r="V24" s="774"/>
      <c r="W24" s="775"/>
      <c r="X24" s="1813"/>
      <c r="Y24" s="3244"/>
      <c r="Z24" s="1814"/>
      <c r="AA24" s="1811"/>
      <c r="AB24" s="1811"/>
      <c r="AC24" s="1811"/>
    </row>
    <row r="25" spans="1:29" ht="56">
      <c r="A25" s="404"/>
      <c r="B25" s="1384"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4"/>
      <c r="Q25" s="1810" t="str">
        <f t="shared" si="8"/>
        <v>自然及人文环境状况</v>
      </c>
      <c r="R25" s="774" t="s">
        <v>17</v>
      </c>
      <c r="S25" s="775">
        <f>F25</f>
        <v>100</v>
      </c>
      <c r="T25" s="774" t="s">
        <v>17</v>
      </c>
      <c r="U25" s="775">
        <f>H25</f>
        <v>100</v>
      </c>
      <c r="V25" s="774" t="s">
        <v>17</v>
      </c>
      <c r="W25" s="775">
        <f>J25</f>
        <v>100</v>
      </c>
      <c r="X25" s="1813"/>
      <c r="Y25" s="3244"/>
      <c r="Z25" s="1814" t="str">
        <f>Q25</f>
        <v>自然及人文环境状况</v>
      </c>
      <c r="AA25" s="1811">
        <f t="shared" si="3"/>
        <v>1</v>
      </c>
      <c r="AB25" s="1811">
        <f t="shared" si="4"/>
        <v>1</v>
      </c>
      <c r="AC25" s="1811">
        <f t="shared" si="5"/>
        <v>1</v>
      </c>
    </row>
    <row r="26" spans="1:29" ht="15.5">
      <c r="A26" s="404"/>
      <c r="B26" s="456"/>
      <c r="C26" s="447"/>
      <c r="D26" s="448"/>
      <c r="E26" s="2613"/>
      <c r="F26" s="448"/>
      <c r="G26" s="2613"/>
      <c r="H26" s="448"/>
      <c r="I26" s="447"/>
      <c r="J26" s="448"/>
      <c r="K26" s="672"/>
      <c r="L26" s="1140"/>
      <c r="M26" s="1131"/>
      <c r="N26" s="1131"/>
      <c r="O26" s="1139"/>
      <c r="P26" s="3244"/>
      <c r="Q26" s="1810"/>
      <c r="R26" s="774"/>
      <c r="S26" s="775"/>
      <c r="T26" s="774"/>
      <c r="U26" s="775"/>
      <c r="V26" s="774"/>
      <c r="W26" s="775"/>
      <c r="X26" s="1813"/>
      <c r="Y26" s="3244"/>
      <c r="Z26" s="1814"/>
      <c r="AA26" s="1811">
        <v>1</v>
      </c>
      <c r="AB26" s="1811">
        <v>1</v>
      </c>
      <c r="AC26" s="1811">
        <v>1</v>
      </c>
    </row>
    <row r="27" spans="1:29" s="117" customFormat="1" ht="42">
      <c r="A27" s="649"/>
      <c r="B27" s="1384"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4"/>
      <c r="Q27" s="1795" t="str">
        <f t="shared" si="8"/>
        <v>公共配套设施</v>
      </c>
      <c r="R27" s="770" t="s">
        <v>17</v>
      </c>
      <c r="S27" s="771">
        <f>F27</f>
        <v>100</v>
      </c>
      <c r="T27" s="770" t="s">
        <v>17</v>
      </c>
      <c r="U27" s="771">
        <f>H27</f>
        <v>100</v>
      </c>
      <c r="V27" s="770" t="s">
        <v>17</v>
      </c>
      <c r="W27" s="771">
        <f>J27</f>
        <v>100</v>
      </c>
      <c r="X27" s="772"/>
      <c r="Y27" s="3244"/>
      <c r="Z27" s="55" t="str">
        <f>Q27</f>
        <v>公共配套设施</v>
      </c>
      <c r="AA27" s="1811">
        <f>D27/F27</f>
        <v>1</v>
      </c>
      <c r="AB27" s="1811">
        <f>D27/H27</f>
        <v>1</v>
      </c>
      <c r="AC27" s="1811">
        <f>D27/J27</f>
        <v>1</v>
      </c>
    </row>
    <row r="28" spans="1:29" s="117" customFormat="1" ht="15.5">
      <c r="A28" s="649"/>
      <c r="B28" s="456"/>
      <c r="C28" s="2702"/>
      <c r="D28" s="448"/>
      <c r="E28" s="2613"/>
      <c r="F28" s="448"/>
      <c r="G28" s="2613"/>
      <c r="H28" s="448"/>
      <c r="I28" s="447"/>
      <c r="J28" s="448"/>
      <c r="K28" s="672"/>
      <c r="L28" s="1132"/>
      <c r="M28" s="1133"/>
      <c r="N28" s="1133"/>
      <c r="O28" s="1134"/>
      <c r="P28" s="3244"/>
      <c r="Q28" s="1795"/>
      <c r="R28" s="770"/>
      <c r="S28" s="771"/>
      <c r="T28" s="770"/>
      <c r="U28" s="771"/>
      <c r="V28" s="770"/>
      <c r="W28" s="771"/>
      <c r="X28" s="772"/>
      <c r="Y28" s="3244"/>
      <c r="Z28" s="55"/>
      <c r="AA28" s="1811">
        <v>1</v>
      </c>
      <c r="AB28" s="1811">
        <v>1</v>
      </c>
      <c r="AC28" s="1811">
        <v>1</v>
      </c>
    </row>
    <row r="29" spans="1:29" s="117" customFormat="1" ht="42">
      <c r="A29" s="649"/>
      <c r="B29" s="1384"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4"/>
      <c r="Q29" s="1795" t="str">
        <f t="shared" ref="Q29" si="9">B29</f>
        <v>基础设施水平</v>
      </c>
      <c r="R29" s="770" t="s">
        <v>17</v>
      </c>
      <c r="S29" s="771">
        <f>F29</f>
        <v>100</v>
      </c>
      <c r="T29" s="770" t="s">
        <v>17</v>
      </c>
      <c r="U29" s="771">
        <f>H29</f>
        <v>100</v>
      </c>
      <c r="V29" s="770" t="s">
        <v>17</v>
      </c>
      <c r="W29" s="771">
        <f>J29</f>
        <v>100</v>
      </c>
      <c r="X29" s="772"/>
      <c r="Y29" s="3244"/>
      <c r="Z29" s="55" t="str">
        <f>Q29</f>
        <v>基础设施水平</v>
      </c>
      <c r="AA29" s="1811">
        <f>D29/F29</f>
        <v>1</v>
      </c>
      <c r="AB29" s="1811">
        <f>D29/H29</f>
        <v>1</v>
      </c>
      <c r="AC29" s="1811">
        <f>D29/J29</f>
        <v>1</v>
      </c>
    </row>
    <row r="30" spans="1:29" s="117" customFormat="1" ht="15.5">
      <c r="A30" s="649"/>
      <c r="B30" s="456"/>
      <c r="C30" s="2702"/>
      <c r="D30" s="448"/>
      <c r="E30" s="2703"/>
      <c r="F30" s="448"/>
      <c r="G30" s="2703"/>
      <c r="H30" s="448"/>
      <c r="I30" s="2703"/>
      <c r="J30" s="448"/>
      <c r="K30" s="672"/>
      <c r="L30" s="1132"/>
      <c r="M30" s="1133"/>
      <c r="N30" s="1133"/>
      <c r="O30" s="1134"/>
      <c r="P30" s="3244"/>
      <c r="Q30" s="1795"/>
      <c r="R30" s="770"/>
      <c r="S30" s="771"/>
      <c r="T30" s="770"/>
      <c r="U30" s="771"/>
      <c r="V30" s="770"/>
      <c r="W30" s="771"/>
      <c r="X30" s="772"/>
      <c r="Y30" s="3244"/>
      <c r="Z30" s="55"/>
      <c r="AA30" s="1811">
        <v>1</v>
      </c>
      <c r="AB30" s="1811">
        <v>1</v>
      </c>
      <c r="AC30" s="1811">
        <v>1</v>
      </c>
    </row>
    <row r="31" spans="1:29" ht="15.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44"/>
      <c r="Z31" s="1814" t="str">
        <f t="shared" ref="Z31:Z45" si="13">Q31</f>
        <v>临街状况</v>
      </c>
      <c r="AA31" s="1811">
        <f t="shared" si="3"/>
        <v>1</v>
      </c>
      <c r="AB31" s="1811">
        <f t="shared" si="4"/>
        <v>1</v>
      </c>
      <c r="AC31" s="1811">
        <f t="shared" si="5"/>
        <v>1</v>
      </c>
    </row>
    <row r="32" spans="1:29" ht="28">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4"/>
      <c r="Q32" s="1810" t="str">
        <f t="shared" si="8"/>
        <v>毗邻道路的类型与等级</v>
      </c>
      <c r="R32" s="774" t="s">
        <v>17</v>
      </c>
      <c r="S32" s="775">
        <f t="shared" si="10"/>
        <v>100</v>
      </c>
      <c r="T32" s="774" t="s">
        <v>17</v>
      </c>
      <c r="U32" s="775">
        <f t="shared" si="11"/>
        <v>100</v>
      </c>
      <c r="V32" s="774" t="s">
        <v>17</v>
      </c>
      <c r="W32" s="775">
        <f t="shared" si="12"/>
        <v>100</v>
      </c>
      <c r="X32" s="1813"/>
      <c r="Y32" s="3244"/>
      <c r="Z32" s="1814" t="str">
        <f t="shared" si="13"/>
        <v>毗邻道路的类型与等级</v>
      </c>
      <c r="AA32" s="1811">
        <f t="shared" si="3"/>
        <v>1</v>
      </c>
      <c r="AB32" s="1811">
        <f t="shared" si="4"/>
        <v>1</v>
      </c>
      <c r="AC32" s="1811">
        <f t="shared" si="5"/>
        <v>1</v>
      </c>
    </row>
    <row r="33" spans="1:29" ht="15.5">
      <c r="A33" s="428"/>
      <c r="B33" s="456"/>
      <c r="C33" s="447"/>
      <c r="D33" s="448"/>
      <c r="E33" s="2613"/>
      <c r="F33" s="448"/>
      <c r="G33" s="2613"/>
      <c r="H33" s="448"/>
      <c r="I33" s="447"/>
      <c r="J33" s="448"/>
      <c r="K33" s="613"/>
      <c r="L33" s="1140"/>
      <c r="M33" s="1131"/>
      <c r="N33" s="1131"/>
      <c r="O33" s="1139"/>
      <c r="P33" s="3244"/>
      <c r="Q33" s="1810"/>
      <c r="R33" s="774"/>
      <c r="S33" s="775"/>
      <c r="T33" s="774"/>
      <c r="U33" s="775"/>
      <c r="V33" s="774"/>
      <c r="W33" s="775"/>
      <c r="X33" s="1813"/>
      <c r="Y33" s="3244"/>
      <c r="Z33" s="1814"/>
      <c r="AA33" s="1811">
        <v>1</v>
      </c>
      <c r="AB33" s="1811">
        <v>1</v>
      </c>
      <c r="AC33" s="1811">
        <v>1</v>
      </c>
    </row>
    <row r="34" spans="1:29" ht="15.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4"/>
      <c r="Q34" s="1810" t="str">
        <f t="shared" si="8"/>
        <v>土地级别</v>
      </c>
      <c r="R34" s="774" t="s">
        <v>17</v>
      </c>
      <c r="S34" s="775">
        <f t="shared" si="10"/>
        <v>100</v>
      </c>
      <c r="T34" s="774" t="s">
        <v>17</v>
      </c>
      <c r="U34" s="775">
        <f t="shared" si="11"/>
        <v>100</v>
      </c>
      <c r="V34" s="774" t="s">
        <v>17</v>
      </c>
      <c r="W34" s="775">
        <f t="shared" si="12"/>
        <v>100</v>
      </c>
      <c r="X34" s="1813"/>
      <c r="Y34" s="3244"/>
      <c r="Z34" s="1814" t="str">
        <f t="shared" si="13"/>
        <v>土地级别</v>
      </c>
      <c r="AA34" s="1811">
        <f t="shared" si="3"/>
        <v>1</v>
      </c>
      <c r="AB34" s="1811">
        <f t="shared" si="4"/>
        <v>1</v>
      </c>
      <c r="AC34" s="1811">
        <f t="shared" si="5"/>
        <v>1</v>
      </c>
    </row>
    <row r="35" spans="1:29" ht="15.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4"/>
      <c r="Q35" s="1810">
        <f t="shared" si="8"/>
        <v>111</v>
      </c>
      <c r="R35" s="774" t="s">
        <v>17</v>
      </c>
      <c r="S35" s="775">
        <f t="shared" si="10"/>
        <v>100</v>
      </c>
      <c r="T35" s="774" t="s">
        <v>17</v>
      </c>
      <c r="U35" s="775">
        <f t="shared" si="11"/>
        <v>100</v>
      </c>
      <c r="V35" s="774" t="s">
        <v>17</v>
      </c>
      <c r="W35" s="775">
        <f t="shared" si="12"/>
        <v>100</v>
      </c>
      <c r="X35" s="1813"/>
      <c r="Y35" s="3244"/>
      <c r="Z35" s="1814">
        <f t="shared" si="13"/>
        <v>111</v>
      </c>
      <c r="AA35" s="1811">
        <f t="shared" si="3"/>
        <v>1</v>
      </c>
      <c r="AB35" s="1811">
        <f t="shared" si="4"/>
        <v>1</v>
      </c>
      <c r="AC35" s="1811">
        <f t="shared" si="5"/>
        <v>1</v>
      </c>
    </row>
    <row r="36" spans="1:29" ht="15.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7" t="s">
        <v>2564</v>
      </c>
      <c r="Q36" s="1810">
        <f t="shared" si="8"/>
        <v>111</v>
      </c>
      <c r="R36" s="774" t="s">
        <v>17</v>
      </c>
      <c r="S36" s="775">
        <f t="shared" si="10"/>
        <v>100</v>
      </c>
      <c r="T36" s="774" t="s">
        <v>17</v>
      </c>
      <c r="U36" s="775">
        <f t="shared" si="11"/>
        <v>100</v>
      </c>
      <c r="V36" s="774" t="s">
        <v>17</v>
      </c>
      <c r="W36" s="775">
        <f t="shared" si="12"/>
        <v>100</v>
      </c>
      <c r="X36" s="1813"/>
      <c r="Y36" s="3248" t="s">
        <v>2564</v>
      </c>
      <c r="Z36" s="1814">
        <f t="shared" si="13"/>
        <v>111</v>
      </c>
      <c r="AA36" s="1811">
        <f t="shared" si="3"/>
        <v>1</v>
      </c>
      <c r="AB36" s="1811">
        <f t="shared" si="4"/>
        <v>1</v>
      </c>
      <c r="AC36" s="1811">
        <f t="shared" si="5"/>
        <v>1</v>
      </c>
    </row>
    <row r="37" spans="1:29" s="471" customFormat="1" ht="16"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8"/>
      <c r="Q37" s="1810">
        <f t="shared" si="8"/>
        <v>111</v>
      </c>
      <c r="R37" s="777" t="s">
        <v>17</v>
      </c>
      <c r="S37" s="778">
        <f t="shared" si="10"/>
        <v>100</v>
      </c>
      <c r="T37" s="777" t="s">
        <v>17</v>
      </c>
      <c r="U37" s="778">
        <f t="shared" si="11"/>
        <v>100</v>
      </c>
      <c r="V37" s="777" t="s">
        <v>17</v>
      </c>
      <c r="W37" s="778">
        <f t="shared" si="12"/>
        <v>100</v>
      </c>
      <c r="X37" s="779"/>
      <c r="Y37" s="3248"/>
      <c r="Z37" s="780">
        <f t="shared" si="13"/>
        <v>111</v>
      </c>
      <c r="AA37" s="1811">
        <f t="shared" si="3"/>
        <v>1</v>
      </c>
      <c r="AB37" s="1811">
        <f t="shared" si="4"/>
        <v>1</v>
      </c>
      <c r="AC37" s="1811">
        <f t="shared" si="5"/>
        <v>1</v>
      </c>
    </row>
    <row r="38" spans="1:29" ht="15.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8"/>
      <c r="Q38" s="1810" t="str">
        <f>B38</f>
        <v>宗地面积</v>
      </c>
      <c r="R38" s="774" t="s">
        <v>17</v>
      </c>
      <c r="S38" s="775" t="e">
        <f t="shared" si="10"/>
        <v>#N/A</v>
      </c>
      <c r="T38" s="774" t="s">
        <v>17</v>
      </c>
      <c r="U38" s="775" t="e">
        <f t="shared" si="11"/>
        <v>#N/A</v>
      </c>
      <c r="V38" s="774" t="s">
        <v>17</v>
      </c>
      <c r="W38" s="775" t="e">
        <f t="shared" si="12"/>
        <v>#N/A</v>
      </c>
      <c r="X38" s="1813"/>
      <c r="Y38" s="3248"/>
      <c r="Z38" s="1814" t="str">
        <f t="shared" si="13"/>
        <v>宗地面积</v>
      </c>
      <c r="AA38" s="1811" t="e">
        <f t="shared" si="3"/>
        <v>#N/A</v>
      </c>
      <c r="AB38" s="1811" t="e">
        <f t="shared" si="4"/>
        <v>#N/A</v>
      </c>
      <c r="AC38" s="1811" t="e">
        <f t="shared" si="5"/>
        <v>#N/A</v>
      </c>
    </row>
    <row r="39" spans="1:29" ht="15.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48"/>
      <c r="Q39" s="1810" t="str">
        <f t="shared" ref="Q39:Q45" si="14">B39</f>
        <v>宗地形状</v>
      </c>
      <c r="R39" s="774" t="s">
        <v>17</v>
      </c>
      <c r="S39" s="775">
        <f t="shared" si="10"/>
        <v>100</v>
      </c>
      <c r="T39" s="774" t="s">
        <v>17</v>
      </c>
      <c r="U39" s="775">
        <f t="shared" si="11"/>
        <v>100</v>
      </c>
      <c r="V39" s="774" t="s">
        <v>17</v>
      </c>
      <c r="W39" s="775">
        <f t="shared" si="12"/>
        <v>100</v>
      </c>
      <c r="X39" s="1813"/>
      <c r="Y39" s="3248"/>
      <c r="Z39" s="1814" t="str">
        <f t="shared" si="13"/>
        <v>宗地形状</v>
      </c>
      <c r="AA39" s="1811">
        <f t="shared" si="3"/>
        <v>1</v>
      </c>
      <c r="AB39" s="1811">
        <f t="shared" si="4"/>
        <v>1</v>
      </c>
      <c r="AC39" s="1811">
        <f t="shared" si="5"/>
        <v>1</v>
      </c>
    </row>
    <row r="40" spans="1:29" ht="15.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48"/>
      <c r="Q40" s="1810" t="str">
        <f t="shared" si="14"/>
        <v>临街宽度及深度</v>
      </c>
      <c r="R40" s="774" t="s">
        <v>17</v>
      </c>
      <c r="S40" s="775">
        <f t="shared" si="10"/>
        <v>100</v>
      </c>
      <c r="T40" s="774" t="s">
        <v>17</v>
      </c>
      <c r="U40" s="775">
        <f t="shared" si="11"/>
        <v>100</v>
      </c>
      <c r="V40" s="774" t="s">
        <v>17</v>
      </c>
      <c r="W40" s="775">
        <f t="shared" si="12"/>
        <v>100</v>
      </c>
      <c r="X40" s="1813"/>
      <c r="Y40" s="3248"/>
      <c r="Z40" s="1814" t="str">
        <f t="shared" si="13"/>
        <v>临街宽度及深度</v>
      </c>
      <c r="AA40" s="1811">
        <f t="shared" si="3"/>
        <v>1</v>
      </c>
      <c r="AB40" s="1811">
        <f t="shared" si="4"/>
        <v>1</v>
      </c>
      <c r="AC40" s="1811">
        <f t="shared" si="5"/>
        <v>1</v>
      </c>
    </row>
    <row r="41" spans="1:29" s="117" customFormat="1" ht="15.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48"/>
      <c r="Q41" s="1810" t="str">
        <f t="shared" si="14"/>
        <v>宗地开发程度</v>
      </c>
      <c r="R41" s="770" t="s">
        <v>17</v>
      </c>
      <c r="S41" s="771">
        <f t="shared" si="10"/>
        <v>100</v>
      </c>
      <c r="T41" s="770" t="s">
        <v>17</v>
      </c>
      <c r="U41" s="771">
        <f t="shared" si="11"/>
        <v>100</v>
      </c>
      <c r="V41" s="770" t="s">
        <v>17</v>
      </c>
      <c r="W41" s="771">
        <f t="shared" si="12"/>
        <v>100</v>
      </c>
      <c r="X41" s="772"/>
      <c r="Y41" s="3248"/>
      <c r="Z41" s="55" t="str">
        <f t="shared" si="13"/>
        <v>宗地开发程度</v>
      </c>
      <c r="AA41" s="773">
        <f t="shared" si="3"/>
        <v>1</v>
      </c>
      <c r="AB41" s="773">
        <f t="shared" si="4"/>
        <v>1</v>
      </c>
      <c r="AC41" s="773">
        <f t="shared" si="5"/>
        <v>1</v>
      </c>
    </row>
    <row r="42" spans="1:29" ht="15.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48" t="s">
        <v>2564</v>
      </c>
      <c r="Q42" s="1810" t="str">
        <f t="shared" si="14"/>
        <v>工程地质条件</v>
      </c>
      <c r="R42" s="774" t="s">
        <v>17</v>
      </c>
      <c r="S42" s="775">
        <f t="shared" si="10"/>
        <v>100</v>
      </c>
      <c r="T42" s="774" t="s">
        <v>17</v>
      </c>
      <c r="U42" s="775">
        <f t="shared" si="11"/>
        <v>100</v>
      </c>
      <c r="V42" s="774" t="s">
        <v>17</v>
      </c>
      <c r="W42" s="775">
        <f t="shared" si="12"/>
        <v>100</v>
      </c>
      <c r="X42" s="1813"/>
      <c r="Y42" s="3248" t="s">
        <v>2564</v>
      </c>
      <c r="Z42" s="1814" t="str">
        <f t="shared" si="13"/>
        <v>工程地质条件</v>
      </c>
      <c r="AA42" s="1811">
        <f t="shared" si="3"/>
        <v>1</v>
      </c>
      <c r="AB42" s="1811">
        <f t="shared" si="4"/>
        <v>1</v>
      </c>
      <c r="AC42" s="1811">
        <f t="shared" si="5"/>
        <v>1</v>
      </c>
    </row>
    <row r="43" spans="1:29" ht="15.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8"/>
      <c r="Q43" s="1810">
        <f t="shared" si="14"/>
        <v>111</v>
      </c>
      <c r="R43" s="774" t="s">
        <v>17</v>
      </c>
      <c r="S43" s="775">
        <f t="shared" si="10"/>
        <v>100</v>
      </c>
      <c r="T43" s="774" t="s">
        <v>17</v>
      </c>
      <c r="U43" s="775">
        <f t="shared" si="11"/>
        <v>100</v>
      </c>
      <c r="V43" s="774" t="s">
        <v>17</v>
      </c>
      <c r="W43" s="775">
        <f t="shared" si="12"/>
        <v>100</v>
      </c>
      <c r="X43" s="1813"/>
      <c r="Y43" s="3248"/>
      <c r="Z43" s="1814">
        <f t="shared" si="13"/>
        <v>111</v>
      </c>
      <c r="AA43" s="1811">
        <f t="shared" si="3"/>
        <v>1</v>
      </c>
      <c r="AB43" s="1811">
        <f t="shared" si="4"/>
        <v>1</v>
      </c>
      <c r="AC43" s="1811">
        <f t="shared" si="5"/>
        <v>1</v>
      </c>
    </row>
    <row r="44" spans="1:29" ht="15.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8"/>
      <c r="Q44" s="1810">
        <f t="shared" si="14"/>
        <v>111</v>
      </c>
      <c r="R44" s="774" t="s">
        <v>17</v>
      </c>
      <c r="S44" s="775">
        <f t="shared" si="10"/>
        <v>100</v>
      </c>
      <c r="T44" s="774" t="s">
        <v>17</v>
      </c>
      <c r="U44" s="775">
        <f t="shared" si="11"/>
        <v>100</v>
      </c>
      <c r="V44" s="774" t="s">
        <v>17</v>
      </c>
      <c r="W44" s="775">
        <f t="shared" si="12"/>
        <v>100</v>
      </c>
      <c r="X44" s="1813"/>
      <c r="Y44" s="3248"/>
      <c r="Z44" s="1814">
        <f t="shared" si="13"/>
        <v>111</v>
      </c>
      <c r="AA44" s="1811">
        <f t="shared" si="3"/>
        <v>1</v>
      </c>
      <c r="AB44" s="1811">
        <f t="shared" si="4"/>
        <v>1</v>
      </c>
      <c r="AC44" s="1811">
        <f t="shared" si="5"/>
        <v>1</v>
      </c>
    </row>
    <row r="45" spans="1:29" s="471" customFormat="1" ht="16"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8"/>
      <c r="Q45" s="1810">
        <f t="shared" si="14"/>
        <v>111</v>
      </c>
      <c r="R45" s="777" t="s">
        <v>17</v>
      </c>
      <c r="S45" s="778">
        <f t="shared" si="10"/>
        <v>100</v>
      </c>
      <c r="T45" s="777" t="s">
        <v>17</v>
      </c>
      <c r="U45" s="778">
        <f t="shared" si="11"/>
        <v>100</v>
      </c>
      <c r="V45" s="777" t="s">
        <v>17</v>
      </c>
      <c r="W45" s="778">
        <f t="shared" si="12"/>
        <v>100</v>
      </c>
      <c r="X45" s="779"/>
      <c r="Y45" s="3248"/>
      <c r="Z45" s="780">
        <f t="shared" si="13"/>
        <v>111</v>
      </c>
      <c r="AA45" s="1811">
        <f t="shared" si="3"/>
        <v>1</v>
      </c>
      <c r="AB45" s="1811">
        <f t="shared" si="4"/>
        <v>1</v>
      </c>
      <c r="AC45" s="1811">
        <f t="shared" si="5"/>
        <v>1</v>
      </c>
    </row>
    <row r="46" spans="1:29">
      <c r="A46" s="479" t="s">
        <v>2719</v>
      </c>
      <c r="B46" s="2706" t="s">
        <v>2755</v>
      </c>
      <c r="C46" s="682" t="s">
        <v>1</v>
      </c>
      <c r="D46" s="481"/>
      <c r="E46" s="482"/>
      <c r="F46" s="483"/>
      <c r="G46" s="484"/>
      <c r="H46" s="485"/>
      <c r="I46" s="482"/>
      <c r="J46" s="485"/>
      <c r="K46" s="783"/>
      <c r="L46" s="1143"/>
      <c r="M46" s="1144"/>
      <c r="N46" s="1131"/>
      <c r="O46" s="1144"/>
      <c r="P46" s="3241" t="str">
        <f>A46</f>
        <v>成交单价</v>
      </c>
      <c r="Q46" s="3241"/>
      <c r="R46" s="3236">
        <f>E46</f>
        <v>0</v>
      </c>
      <c r="S46" s="3236"/>
      <c r="T46" s="3236">
        <f>G46</f>
        <v>0</v>
      </c>
      <c r="U46" s="3236"/>
      <c r="V46" s="3236">
        <f>I46</f>
        <v>0</v>
      </c>
      <c r="W46" s="3236"/>
      <c r="X46" s="759"/>
      <c r="Y46" s="781"/>
      <c r="Z46" s="759"/>
      <c r="AA46" s="759"/>
      <c r="AB46" s="759"/>
      <c r="AC46" s="759"/>
    </row>
    <row r="47" spans="1:29" ht="14.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41" t="str">
        <f>A47</f>
        <v>比较价值（元/平方米）</v>
      </c>
      <c r="Q47" s="3241"/>
      <c r="R47" s="3268" t="e">
        <f>ROUND(PRODUCT(R46,AA7:AA45),0)</f>
        <v>#DIV/0!</v>
      </c>
      <c r="S47" s="3268"/>
      <c r="T47" s="3268" t="e">
        <f>ROUND(PRODUCT(T46,AB7:AB45),0)</f>
        <v>#DIV/0!</v>
      </c>
      <c r="U47" s="3268"/>
      <c r="V47" s="3268" t="e">
        <f>ROUND(PRODUCT(V46,AC7:AC45),0)</f>
        <v>#DIV/0!</v>
      </c>
      <c r="W47" s="3268"/>
      <c r="X47" s="759"/>
      <c r="Y47" s="759"/>
      <c r="Z47" s="759"/>
      <c r="AA47" s="759"/>
      <c r="AB47" s="759"/>
      <c r="AC47" s="759"/>
    </row>
    <row r="48" spans="1:29" ht="14.5" thickBot="1">
      <c r="A48" s="492" t="s">
        <v>2756</v>
      </c>
      <c r="B48" s="493"/>
      <c r="C48" s="494" t="e">
        <f>R48</f>
        <v>#DIV/0!</v>
      </c>
      <c r="D48" s="494"/>
      <c r="E48" s="494"/>
      <c r="F48" s="494"/>
      <c r="G48" s="494"/>
      <c r="H48" s="494"/>
      <c r="I48" s="494"/>
      <c r="J48" s="494"/>
      <c r="K48" s="785"/>
      <c r="L48" s="1143"/>
      <c r="M48" s="1144"/>
      <c r="N48" s="1144"/>
      <c r="O48" s="1144"/>
      <c r="P48" s="3238" t="str">
        <f>A48</f>
        <v>估价对象XX用房的比较价值（楼面单价，元/平方米）</v>
      </c>
      <c r="Q48" s="3239"/>
      <c r="R48" s="3269" t="e">
        <f>ROUND(AVERAGE(R47:V47),0)</f>
        <v>#DIV/0!</v>
      </c>
      <c r="S48" s="3269"/>
      <c r="T48" s="3269"/>
      <c r="U48" s="3269"/>
      <c r="V48" s="3269"/>
      <c r="W48" s="3269"/>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4.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7" t="s">
        <v>2759</v>
      </c>
      <c r="D55" s="2708" t="s">
        <v>2760</v>
      </c>
      <c r="E55" s="686" t="s">
        <v>2761</v>
      </c>
      <c r="F55" s="1107" t="s">
        <v>2762</v>
      </c>
      <c r="G55" s="3224" t="s">
        <v>2763</v>
      </c>
      <c r="H55" s="3270"/>
      <c r="I55" s="144" t="s">
        <v>2764</v>
      </c>
      <c r="J55" s="2709">
        <f>项目基本情况!F35</f>
        <v>0</v>
      </c>
      <c r="K55" s="2710" t="s">
        <v>2765</v>
      </c>
      <c r="L55" s="1106"/>
      <c r="M55" s="1144"/>
      <c r="N55" s="1144"/>
      <c r="O55" s="1144"/>
    </row>
    <row r="56" spans="1:15" s="692" customFormat="1">
      <c r="A56" s="688" t="s">
        <v>2766</v>
      </c>
      <c r="B56" s="689" t="e">
        <f>C48</f>
        <v>#DIV/0!</v>
      </c>
      <c r="C56" s="690">
        <v>1</v>
      </c>
      <c r="D56" s="1163">
        <v>1</v>
      </c>
      <c r="E56" s="690">
        <f>'数据-汇总表'!E8+'数据-汇总表'!E9</f>
        <v>3000.7300000000005</v>
      </c>
      <c r="F56" s="1103" t="e">
        <f t="shared" ref="F56:F65" si="15">ROUND(B56*E56/10000,0)</f>
        <v>#DIV/0!</v>
      </c>
      <c r="G56" s="3223"/>
      <c r="H56" s="3241"/>
      <c r="I56" s="1108">
        <v>1</v>
      </c>
      <c r="J56" s="1111">
        <v>1</v>
      </c>
      <c r="K56" s="1145"/>
      <c r="L56" s="941"/>
      <c r="M56" s="941"/>
      <c r="N56" s="941"/>
      <c r="O56" s="941"/>
    </row>
    <row r="57" spans="1:15" s="692" customFormat="1">
      <c r="A57" s="693" t="s">
        <v>2767</v>
      </c>
      <c r="B57" s="262" t="e">
        <f>ROUND($C$48*C57*D57,0)</f>
        <v>#DIV/0!</v>
      </c>
      <c r="C57" s="200">
        <f t="shared" ref="C57:C65" si="16">IF($C$55="北京市系数",I57,J57)</f>
        <v>0.8</v>
      </c>
      <c r="D57" s="1164">
        <v>0.25</v>
      </c>
      <c r="E57" s="694"/>
      <c r="F57" s="1103" t="e">
        <f t="shared" si="15"/>
        <v>#DIV/0!</v>
      </c>
      <c r="G57" s="3271" t="s">
        <v>2768</v>
      </c>
      <c r="H57" s="1104" t="str">
        <f>项目基本情况!B37</f>
        <v>二级</v>
      </c>
      <c r="I57" s="1108">
        <f>SUMIF(修正!A45:A56,H57,修正!B45:B56)</f>
        <v>0.8</v>
      </c>
      <c r="J57" s="1112"/>
      <c r="K57" s="1144"/>
      <c r="L57" s="941"/>
      <c r="M57" s="941"/>
      <c r="N57" s="941"/>
      <c r="O57" s="941"/>
    </row>
    <row r="58" spans="1:15" s="692" customFormat="1">
      <c r="A58" s="693" t="s">
        <v>2769</v>
      </c>
      <c r="B58" s="262" t="e">
        <f t="shared" ref="B58:B65" si="17">ROUND($C$48*C58*D58,0)</f>
        <v>#DIV/0!</v>
      </c>
      <c r="C58" s="200">
        <f t="shared" si="16"/>
        <v>0.5</v>
      </c>
      <c r="D58" s="1164">
        <v>0.25</v>
      </c>
      <c r="E58" s="694"/>
      <c r="F58" s="1103" t="e">
        <f t="shared" si="15"/>
        <v>#DIV/0!</v>
      </c>
      <c r="G58" s="3271"/>
      <c r="H58" s="1104" t="str">
        <f>项目基本情况!B37</f>
        <v>二级</v>
      </c>
      <c r="I58" s="1108">
        <f>SUMIF(修正!A45:A56,H58,修正!C45:C56)</f>
        <v>0.5</v>
      </c>
      <c r="J58" s="1112"/>
      <c r="K58" s="1145"/>
      <c r="L58" s="941"/>
      <c r="M58" s="941"/>
      <c r="N58" s="941"/>
      <c r="O58" s="941"/>
    </row>
    <row r="59" spans="1:15" s="692" customFormat="1">
      <c r="A59" s="693" t="s">
        <v>2770</v>
      </c>
      <c r="B59" s="262" t="e">
        <f t="shared" si="17"/>
        <v>#DIV/0!</v>
      </c>
      <c r="C59" s="200">
        <f t="shared" si="16"/>
        <v>0.36</v>
      </c>
      <c r="D59" s="1164">
        <v>0.25</v>
      </c>
      <c r="E59" s="694"/>
      <c r="F59" s="1103" t="e">
        <f t="shared" si="15"/>
        <v>#DIV/0!</v>
      </c>
      <c r="G59" s="3271"/>
      <c r="H59" s="1104" t="str">
        <f>项目基本情况!B37</f>
        <v>二级</v>
      </c>
      <c r="I59" s="1108">
        <f>SUMIF(修正!A45:A56,H59,修正!D45:D56)</f>
        <v>0.36</v>
      </c>
      <c r="J59" s="1112"/>
      <c r="K59" s="1144"/>
      <c r="L59" s="941"/>
      <c r="M59" s="941"/>
      <c r="N59" s="941"/>
      <c r="O59" s="941"/>
    </row>
    <row r="60" spans="1:15" s="692" customFormat="1">
      <c r="A60" s="693" t="s">
        <v>2771</v>
      </c>
      <c r="B60" s="262" t="e">
        <f t="shared" si="17"/>
        <v>#DIV/0!</v>
      </c>
      <c r="C60" s="200">
        <f t="shared" si="16"/>
        <v>0.3</v>
      </c>
      <c r="D60" s="1164">
        <v>0.25</v>
      </c>
      <c r="E60" s="694"/>
      <c r="F60" s="1103" t="e">
        <f t="shared" si="15"/>
        <v>#DIV/0!</v>
      </c>
      <c r="G60" s="3271"/>
      <c r="H60" s="1104" t="str">
        <f>项目基本情况!B37</f>
        <v>二级</v>
      </c>
      <c r="I60" s="1108">
        <f>SUMIF(修正!A45:A56,H60,修正!E45:E56)</f>
        <v>0.3</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1"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0.25</v>
      </c>
      <c r="D64" s="1164">
        <v>0.25</v>
      </c>
      <c r="E64" s="261">
        <f>'数据-汇总表'!E14</f>
        <v>0</v>
      </c>
      <c r="F64" s="1103" t="e">
        <f t="shared" si="15"/>
        <v>#DIV/0!</v>
      </c>
      <c r="G64" s="2711" t="s">
        <v>2768</v>
      </c>
      <c r="H64" s="1104" t="str">
        <f>项目基本情况!B37</f>
        <v>二级</v>
      </c>
      <c r="I64" s="1108">
        <f>SUMIF(修正!A45:A56,H64,修正!H45:H56)</f>
        <v>0.25</v>
      </c>
      <c r="J64" s="1112"/>
      <c r="K64" s="1145"/>
      <c r="L64" s="941"/>
      <c r="M64" s="941"/>
      <c r="N64" s="941"/>
      <c r="O64" s="941"/>
    </row>
    <row r="65" spans="1:17" s="692" customFormat="1" ht="14.5" thickBot="1">
      <c r="A65" s="693" t="s">
        <v>2779</v>
      </c>
      <c r="B65" s="262" t="e">
        <f t="shared" si="17"/>
        <v>#DIV/0!</v>
      </c>
      <c r="C65" s="200">
        <f t="shared" si="16"/>
        <v>0</v>
      </c>
      <c r="D65" s="1164">
        <v>0.25</v>
      </c>
      <c r="E65" s="261">
        <f>'数据-汇总表'!E15</f>
        <v>0</v>
      </c>
      <c r="F65" s="1103" t="e">
        <f t="shared" si="15"/>
        <v>#DIV/0!</v>
      </c>
      <c r="G65" s="2712" t="s">
        <v>2773</v>
      </c>
      <c r="H65" s="1114">
        <f>项目基本情况!C37</f>
        <v>0</v>
      </c>
      <c r="I65" s="1110">
        <f>SUMIF(修正!A45:A56,H65,修正!H45:H56)</f>
        <v>0</v>
      </c>
      <c r="J65" s="1113"/>
      <c r="K65" s="1144"/>
      <c r="L65" s="941"/>
      <c r="M65" s="941"/>
      <c r="N65" s="941"/>
      <c r="O65" s="941"/>
    </row>
    <row r="66" spans="1:17" s="692" customFormat="1" thickBot="1">
      <c r="A66" s="695" t="s">
        <v>2780</v>
      </c>
      <c r="B66" s="696" t="s">
        <v>28</v>
      </c>
      <c r="C66" s="696" t="s">
        <v>29</v>
      </c>
      <c r="D66" s="696" t="s">
        <v>1025</v>
      </c>
      <c r="E66" s="696">
        <f>IF(B46="楼面地价",SUM(E56:E65),'数据-汇总表'!D3)</f>
        <v>3000.7300000000005</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2020-2-1</v>
      </c>
      <c r="D68" s="761">
        <f>EDATE(C68,-3)</f>
        <v>43770</v>
      </c>
      <c r="E68" s="761">
        <f>EDATE(D68,-3)</f>
        <v>43678</v>
      </c>
      <c r="F68" s="761">
        <f t="shared" ref="F68:O68" si="18">EDATE(E68,-3)</f>
        <v>43586</v>
      </c>
      <c r="G68" s="761">
        <f t="shared" si="18"/>
        <v>43497</v>
      </c>
      <c r="H68" s="761">
        <f t="shared" si="18"/>
        <v>43405</v>
      </c>
      <c r="I68" s="761">
        <f t="shared" si="18"/>
        <v>43313</v>
      </c>
      <c r="J68" s="761">
        <f t="shared" si="18"/>
        <v>43221</v>
      </c>
      <c r="K68" s="761">
        <f t="shared" si="18"/>
        <v>43132</v>
      </c>
      <c r="L68" s="761">
        <f t="shared" si="18"/>
        <v>43040</v>
      </c>
      <c r="M68" s="761">
        <f t="shared" si="18"/>
        <v>42948</v>
      </c>
      <c r="N68" s="761">
        <f t="shared" si="18"/>
        <v>42856</v>
      </c>
      <c r="O68" s="761">
        <f t="shared" si="18"/>
        <v>42767</v>
      </c>
    </row>
    <row r="69" spans="1:17" ht="21.5" thickBot="1">
      <c r="A69" s="763" t="s">
        <v>2673</v>
      </c>
      <c r="B69" s="759"/>
      <c r="C69" s="764"/>
      <c r="D69" s="764"/>
      <c r="E69" s="764"/>
      <c r="F69" s="765"/>
      <c r="G69" s="765"/>
      <c r="H69" s="764"/>
      <c r="I69" s="764"/>
      <c r="J69" s="1159"/>
      <c r="K69" s="1160"/>
      <c r="L69" s="1161"/>
      <c r="M69" s="1159"/>
      <c r="N69" s="1159"/>
      <c r="O69" s="1159"/>
      <c r="P69" s="503"/>
      <c r="Q69" s="504"/>
    </row>
    <row r="70" spans="1:17" s="508" customFormat="1">
      <c r="A70" s="2713" t="s">
        <v>2781</v>
      </c>
      <c r="B70" s="1359"/>
      <c r="C70" s="1572" t="str">
        <f>YEAR(C68)&amp;"-"&amp;ROUNDUP(MONTH(C68)/3,0)</f>
        <v>2020-1</v>
      </c>
      <c r="D70" s="1572" t="str">
        <f>YEAR(D68)&amp;"-"&amp;ROUNDUP(MONTH(D68)/3,0)</f>
        <v>2019-4</v>
      </c>
      <c r="E70" s="1572" t="str">
        <f t="shared" ref="E70:O70" si="19">YEAR(E68)&amp;"-"&amp;ROUNDUP(MONTH(E68)/3,0)</f>
        <v>2019-3</v>
      </c>
      <c r="F70" s="1572" t="str">
        <f t="shared" si="19"/>
        <v>2019-2</v>
      </c>
      <c r="G70" s="1572" t="str">
        <f t="shared" si="19"/>
        <v>2019-1</v>
      </c>
      <c r="H70" s="1572" t="str">
        <f t="shared" si="19"/>
        <v>2018-4</v>
      </c>
      <c r="I70" s="1572" t="str">
        <f t="shared" si="19"/>
        <v>2018-3</v>
      </c>
      <c r="J70" s="1572" t="str">
        <f t="shared" si="19"/>
        <v>2018-2</v>
      </c>
      <c r="K70" s="1572" t="str">
        <f t="shared" si="19"/>
        <v>2018-1</v>
      </c>
      <c r="L70" s="1572" t="str">
        <f t="shared" si="19"/>
        <v>2017-4</v>
      </c>
      <c r="M70" s="1572" t="str">
        <f t="shared" si="19"/>
        <v>2017-3</v>
      </c>
      <c r="N70" s="1572" t="str">
        <f t="shared" si="19"/>
        <v>2017-2</v>
      </c>
      <c r="O70" s="1572" t="str">
        <f t="shared" si="19"/>
        <v>2017-1</v>
      </c>
      <c r="P70" s="507"/>
    </row>
    <row r="71" spans="1:17" s="117" customFormat="1" ht="30" customHeight="1">
      <c r="A71" s="2714" t="s">
        <v>2782</v>
      </c>
      <c r="B71" s="332" t="str">
        <f>"北京市平均增长率"&amp;TEXT(SUMIF(基准地价修正!N21:N25,A71,基准地价修正!P21:P25),"0.00%")</f>
        <v>北京市平均增长率2.10%</v>
      </c>
      <c r="C71" s="603">
        <v>100</v>
      </c>
      <c r="D71" s="595"/>
      <c r="E71" s="595"/>
      <c r="F71" s="595"/>
      <c r="G71" s="595"/>
      <c r="H71" s="595"/>
      <c r="I71" s="595"/>
      <c r="J71" s="595"/>
      <c r="K71" s="595"/>
      <c r="L71" s="595"/>
      <c r="M71" s="1567"/>
      <c r="N71" s="595"/>
      <c r="O71" s="1568"/>
      <c r="P71" s="504"/>
    </row>
    <row r="72" spans="1:17" s="117" customFormat="1" ht="14.5" thickBot="1">
      <c r="A72" s="515" t="s">
        <v>2584</v>
      </c>
      <c r="B72" s="516"/>
      <c r="C72" s="517"/>
      <c r="D72" s="518"/>
      <c r="E72" s="518"/>
      <c r="F72" s="518"/>
      <c r="G72" s="518"/>
      <c r="H72" s="518"/>
      <c r="I72" s="518"/>
      <c r="J72" s="518"/>
      <c r="K72" s="518"/>
      <c r="L72" s="518"/>
      <c r="M72" s="519"/>
      <c r="N72" s="518"/>
      <c r="O72" s="1162"/>
      <c r="P72" s="504"/>
      <c r="Q72" s="504"/>
    </row>
    <row r="73" spans="1:17" s="117" customFormat="1">
      <c r="A73" s="521" t="s">
        <v>2549</v>
      </c>
      <c r="B73" s="510"/>
      <c r="C73" s="522" t="s">
        <v>2651</v>
      </c>
      <c r="D73" s="523"/>
      <c r="E73" s="523"/>
      <c r="F73" s="523"/>
      <c r="G73" s="523"/>
      <c r="H73" s="523"/>
      <c r="I73" s="523"/>
      <c r="J73" s="523"/>
      <c r="K73" s="523"/>
      <c r="L73" s="524"/>
      <c r="M73" s="525"/>
      <c r="N73" s="1151"/>
      <c r="O73" s="1151"/>
      <c r="P73" s="526"/>
      <c r="Q73" s="504"/>
    </row>
    <row r="74" spans="1:17" s="117" customFormat="1" ht="14.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4.5" thickBot="1">
      <c r="A76" s="534"/>
      <c r="B76" s="535"/>
      <c r="C76" s="536"/>
      <c r="D76" s="536"/>
      <c r="E76" s="536"/>
      <c r="F76" s="536"/>
      <c r="G76" s="536"/>
      <c r="H76" s="536"/>
      <c r="I76" s="536"/>
      <c r="J76" s="536"/>
      <c r="K76" s="536"/>
      <c r="L76" s="536"/>
      <c r="M76" s="537"/>
      <c r="N76" s="1153"/>
      <c r="O76" s="1153"/>
      <c r="P76" s="45"/>
      <c r="Q76" s="504"/>
    </row>
    <row r="77" spans="1:17" ht="28.5" thickTop="1">
      <c r="A77" s="534"/>
      <c r="B77" s="538" t="s">
        <v>2556</v>
      </c>
      <c r="C77" s="539"/>
      <c r="D77" s="539"/>
      <c r="E77" s="539"/>
      <c r="F77" s="539"/>
      <c r="G77" s="539"/>
      <c r="H77" s="539"/>
      <c r="I77" s="539"/>
      <c r="J77" s="539"/>
      <c r="K77" s="540"/>
      <c r="L77" s="541"/>
      <c r="M77" s="542"/>
      <c r="N77" s="1152"/>
      <c r="O77" s="1152"/>
      <c r="P77" s="45"/>
      <c r="Q77" s="504"/>
    </row>
    <row r="78" spans="1:17" ht="14.5" thickBot="1">
      <c r="A78" s="534"/>
      <c r="B78" s="543"/>
      <c r="C78" s="544"/>
      <c r="D78" s="544"/>
      <c r="E78" s="544"/>
      <c r="F78" s="544"/>
      <c r="G78" s="544"/>
      <c r="H78" s="544"/>
      <c r="I78" s="544"/>
      <c r="J78" s="544"/>
      <c r="K78" s="544"/>
      <c r="L78" s="544"/>
      <c r="M78" s="545"/>
      <c r="N78" s="1153"/>
      <c r="O78" s="1153"/>
      <c r="P78" s="45"/>
      <c r="Q78" s="504"/>
    </row>
    <row r="79" spans="1:17" ht="14.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c r="A80" s="534"/>
      <c r="B80" s="548"/>
      <c r="C80" s="549"/>
      <c r="D80" s="549"/>
      <c r="E80" s="549"/>
      <c r="F80" s="549"/>
      <c r="G80" s="549"/>
      <c r="H80" s="549"/>
      <c r="I80" s="549"/>
      <c r="J80" s="549"/>
      <c r="K80" s="550"/>
      <c r="L80" s="551"/>
      <c r="M80" s="552"/>
      <c r="N80" s="1152"/>
      <c r="O80" s="1152"/>
      <c r="P80" s="45"/>
      <c r="Q80" s="504"/>
    </row>
    <row r="81" spans="1:17" ht="14.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4.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4.5" thickBot="1">
      <c r="A83" s="553"/>
      <c r="B83" s="543"/>
      <c r="C83" s="560"/>
      <c r="D83" s="536"/>
      <c r="E83" s="536"/>
      <c r="F83" s="536"/>
      <c r="G83" s="536"/>
      <c r="H83" s="536"/>
      <c r="I83" s="536"/>
      <c r="J83" s="536"/>
      <c r="K83" s="536"/>
      <c r="L83" s="536"/>
      <c r="M83" s="537"/>
      <c r="N83" s="1153"/>
      <c r="O83" s="1153"/>
      <c r="P83" s="558"/>
      <c r="Q83" s="559"/>
    </row>
    <row r="84" spans="1:17" s="471" customFormat="1" ht="14.5" thickTop="1">
      <c r="A84" s="553"/>
      <c r="B84" s="538">
        <f>B13</f>
        <v>111</v>
      </c>
      <c r="C84" s="554"/>
      <c r="D84" s="554"/>
      <c r="E84" s="554"/>
      <c r="F84" s="554"/>
      <c r="G84" s="554"/>
      <c r="H84" s="555"/>
      <c r="I84" s="555"/>
      <c r="J84" s="555"/>
      <c r="K84" s="555"/>
      <c r="L84" s="556"/>
      <c r="M84" s="557"/>
      <c r="N84" s="1154"/>
      <c r="O84" s="1154"/>
      <c r="P84" s="470"/>
      <c r="Q84" s="561"/>
    </row>
    <row r="85" spans="1:17" s="471" customFormat="1" ht="14.5" thickBot="1">
      <c r="A85" s="553"/>
      <c r="B85" s="543"/>
      <c r="C85" s="560"/>
      <c r="D85" s="560"/>
      <c r="E85" s="560"/>
      <c r="F85" s="560"/>
      <c r="G85" s="560"/>
      <c r="H85" s="562"/>
      <c r="I85" s="562"/>
      <c r="J85" s="562"/>
      <c r="K85" s="562"/>
      <c r="L85" s="562"/>
      <c r="M85" s="563"/>
      <c r="N85" s="1154"/>
      <c r="O85" s="1154"/>
      <c r="P85" s="558"/>
      <c r="Q85" s="559"/>
    </row>
    <row r="86" spans="1:17" s="471" customFormat="1" ht="14.5" thickTop="1">
      <c r="A86" s="553"/>
      <c r="B86" s="546">
        <f>B14</f>
        <v>111</v>
      </c>
      <c r="C86" s="523"/>
      <c r="D86" s="523"/>
      <c r="E86" s="523"/>
      <c r="F86" s="523"/>
      <c r="G86" s="523"/>
      <c r="H86" s="564"/>
      <c r="I86" s="564"/>
      <c r="J86" s="564"/>
      <c r="K86" s="564"/>
      <c r="L86" s="565"/>
      <c r="M86" s="566"/>
      <c r="N86" s="1154"/>
      <c r="O86" s="1154"/>
      <c r="P86" s="567"/>
      <c r="Q86" s="559"/>
    </row>
    <row r="87" spans="1:17" s="471" customFormat="1" ht="14.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4.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4.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4.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4.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4.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4.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4.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28.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4.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8.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4.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4.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4.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4.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4.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4.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4.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8.5" thickTop="1">
      <c r="A106" s="534"/>
      <c r="B106" s="538" t="s">
        <v>2690</v>
      </c>
      <c r="C106" s="554"/>
      <c r="D106" s="554"/>
      <c r="E106" s="554"/>
      <c r="F106" s="554"/>
      <c r="G106" s="554"/>
      <c r="H106" s="583"/>
      <c r="I106" s="583"/>
      <c r="J106" s="583"/>
      <c r="K106" s="584"/>
      <c r="L106" s="585"/>
      <c r="M106" s="586"/>
      <c r="N106" s="1152"/>
      <c r="O106" s="1152"/>
      <c r="P106" s="45"/>
      <c r="Q106" s="504"/>
    </row>
    <row r="107" spans="1:17" ht="14.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4.5" thickTop="1">
      <c r="A108" s="534"/>
      <c r="B108" s="538" t="s">
        <v>2749</v>
      </c>
      <c r="C108" s="583"/>
      <c r="D108" s="583"/>
      <c r="E108" s="583"/>
      <c r="F108" s="583"/>
      <c r="G108" s="583"/>
      <c r="H108" s="583"/>
      <c r="I108" s="583"/>
      <c r="J108" s="583"/>
      <c r="K108" s="584"/>
      <c r="L108" s="585"/>
      <c r="M108" s="586"/>
      <c r="N108" s="1152"/>
      <c r="O108" s="1152"/>
      <c r="P108" s="45"/>
      <c r="Q108" s="504"/>
    </row>
    <row r="109" spans="1:17" ht="14.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4.5" thickTop="1">
      <c r="A110" s="534"/>
      <c r="B110" s="546">
        <f>B35</f>
        <v>111</v>
      </c>
      <c r="C110" s="554"/>
      <c r="D110" s="554"/>
      <c r="E110" s="554"/>
      <c r="F110" s="554"/>
      <c r="G110" s="587"/>
      <c r="H110" s="587"/>
      <c r="I110" s="587"/>
      <c r="J110" s="587"/>
      <c r="K110" s="588"/>
      <c r="L110" s="589"/>
      <c r="M110" s="590"/>
      <c r="N110" s="1152"/>
      <c r="O110" s="1152"/>
      <c r="P110" s="45"/>
      <c r="Q110" s="504"/>
    </row>
    <row r="111" spans="1:17" ht="14.5" thickBot="1">
      <c r="A111" s="534"/>
      <c r="B111" s="569"/>
      <c r="C111" s="560"/>
      <c r="D111" s="560"/>
      <c r="E111" s="560"/>
      <c r="F111" s="560"/>
      <c r="G111" s="591"/>
      <c r="H111" s="591"/>
      <c r="I111" s="591"/>
      <c r="J111" s="591"/>
      <c r="K111" s="591"/>
      <c r="L111" s="591"/>
      <c r="M111" s="592"/>
      <c r="N111" s="1153"/>
      <c r="O111" s="1153"/>
      <c r="P111" s="45"/>
      <c r="Q111" s="504"/>
    </row>
    <row r="112" spans="1:17" ht="14.5" thickTop="1">
      <c r="A112" s="675"/>
      <c r="B112" s="538">
        <f>B36</f>
        <v>111</v>
      </c>
      <c r="C112" s="523"/>
      <c r="D112" s="523"/>
      <c r="E112" s="523"/>
      <c r="F112" s="523"/>
      <c r="G112" s="583"/>
      <c r="H112" s="583"/>
      <c r="I112" s="583"/>
      <c r="J112" s="583"/>
      <c r="K112" s="584"/>
      <c r="L112" s="585"/>
      <c r="M112" s="586"/>
      <c r="N112" s="1152"/>
      <c r="O112" s="1152"/>
      <c r="P112" s="45"/>
      <c r="Q112" s="504"/>
    </row>
    <row r="113" spans="1:17" ht="14.5" thickBot="1">
      <c r="A113" s="534"/>
      <c r="B113" s="543"/>
      <c r="C113" s="570"/>
      <c r="D113" s="570"/>
      <c r="E113" s="570"/>
      <c r="F113" s="570"/>
      <c r="G113" s="536"/>
      <c r="H113" s="536"/>
      <c r="I113" s="536"/>
      <c r="J113" s="536"/>
      <c r="K113" s="536"/>
      <c r="L113" s="536"/>
      <c r="M113" s="537"/>
      <c r="N113" s="1153"/>
      <c r="O113" s="1153"/>
      <c r="P113" s="45"/>
      <c r="Q113" s="504"/>
    </row>
    <row r="114" spans="1:17" s="471" customFormat="1" ht="14.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4.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c r="D117" s="595"/>
      <c r="E117" s="595"/>
      <c r="F117" s="595"/>
      <c r="G117" s="595"/>
      <c r="H117" s="595"/>
      <c r="I117" s="595"/>
      <c r="J117" s="596"/>
      <c r="K117" s="596"/>
      <c r="L117" s="597"/>
      <c r="M117" s="598"/>
      <c r="N117" s="1152"/>
      <c r="O117" s="1152"/>
      <c r="P117" s="45"/>
      <c r="Q117" s="504"/>
    </row>
    <row r="118" spans="1:17" ht="14.5" thickBot="1">
      <c r="A118" s="534"/>
      <c r="B118" s="543"/>
      <c r="C118" s="570"/>
      <c r="D118" s="591"/>
      <c r="E118" s="591"/>
      <c r="F118" s="591"/>
      <c r="G118" s="591"/>
      <c r="H118" s="591"/>
      <c r="I118" s="591"/>
      <c r="J118" s="591"/>
      <c r="K118" s="591"/>
      <c r="L118" s="591"/>
      <c r="M118" s="592"/>
      <c r="N118" s="1153"/>
      <c r="O118" s="1153"/>
      <c r="P118" s="45"/>
      <c r="Q118" s="504"/>
    </row>
    <row r="119" spans="1:17" ht="14.5" thickTop="1">
      <c r="A119" s="599"/>
      <c r="B119" s="538" t="s">
        <v>2791</v>
      </c>
      <c r="C119" s="583"/>
      <c r="D119" s="583"/>
      <c r="E119" s="583"/>
      <c r="F119" s="583"/>
      <c r="G119" s="583"/>
      <c r="H119" s="583"/>
      <c r="I119" s="583"/>
      <c r="J119" s="583"/>
      <c r="K119" s="584"/>
      <c r="L119" s="585"/>
      <c r="M119" s="586"/>
      <c r="N119" s="1152"/>
      <c r="O119" s="1152"/>
      <c r="P119" s="45"/>
      <c r="Q119" s="504"/>
    </row>
    <row r="120" spans="1:17" ht="14.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4.5" thickTop="1">
      <c r="A121" s="599"/>
      <c r="B121" s="538" t="s">
        <v>2792</v>
      </c>
      <c r="C121" s="554"/>
      <c r="D121" s="554"/>
      <c r="E121" s="554"/>
      <c r="F121" s="583"/>
      <c r="G121" s="583"/>
      <c r="H121" s="583"/>
      <c r="I121" s="583"/>
      <c r="J121" s="583"/>
      <c r="K121" s="584"/>
      <c r="L121" s="585"/>
      <c r="M121" s="586"/>
      <c r="N121" s="1152"/>
      <c r="O121" s="1152"/>
      <c r="P121" s="45"/>
      <c r="Q121" s="504"/>
    </row>
    <row r="122" spans="1:17" ht="14.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4.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4.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4.5" thickTop="1">
      <c r="A125" s="599"/>
      <c r="B125" s="538" t="s">
        <v>2794</v>
      </c>
      <c r="C125" s="554"/>
      <c r="D125" s="554"/>
      <c r="E125" s="583"/>
      <c r="F125" s="583"/>
      <c r="G125" s="583"/>
      <c r="H125" s="583"/>
      <c r="I125" s="583"/>
      <c r="J125" s="583"/>
      <c r="K125" s="584"/>
      <c r="L125" s="585"/>
      <c r="M125" s="586"/>
      <c r="N125" s="1152"/>
      <c r="O125" s="1152"/>
      <c r="P125" s="45"/>
      <c r="Q125" s="504"/>
    </row>
    <row r="126" spans="1:17" ht="14.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4.5" thickTop="1">
      <c r="A127" s="599"/>
      <c r="B127" s="538">
        <f>B43</f>
        <v>111</v>
      </c>
      <c r="C127" s="554"/>
      <c r="D127" s="554"/>
      <c r="E127" s="554"/>
      <c r="F127" s="554"/>
      <c r="G127" s="554"/>
      <c r="H127" s="583"/>
      <c r="I127" s="583"/>
      <c r="J127" s="583"/>
      <c r="K127" s="584"/>
      <c r="L127" s="585"/>
      <c r="M127" s="586"/>
      <c r="N127" s="1152"/>
      <c r="O127" s="1152"/>
      <c r="P127" s="45"/>
      <c r="Q127" s="504"/>
    </row>
    <row r="128" spans="1:17" ht="14.5" thickBot="1">
      <c r="A128" s="534"/>
      <c r="B128" s="543"/>
      <c r="C128" s="560"/>
      <c r="D128" s="560"/>
      <c r="E128" s="560"/>
      <c r="F128" s="560"/>
      <c r="G128" s="536"/>
      <c r="H128" s="536"/>
      <c r="I128" s="536"/>
      <c r="J128" s="536"/>
      <c r="K128" s="536"/>
      <c r="L128" s="536"/>
      <c r="M128" s="537"/>
      <c r="N128" s="1153"/>
      <c r="O128" s="1153"/>
      <c r="P128" s="45"/>
      <c r="Q128" s="504"/>
    </row>
    <row r="129" spans="1:17" ht="14.5" thickTop="1">
      <c r="A129" s="599"/>
      <c r="B129" s="538">
        <f>B44</f>
        <v>111</v>
      </c>
      <c r="C129" s="523"/>
      <c r="D129" s="523"/>
      <c r="E129" s="523"/>
      <c r="F129" s="523"/>
      <c r="G129" s="583"/>
      <c r="H129" s="583"/>
      <c r="I129" s="583"/>
      <c r="J129" s="583"/>
      <c r="K129" s="584"/>
      <c r="L129" s="585"/>
      <c r="M129" s="586"/>
      <c r="N129" s="1152"/>
      <c r="O129" s="1152"/>
      <c r="P129" s="45"/>
      <c r="Q129" s="504"/>
    </row>
    <row r="130" spans="1:17" ht="14.5" thickBot="1">
      <c r="A130" s="534"/>
      <c r="B130" s="543"/>
      <c r="C130" s="570"/>
      <c r="D130" s="570"/>
      <c r="E130" s="570"/>
      <c r="F130" s="570"/>
      <c r="G130" s="536"/>
      <c r="H130" s="536"/>
      <c r="I130" s="536"/>
      <c r="J130" s="536"/>
      <c r="K130" s="536"/>
      <c r="L130" s="536"/>
      <c r="M130" s="537"/>
      <c r="N130" s="1153"/>
      <c r="O130" s="1153"/>
      <c r="P130" s="45"/>
      <c r="Q130" s="504"/>
    </row>
    <row r="131" spans="1:17" s="471" customFormat="1" ht="14.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4.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C121"/>
  <sheetViews>
    <sheetView zoomScale="80" zoomScaleNormal="80" workbookViewId="0">
      <selection sqref="A1:XFD1048576"/>
    </sheetView>
  </sheetViews>
  <sheetFormatPr defaultColWidth="9" defaultRowHeight="14"/>
  <cols>
    <col min="1" max="1" width="14.36328125" style="403" customWidth="1"/>
    <col min="2" max="2" width="15.81640625" style="403" customWidth="1"/>
    <col min="3" max="3" width="14.3632812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403"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11" t="s">
        <v>2646</v>
      </c>
      <c r="S4" s="3212"/>
      <c r="T4" s="3211" t="s">
        <v>2647</v>
      </c>
      <c r="U4" s="3212"/>
      <c r="V4" s="3236" t="s">
        <v>2648</v>
      </c>
      <c r="W4" s="3236"/>
      <c r="X4" s="1813"/>
      <c r="Y4" s="3211" t="s">
        <v>2650</v>
      </c>
      <c r="Z4" s="3212"/>
      <c r="AA4" s="3206" t="s">
        <v>2646</v>
      </c>
      <c r="AB4" s="3207" t="s">
        <v>2647</v>
      </c>
      <c r="AC4" s="3206" t="s">
        <v>2648</v>
      </c>
    </row>
    <row r="5" spans="1:29">
      <c r="A5" s="404"/>
      <c r="B5" s="405"/>
      <c r="C5" s="3217" t="s">
        <v>2541</v>
      </c>
      <c r="D5" s="3218"/>
      <c r="E5" s="3215" t="s">
        <v>2542</v>
      </c>
      <c r="F5" s="3216"/>
      <c r="G5" s="3217" t="s">
        <v>2543</v>
      </c>
      <c r="H5" s="3218"/>
      <c r="I5" s="3217" t="s">
        <v>2544</v>
      </c>
      <c r="J5" s="3218"/>
      <c r="K5" s="610"/>
      <c r="L5" s="1130"/>
      <c r="M5" s="1131"/>
      <c r="N5" s="1131"/>
      <c r="O5" s="1131"/>
      <c r="P5" s="3230"/>
      <c r="Q5" s="3231"/>
      <c r="R5" s="3213"/>
      <c r="S5" s="3214"/>
      <c r="T5" s="3213"/>
      <c r="U5" s="3214"/>
      <c r="V5" s="3236"/>
      <c r="W5" s="3236"/>
      <c r="X5" s="1813"/>
      <c r="Y5" s="3213"/>
      <c r="Z5" s="3214"/>
      <c r="AA5" s="3207"/>
      <c r="AB5" s="3207"/>
      <c r="AC5" s="3207"/>
    </row>
    <row r="6" spans="1:29" ht="15" thickBot="1">
      <c r="A6" s="406"/>
      <c r="B6" s="407"/>
      <c r="C6" s="3272" t="s">
        <v>2796</v>
      </c>
      <c r="D6" s="3273"/>
      <c r="E6" s="3274" t="s">
        <v>2796</v>
      </c>
      <c r="F6" s="3275"/>
      <c r="G6" s="3272" t="s">
        <v>2796</v>
      </c>
      <c r="H6" s="3273"/>
      <c r="I6" s="3272" t="s">
        <v>2796</v>
      </c>
      <c r="J6" s="3273"/>
      <c r="K6" s="610" t="s">
        <v>2546</v>
      </c>
      <c r="L6" s="1130"/>
      <c r="M6" s="1131"/>
      <c r="N6" s="1131"/>
      <c r="O6" s="1131"/>
      <c r="P6" s="3232"/>
      <c r="Q6" s="3233"/>
      <c r="R6" s="3213"/>
      <c r="S6" s="3214"/>
      <c r="T6" s="3234"/>
      <c r="U6" s="3235"/>
      <c r="V6" s="3236"/>
      <c r="W6" s="3236"/>
      <c r="X6" s="1813"/>
      <c r="Y6" s="3234"/>
      <c r="Z6" s="3235"/>
      <c r="AA6" s="3208"/>
      <c r="AB6" s="3208"/>
      <c r="AC6" s="3208"/>
    </row>
    <row r="7" spans="1:29" s="117" customFormat="1" ht="14.5" thickBot="1">
      <c r="A7" s="408" t="s">
        <v>2547</v>
      </c>
      <c r="B7" s="409"/>
      <c r="C7" s="410">
        <f>'数据-取费表'!B2</f>
        <v>43872</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09" t="s">
        <v>2548</v>
      </c>
      <c r="Q7" s="3237"/>
      <c r="R7" s="770" t="s">
        <v>17</v>
      </c>
      <c r="S7" s="771">
        <f t="shared" ref="S7:S15" si="0">F7</f>
        <v>0</v>
      </c>
      <c r="T7" s="770" t="s">
        <v>17</v>
      </c>
      <c r="U7" s="771">
        <f t="shared" ref="U7:U15" si="1">H7</f>
        <v>0</v>
      </c>
      <c r="V7" s="770" t="s">
        <v>17</v>
      </c>
      <c r="W7" s="771">
        <f t="shared" ref="W7:W15" si="2">J7</f>
        <v>0</v>
      </c>
      <c r="X7" s="772"/>
      <c r="Y7" s="3209" t="s">
        <v>2548</v>
      </c>
      <c r="Z7" s="3210"/>
      <c r="AA7" s="773" t="e">
        <f>D7/F7</f>
        <v>#DIV/0!</v>
      </c>
      <c r="AB7" s="773" t="e">
        <f>D7/H7</f>
        <v>#DIV/0!</v>
      </c>
      <c r="AC7" s="773" t="e">
        <f>D7/J7</f>
        <v>#DIV/0!</v>
      </c>
    </row>
    <row r="8" spans="1:29" s="117" customFormat="1" ht="14.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9" t="s">
        <v>2551</v>
      </c>
      <c r="Q8" s="3210"/>
      <c r="R8" s="770" t="s">
        <v>17</v>
      </c>
      <c r="S8" s="771">
        <f t="shared" si="0"/>
        <v>0</v>
      </c>
      <c r="T8" s="770" t="s">
        <v>17</v>
      </c>
      <c r="U8" s="771">
        <f t="shared" si="1"/>
        <v>0</v>
      </c>
      <c r="V8" s="770" t="s">
        <v>17</v>
      </c>
      <c r="W8" s="771">
        <f t="shared" si="2"/>
        <v>0</v>
      </c>
      <c r="X8" s="772"/>
      <c r="Y8" s="3209" t="s">
        <v>2551</v>
      </c>
      <c r="Z8" s="3210"/>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41" t="s">
        <v>2554</v>
      </c>
      <c r="Q9" s="1795"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29" s="427" customFormat="1" ht="28">
      <c r="A10" s="421"/>
      <c r="B10" s="422" t="s">
        <v>2556</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241"/>
      <c r="Q10" s="1795" t="str">
        <f t="shared" si="6"/>
        <v>土地使用年限（年）</v>
      </c>
      <c r="R10" s="770" t="s">
        <v>17</v>
      </c>
      <c r="S10" s="771">
        <f t="shared" si="0"/>
        <v>113</v>
      </c>
      <c r="T10" s="770" t="s">
        <v>17</v>
      </c>
      <c r="U10" s="771">
        <f t="shared" si="1"/>
        <v>113</v>
      </c>
      <c r="V10" s="770" t="s">
        <v>17</v>
      </c>
      <c r="W10" s="771">
        <f t="shared" si="2"/>
        <v>113</v>
      </c>
      <c r="X10" s="772"/>
      <c r="Y10" s="3056"/>
      <c r="Z10" s="55" t="str">
        <f t="shared" si="7"/>
        <v>土地使用年限（年）</v>
      </c>
      <c r="AA10" s="773">
        <f t="shared" si="3"/>
        <v>0.88495575221238942</v>
      </c>
      <c r="AB10" s="773">
        <f t="shared" si="4"/>
        <v>0.88495575221238942</v>
      </c>
      <c r="AC10" s="773">
        <f t="shared" si="5"/>
        <v>0.88495575221238942</v>
      </c>
    </row>
    <row r="11" spans="1:29" ht="15.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1"/>
      <c r="Q11" s="1795" t="str">
        <f t="shared" si="6"/>
        <v>容积率</v>
      </c>
      <c r="R11" s="770" t="s">
        <v>17</v>
      </c>
      <c r="S11" s="771" t="e">
        <f t="shared" si="0"/>
        <v>#N/A</v>
      </c>
      <c r="T11" s="770" t="s">
        <v>17</v>
      </c>
      <c r="U11" s="771" t="e">
        <f t="shared" si="1"/>
        <v>#N/A</v>
      </c>
      <c r="V11" s="770" t="s">
        <v>17</v>
      </c>
      <c r="W11" s="771" t="e">
        <f t="shared" si="2"/>
        <v>#N/A</v>
      </c>
      <c r="X11" s="772"/>
      <c r="Y11" s="3056"/>
      <c r="Z11" s="55" t="str">
        <f t="shared" si="7"/>
        <v>容积率</v>
      </c>
      <c r="AA11" s="773" t="e">
        <f t="shared" si="3"/>
        <v>#N/A</v>
      </c>
      <c r="AB11" s="773" t="e">
        <f t="shared" si="4"/>
        <v>#N/A</v>
      </c>
      <c r="AC11" s="773" t="e">
        <f t="shared" si="5"/>
        <v>#N/A</v>
      </c>
    </row>
    <row r="12" spans="1:29" s="117" customFormat="1" ht="15.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1"/>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1"/>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6"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1"/>
      <c r="Q14" s="1795">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70">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3" t="s">
        <v>2559</v>
      </c>
      <c r="Q15" s="1810" t="str">
        <f t="shared" si="6"/>
        <v>产业集聚程度</v>
      </c>
      <c r="R15" s="774" t="s">
        <v>17</v>
      </c>
      <c r="S15" s="775">
        <f t="shared" si="0"/>
        <v>100</v>
      </c>
      <c r="T15" s="774" t="s">
        <v>17</v>
      </c>
      <c r="U15" s="775">
        <f t="shared" si="1"/>
        <v>100</v>
      </c>
      <c r="V15" s="774" t="s">
        <v>17</v>
      </c>
      <c r="W15" s="775">
        <f t="shared" si="2"/>
        <v>100</v>
      </c>
      <c r="X15" s="1813"/>
      <c r="Y15" s="3243" t="s">
        <v>2559</v>
      </c>
      <c r="Z15" s="1814" t="str">
        <f t="shared" si="7"/>
        <v>产业集聚程度</v>
      </c>
      <c r="AA15" s="1811">
        <f t="shared" si="3"/>
        <v>1</v>
      </c>
      <c r="AB15" s="1811">
        <f t="shared" si="4"/>
        <v>1</v>
      </c>
      <c r="AC15" s="1811">
        <f t="shared" si="5"/>
        <v>1</v>
      </c>
    </row>
    <row r="16" spans="1:29" ht="15.5">
      <c r="A16" s="428"/>
      <c r="B16" s="630"/>
      <c r="C16" s="447"/>
      <c r="D16" s="448"/>
      <c r="E16" s="2613"/>
      <c r="F16" s="448"/>
      <c r="G16" s="2613"/>
      <c r="H16" s="450"/>
      <c r="I16" s="2613"/>
      <c r="J16" s="448"/>
      <c r="K16" s="672"/>
      <c r="L16" s="1140"/>
      <c r="M16" s="1131"/>
      <c r="N16" s="1131"/>
      <c r="O16" s="1139"/>
      <c r="P16" s="3244"/>
      <c r="Q16" s="1810"/>
      <c r="R16" s="774"/>
      <c r="S16" s="775"/>
      <c r="T16" s="774"/>
      <c r="U16" s="775"/>
      <c r="V16" s="774"/>
      <c r="W16" s="775"/>
      <c r="X16" s="1813"/>
      <c r="Y16" s="3244"/>
      <c r="Z16" s="1814"/>
      <c r="AA16" s="1811">
        <v>1</v>
      </c>
      <c r="AB16" s="1811">
        <v>1</v>
      </c>
      <c r="AC16" s="1811">
        <v>1</v>
      </c>
    </row>
    <row r="17" spans="1:29" ht="98">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4"/>
      <c r="Q17" s="1810" t="str">
        <f>B17</f>
        <v>交通便捷度</v>
      </c>
      <c r="R17" s="774" t="s">
        <v>17</v>
      </c>
      <c r="S17" s="775">
        <f>F17</f>
        <v>100</v>
      </c>
      <c r="T17" s="774" t="s">
        <v>17</v>
      </c>
      <c r="U17" s="775">
        <f>H17</f>
        <v>100</v>
      </c>
      <c r="V17" s="774" t="s">
        <v>17</v>
      </c>
      <c r="W17" s="775">
        <f>J17</f>
        <v>100</v>
      </c>
      <c r="X17" s="1813"/>
      <c r="Y17" s="3244"/>
      <c r="Z17" s="1814" t="str">
        <f>Q17</f>
        <v>交通便捷度</v>
      </c>
      <c r="AA17" s="1811">
        <f t="shared" si="3"/>
        <v>1</v>
      </c>
      <c r="AB17" s="1811">
        <f t="shared" si="4"/>
        <v>1</v>
      </c>
      <c r="AC17" s="1811">
        <f t="shared" si="5"/>
        <v>1</v>
      </c>
    </row>
    <row r="18" spans="1:29" ht="15.5">
      <c r="A18" s="428"/>
      <c r="B18" s="632"/>
      <c r="C18" s="447"/>
      <c r="D18" s="448"/>
      <c r="E18" s="2607"/>
      <c r="F18" s="448"/>
      <c r="G18" s="2607"/>
      <c r="H18" s="448"/>
      <c r="I18" s="2606"/>
      <c r="J18" s="448"/>
      <c r="K18" s="672"/>
      <c r="L18" s="1140"/>
      <c r="M18" s="1131"/>
      <c r="N18" s="1131"/>
      <c r="O18" s="1139"/>
      <c r="P18" s="3244"/>
      <c r="Q18" s="1810"/>
      <c r="R18" s="774"/>
      <c r="S18" s="775"/>
      <c r="T18" s="774"/>
      <c r="U18" s="775"/>
      <c r="V18" s="774"/>
      <c r="W18" s="775"/>
      <c r="X18" s="1813"/>
      <c r="Y18" s="3244"/>
      <c r="Z18" s="1814"/>
      <c r="AA18" s="1811">
        <v>1</v>
      </c>
      <c r="AB18" s="1811">
        <v>1</v>
      </c>
      <c r="AC18" s="1811">
        <v>1</v>
      </c>
    </row>
    <row r="19" spans="1:29" ht="28">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4"/>
      <c r="Q19" s="1810" t="str">
        <f t="shared" ref="Q19:Q33" si="8">B19</f>
        <v>区域土地利用方向</v>
      </c>
      <c r="R19" s="774" t="s">
        <v>17</v>
      </c>
      <c r="S19" s="775">
        <f>F19</f>
        <v>100</v>
      </c>
      <c r="T19" s="774" t="s">
        <v>17</v>
      </c>
      <c r="U19" s="775">
        <f>H19</f>
        <v>100</v>
      </c>
      <c r="V19" s="774" t="s">
        <v>17</v>
      </c>
      <c r="W19" s="775">
        <f>J19</f>
        <v>100</v>
      </c>
      <c r="X19" s="1813"/>
      <c r="Y19" s="3244"/>
      <c r="Z19" s="1814" t="str">
        <f>Q19</f>
        <v>区域土地利用方向</v>
      </c>
      <c r="AA19" s="1811">
        <f t="shared" si="3"/>
        <v>1</v>
      </c>
      <c r="AB19" s="1811">
        <f t="shared" si="4"/>
        <v>1</v>
      </c>
      <c r="AC19" s="1811">
        <f t="shared" si="5"/>
        <v>1</v>
      </c>
    </row>
    <row r="20" spans="1:29" ht="15.5">
      <c r="A20" s="404"/>
      <c r="B20" s="632"/>
      <c r="C20" s="447"/>
      <c r="D20" s="448"/>
      <c r="E20" s="2607"/>
      <c r="F20" s="448"/>
      <c r="G20" s="2607"/>
      <c r="H20" s="448"/>
      <c r="I20" s="2607"/>
      <c r="J20" s="448"/>
      <c r="K20" s="812"/>
      <c r="L20" s="1140"/>
      <c r="M20" s="1131"/>
      <c r="N20" s="1131"/>
      <c r="O20" s="1139"/>
      <c r="P20" s="3244"/>
      <c r="Q20" s="1810"/>
      <c r="R20" s="774"/>
      <c r="S20" s="775"/>
      <c r="T20" s="774"/>
      <c r="U20" s="775"/>
      <c r="V20" s="774"/>
      <c r="W20" s="775"/>
      <c r="X20" s="1813"/>
      <c r="Y20" s="3244"/>
      <c r="Z20" s="1814"/>
      <c r="AA20" s="1811"/>
      <c r="AB20" s="1811"/>
      <c r="AC20" s="1811"/>
    </row>
    <row r="21" spans="1:29" ht="84">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4"/>
      <c r="Q21" s="1810" t="str">
        <f t="shared" si="8"/>
        <v>环境状况</v>
      </c>
      <c r="R21" s="774" t="s">
        <v>17</v>
      </c>
      <c r="S21" s="775">
        <f>F21</f>
        <v>100</v>
      </c>
      <c r="T21" s="774" t="s">
        <v>17</v>
      </c>
      <c r="U21" s="775">
        <f>H21</f>
        <v>100</v>
      </c>
      <c r="V21" s="774" t="s">
        <v>17</v>
      </c>
      <c r="W21" s="775">
        <f>J21</f>
        <v>100</v>
      </c>
      <c r="X21" s="1813"/>
      <c r="Y21" s="3244"/>
      <c r="Z21" s="1814" t="str">
        <f>Q21</f>
        <v>环境状况</v>
      </c>
      <c r="AA21" s="1811">
        <f t="shared" si="3"/>
        <v>1</v>
      </c>
      <c r="AB21" s="1811">
        <f t="shared" si="4"/>
        <v>1</v>
      </c>
      <c r="AC21" s="1811">
        <f t="shared" si="5"/>
        <v>1</v>
      </c>
    </row>
    <row r="22" spans="1:29" ht="15.5">
      <c r="A22" s="404"/>
      <c r="B22" s="632"/>
      <c r="C22" s="447"/>
      <c r="D22" s="448"/>
      <c r="E22" s="2613"/>
      <c r="F22" s="448"/>
      <c r="G22" s="2613"/>
      <c r="H22" s="448"/>
      <c r="I22" s="447"/>
      <c r="J22" s="448"/>
      <c r="K22" s="672"/>
      <c r="L22" s="1140"/>
      <c r="M22" s="1131"/>
      <c r="N22" s="1131"/>
      <c r="O22" s="1139"/>
      <c r="P22" s="3244"/>
      <c r="Q22" s="1810"/>
      <c r="R22" s="774"/>
      <c r="S22" s="775"/>
      <c r="T22" s="774"/>
      <c r="U22" s="775"/>
      <c r="V22" s="774"/>
      <c r="W22" s="775"/>
      <c r="X22" s="1813"/>
      <c r="Y22" s="3244"/>
      <c r="Z22" s="1814"/>
      <c r="AA22" s="1811">
        <v>1</v>
      </c>
      <c r="AB22" s="1811">
        <v>1</v>
      </c>
      <c r="AC22" s="1811">
        <v>1</v>
      </c>
    </row>
    <row r="23" spans="1:29" s="117" customFormat="1" ht="42">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4"/>
      <c r="Q23" s="1795" t="str">
        <f t="shared" si="8"/>
        <v>公共配套设施</v>
      </c>
      <c r="R23" s="770" t="s">
        <v>17</v>
      </c>
      <c r="S23" s="771">
        <f>F23</f>
        <v>100</v>
      </c>
      <c r="T23" s="770" t="s">
        <v>17</v>
      </c>
      <c r="U23" s="771">
        <f>H23</f>
        <v>100</v>
      </c>
      <c r="V23" s="770" t="s">
        <v>17</v>
      </c>
      <c r="W23" s="771">
        <f>J23</f>
        <v>100</v>
      </c>
      <c r="X23" s="772"/>
      <c r="Y23" s="3244"/>
      <c r="Z23" s="55" t="str">
        <f>Q23</f>
        <v>公共配套设施</v>
      </c>
      <c r="AA23" s="1811">
        <f>D23/F23</f>
        <v>1</v>
      </c>
      <c r="AB23" s="1811">
        <f>D23/H23</f>
        <v>1</v>
      </c>
      <c r="AC23" s="1811">
        <f>D23/J23</f>
        <v>1</v>
      </c>
    </row>
    <row r="24" spans="1:29" s="117" customFormat="1" ht="15.5">
      <c r="A24" s="649"/>
      <c r="B24" s="632"/>
      <c r="C24" s="2702"/>
      <c r="D24" s="448"/>
      <c r="E24" s="2613"/>
      <c r="F24" s="448"/>
      <c r="G24" s="2613"/>
      <c r="H24" s="448"/>
      <c r="I24" s="447"/>
      <c r="J24" s="448"/>
      <c r="K24" s="672"/>
      <c r="L24" s="1132"/>
      <c r="M24" s="1133"/>
      <c r="N24" s="1133"/>
      <c r="O24" s="1134"/>
      <c r="P24" s="3244"/>
      <c r="Q24" s="1795"/>
      <c r="R24" s="770"/>
      <c r="S24" s="771"/>
      <c r="T24" s="770"/>
      <c r="U24" s="771"/>
      <c r="V24" s="770"/>
      <c r="W24" s="771"/>
      <c r="X24" s="772"/>
      <c r="Y24" s="3244"/>
      <c r="Z24" s="55"/>
      <c r="AA24" s="773">
        <v>1</v>
      </c>
      <c r="AB24" s="773">
        <v>1</v>
      </c>
      <c r="AC24" s="773">
        <v>1</v>
      </c>
    </row>
    <row r="25" spans="1:29" s="117" customFormat="1" ht="42">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4"/>
      <c r="Q25" s="1795" t="str">
        <f t="shared" ref="Q25" si="9">B25</f>
        <v>基础设施水平</v>
      </c>
      <c r="R25" s="770" t="s">
        <v>17</v>
      </c>
      <c r="S25" s="771">
        <f>F25</f>
        <v>100</v>
      </c>
      <c r="T25" s="770" t="s">
        <v>17</v>
      </c>
      <c r="U25" s="771">
        <f>H25</f>
        <v>100</v>
      </c>
      <c r="V25" s="770" t="s">
        <v>17</v>
      </c>
      <c r="W25" s="771">
        <f>J25</f>
        <v>100</v>
      </c>
      <c r="X25" s="772"/>
      <c r="Y25" s="3244"/>
      <c r="Z25" s="55" t="str">
        <f>Q25</f>
        <v>基础设施水平</v>
      </c>
      <c r="AA25" s="1811">
        <f>D25/F25</f>
        <v>1</v>
      </c>
      <c r="AB25" s="1811">
        <f>D25/H25</f>
        <v>1</v>
      </c>
      <c r="AC25" s="1811">
        <f>D25/J25</f>
        <v>1</v>
      </c>
    </row>
    <row r="26" spans="1:29" s="117" customFormat="1" ht="15.5">
      <c r="A26" s="649"/>
      <c r="B26" s="632"/>
      <c r="C26" s="2702"/>
      <c r="D26" s="448"/>
      <c r="E26" s="2703"/>
      <c r="F26" s="448"/>
      <c r="G26" s="2703"/>
      <c r="H26" s="448"/>
      <c r="I26" s="2703"/>
      <c r="J26" s="448"/>
      <c r="K26" s="672"/>
      <c r="L26" s="1132"/>
      <c r="M26" s="1133"/>
      <c r="N26" s="1133"/>
      <c r="O26" s="1134"/>
      <c r="P26" s="3244"/>
      <c r="Q26" s="1795"/>
      <c r="R26" s="770"/>
      <c r="S26" s="771"/>
      <c r="T26" s="770"/>
      <c r="U26" s="771"/>
      <c r="V26" s="770"/>
      <c r="W26" s="771"/>
      <c r="X26" s="772"/>
      <c r="Y26" s="3244"/>
      <c r="Z26" s="55"/>
      <c r="AA26" s="773">
        <v>1</v>
      </c>
      <c r="AB26" s="773">
        <v>1</v>
      </c>
      <c r="AC26" s="773">
        <v>1</v>
      </c>
    </row>
    <row r="27" spans="1:29" ht="15.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44"/>
      <c r="Z27" s="1814" t="str">
        <f t="shared" ref="Z27:Z40" si="13">Q27</f>
        <v>临街状况</v>
      </c>
      <c r="AA27" s="1811">
        <f t="shared" si="3"/>
        <v>1</v>
      </c>
      <c r="AB27" s="1811">
        <f t="shared" si="4"/>
        <v>1</v>
      </c>
      <c r="AC27" s="1811">
        <f t="shared" si="5"/>
        <v>1</v>
      </c>
    </row>
    <row r="28" spans="1:29" ht="28">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4"/>
      <c r="Q28" s="1810" t="str">
        <f t="shared" si="8"/>
        <v>毗邻道路的类型与等级</v>
      </c>
      <c r="R28" s="774" t="s">
        <v>17</v>
      </c>
      <c r="S28" s="775">
        <f t="shared" si="10"/>
        <v>100</v>
      </c>
      <c r="T28" s="774" t="s">
        <v>17</v>
      </c>
      <c r="U28" s="775">
        <f t="shared" si="11"/>
        <v>100</v>
      </c>
      <c r="V28" s="774" t="s">
        <v>17</v>
      </c>
      <c r="W28" s="775">
        <f t="shared" si="12"/>
        <v>100</v>
      </c>
      <c r="X28" s="1813"/>
      <c r="Y28" s="3244"/>
      <c r="Z28" s="1814" t="str">
        <f t="shared" si="13"/>
        <v>毗邻道路的类型与等级</v>
      </c>
      <c r="AA28" s="1811">
        <f t="shared" si="3"/>
        <v>1</v>
      </c>
      <c r="AB28" s="1811">
        <f t="shared" si="4"/>
        <v>1</v>
      </c>
      <c r="AC28" s="1811">
        <f t="shared" si="5"/>
        <v>1</v>
      </c>
    </row>
    <row r="29" spans="1:29" ht="15.5">
      <c r="A29" s="428"/>
      <c r="B29" s="632"/>
      <c r="C29" s="447"/>
      <c r="D29" s="448"/>
      <c r="E29" s="2613"/>
      <c r="F29" s="448"/>
      <c r="G29" s="2613"/>
      <c r="H29" s="448"/>
      <c r="I29" s="2613"/>
      <c r="J29" s="448"/>
      <c r="K29" s="613"/>
      <c r="L29" s="1140"/>
      <c r="M29" s="1131"/>
      <c r="N29" s="1131"/>
      <c r="O29" s="1139"/>
      <c r="P29" s="3244"/>
      <c r="Q29" s="1810"/>
      <c r="R29" s="774"/>
      <c r="S29" s="775"/>
      <c r="T29" s="774"/>
      <c r="U29" s="775"/>
      <c r="V29" s="774"/>
      <c r="W29" s="775"/>
      <c r="X29" s="1813"/>
      <c r="Y29" s="3244"/>
      <c r="Z29" s="1814"/>
      <c r="AA29" s="1811">
        <v>1</v>
      </c>
      <c r="AB29" s="1811">
        <v>1</v>
      </c>
      <c r="AC29" s="1811">
        <v>1</v>
      </c>
    </row>
    <row r="30" spans="1:29" ht="15.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4"/>
      <c r="Q30" s="1810" t="str">
        <f t="shared" si="8"/>
        <v>土地级别</v>
      </c>
      <c r="R30" s="774" t="s">
        <v>17</v>
      </c>
      <c r="S30" s="775">
        <f t="shared" si="10"/>
        <v>100</v>
      </c>
      <c r="T30" s="774" t="s">
        <v>17</v>
      </c>
      <c r="U30" s="775">
        <f t="shared" si="11"/>
        <v>100</v>
      </c>
      <c r="V30" s="774" t="s">
        <v>17</v>
      </c>
      <c r="W30" s="775">
        <f t="shared" si="12"/>
        <v>100</v>
      </c>
      <c r="X30" s="1813"/>
      <c r="Y30" s="3244"/>
      <c r="Z30" s="1814" t="str">
        <f t="shared" si="13"/>
        <v>土地级别</v>
      </c>
      <c r="AA30" s="1811">
        <f t="shared" si="3"/>
        <v>1</v>
      </c>
      <c r="AB30" s="1811">
        <f t="shared" si="4"/>
        <v>1</v>
      </c>
      <c r="AC30" s="1811">
        <f t="shared" si="5"/>
        <v>1</v>
      </c>
    </row>
    <row r="31" spans="1:29" ht="15.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4"/>
      <c r="Q31" s="1810">
        <f t="shared" si="8"/>
        <v>111</v>
      </c>
      <c r="R31" s="774" t="s">
        <v>17</v>
      </c>
      <c r="S31" s="775">
        <f t="shared" si="10"/>
        <v>100</v>
      </c>
      <c r="T31" s="774" t="s">
        <v>17</v>
      </c>
      <c r="U31" s="775">
        <f t="shared" si="11"/>
        <v>100</v>
      </c>
      <c r="V31" s="774" t="s">
        <v>17</v>
      </c>
      <c r="W31" s="775">
        <f t="shared" si="12"/>
        <v>100</v>
      </c>
      <c r="X31" s="1813"/>
      <c r="Y31" s="3244"/>
      <c r="Z31" s="1814">
        <f t="shared" si="13"/>
        <v>111</v>
      </c>
      <c r="AA31" s="1811">
        <f t="shared" si="3"/>
        <v>1</v>
      </c>
      <c r="AB31" s="1811">
        <f t="shared" si="4"/>
        <v>1</v>
      </c>
      <c r="AC31" s="1811">
        <f t="shared" si="5"/>
        <v>1</v>
      </c>
    </row>
    <row r="32" spans="1:29" ht="15.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7" t="s">
        <v>2564</v>
      </c>
      <c r="Q32" s="1810">
        <f t="shared" si="8"/>
        <v>111</v>
      </c>
      <c r="R32" s="774" t="s">
        <v>17</v>
      </c>
      <c r="S32" s="775">
        <f t="shared" si="10"/>
        <v>100</v>
      </c>
      <c r="T32" s="774" t="s">
        <v>17</v>
      </c>
      <c r="U32" s="775">
        <f t="shared" si="11"/>
        <v>100</v>
      </c>
      <c r="V32" s="774" t="s">
        <v>17</v>
      </c>
      <c r="W32" s="775">
        <f t="shared" si="12"/>
        <v>100</v>
      </c>
      <c r="X32" s="1813"/>
      <c r="Y32" s="3248" t="s">
        <v>2564</v>
      </c>
      <c r="Z32" s="1814">
        <f t="shared" si="13"/>
        <v>111</v>
      </c>
      <c r="AA32" s="1811">
        <f t="shared" si="3"/>
        <v>1</v>
      </c>
      <c r="AB32" s="1811">
        <f t="shared" si="4"/>
        <v>1</v>
      </c>
      <c r="AC32" s="1811">
        <f t="shared" si="5"/>
        <v>1</v>
      </c>
    </row>
    <row r="33" spans="1:29" s="471" customFormat="1" ht="16"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8"/>
      <c r="Q33" s="1810">
        <f t="shared" si="8"/>
        <v>111</v>
      </c>
      <c r="R33" s="777" t="s">
        <v>17</v>
      </c>
      <c r="S33" s="778">
        <f t="shared" si="10"/>
        <v>100</v>
      </c>
      <c r="T33" s="777" t="s">
        <v>17</v>
      </c>
      <c r="U33" s="778">
        <f t="shared" si="11"/>
        <v>100</v>
      </c>
      <c r="V33" s="777" t="s">
        <v>17</v>
      </c>
      <c r="W33" s="778">
        <f t="shared" si="12"/>
        <v>100</v>
      </c>
      <c r="X33" s="779"/>
      <c r="Y33" s="3248"/>
      <c r="Z33" s="780">
        <f t="shared" si="13"/>
        <v>111</v>
      </c>
      <c r="AA33" s="1811">
        <f t="shared" si="3"/>
        <v>1</v>
      </c>
      <c r="AB33" s="1811">
        <f t="shared" si="4"/>
        <v>1</v>
      </c>
      <c r="AC33" s="1811">
        <f t="shared" si="5"/>
        <v>1</v>
      </c>
    </row>
    <row r="34" spans="1:29" ht="15.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8"/>
      <c r="Q34" s="1810" t="str">
        <f>B34</f>
        <v>宗地面积</v>
      </c>
      <c r="R34" s="774" t="s">
        <v>17</v>
      </c>
      <c r="S34" s="775" t="e">
        <f t="shared" si="10"/>
        <v>#N/A</v>
      </c>
      <c r="T34" s="774" t="s">
        <v>17</v>
      </c>
      <c r="U34" s="775" t="e">
        <f t="shared" si="11"/>
        <v>#N/A</v>
      </c>
      <c r="V34" s="774" t="s">
        <v>17</v>
      </c>
      <c r="W34" s="775" t="e">
        <f t="shared" si="12"/>
        <v>#N/A</v>
      </c>
      <c r="X34" s="1813"/>
      <c r="Y34" s="3248"/>
      <c r="Z34" s="1814" t="str">
        <f t="shared" si="13"/>
        <v>宗地面积</v>
      </c>
      <c r="AA34" s="1811" t="e">
        <f t="shared" si="3"/>
        <v>#N/A</v>
      </c>
      <c r="AB34" s="1811" t="e">
        <f t="shared" si="4"/>
        <v>#N/A</v>
      </c>
      <c r="AC34" s="1811" t="e">
        <f t="shared" si="5"/>
        <v>#N/A</v>
      </c>
    </row>
    <row r="35" spans="1:29" ht="15.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48"/>
      <c r="Q35" s="1810" t="str">
        <f t="shared" ref="Q35:Q40" si="14">B35</f>
        <v>宗地形状</v>
      </c>
      <c r="R35" s="774" t="s">
        <v>17</v>
      </c>
      <c r="S35" s="775">
        <f t="shared" si="10"/>
        <v>100</v>
      </c>
      <c r="T35" s="774" t="s">
        <v>17</v>
      </c>
      <c r="U35" s="775">
        <f t="shared" si="11"/>
        <v>100</v>
      </c>
      <c r="V35" s="774" t="s">
        <v>17</v>
      </c>
      <c r="W35" s="775">
        <f t="shared" si="12"/>
        <v>100</v>
      </c>
      <c r="X35" s="1813"/>
      <c r="Y35" s="3248"/>
      <c r="Z35" s="1814" t="str">
        <f t="shared" si="13"/>
        <v>宗地形状</v>
      </c>
      <c r="AA35" s="1811">
        <f t="shared" si="3"/>
        <v>1</v>
      </c>
      <c r="AB35" s="1811">
        <f t="shared" si="4"/>
        <v>1</v>
      </c>
      <c r="AC35" s="1811">
        <f t="shared" si="5"/>
        <v>1</v>
      </c>
    </row>
    <row r="36" spans="1:29" s="117" customFormat="1" ht="15.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48"/>
      <c r="Q36" s="1810" t="str">
        <f t="shared" si="14"/>
        <v>宗地开发程度</v>
      </c>
      <c r="R36" s="770" t="s">
        <v>17</v>
      </c>
      <c r="S36" s="771">
        <f t="shared" si="10"/>
        <v>100</v>
      </c>
      <c r="T36" s="770" t="s">
        <v>17</v>
      </c>
      <c r="U36" s="771">
        <f t="shared" si="11"/>
        <v>100</v>
      </c>
      <c r="V36" s="770" t="s">
        <v>17</v>
      </c>
      <c r="W36" s="771">
        <f t="shared" si="12"/>
        <v>100</v>
      </c>
      <c r="X36" s="772"/>
      <c r="Y36" s="3248"/>
      <c r="Z36" s="55" t="str">
        <f t="shared" si="13"/>
        <v>宗地开发程度</v>
      </c>
      <c r="AA36" s="773">
        <f t="shared" si="3"/>
        <v>1</v>
      </c>
      <c r="AB36" s="773">
        <f t="shared" si="4"/>
        <v>1</v>
      </c>
      <c r="AC36" s="773">
        <f t="shared" si="5"/>
        <v>1</v>
      </c>
    </row>
    <row r="37" spans="1:29" ht="15.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48" t="s">
        <v>2564</v>
      </c>
      <c r="Q37" s="1810" t="str">
        <f t="shared" si="14"/>
        <v>工程地质条件</v>
      </c>
      <c r="R37" s="774" t="s">
        <v>17</v>
      </c>
      <c r="S37" s="775">
        <f t="shared" si="10"/>
        <v>100</v>
      </c>
      <c r="T37" s="774" t="s">
        <v>17</v>
      </c>
      <c r="U37" s="775">
        <f t="shared" si="11"/>
        <v>100</v>
      </c>
      <c r="V37" s="774" t="s">
        <v>17</v>
      </c>
      <c r="W37" s="775">
        <f t="shared" si="12"/>
        <v>100</v>
      </c>
      <c r="X37" s="1813"/>
      <c r="Y37" s="3248" t="s">
        <v>2564</v>
      </c>
      <c r="Z37" s="1814" t="str">
        <f t="shared" si="13"/>
        <v>工程地质条件</v>
      </c>
      <c r="AA37" s="1811">
        <f t="shared" si="3"/>
        <v>1</v>
      </c>
      <c r="AB37" s="1811">
        <f t="shared" si="4"/>
        <v>1</v>
      </c>
      <c r="AC37" s="1811">
        <f t="shared" si="5"/>
        <v>1</v>
      </c>
    </row>
    <row r="38" spans="1:29" ht="15.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8"/>
      <c r="Q38" s="1810">
        <f t="shared" si="14"/>
        <v>111</v>
      </c>
      <c r="R38" s="774" t="s">
        <v>17</v>
      </c>
      <c r="S38" s="775">
        <f t="shared" si="10"/>
        <v>100</v>
      </c>
      <c r="T38" s="774" t="s">
        <v>17</v>
      </c>
      <c r="U38" s="775">
        <f t="shared" si="11"/>
        <v>100</v>
      </c>
      <c r="V38" s="774" t="s">
        <v>17</v>
      </c>
      <c r="W38" s="775">
        <f t="shared" si="12"/>
        <v>100</v>
      </c>
      <c r="X38" s="1813"/>
      <c r="Y38" s="3248"/>
      <c r="Z38" s="1814">
        <f t="shared" si="13"/>
        <v>111</v>
      </c>
      <c r="AA38" s="1811">
        <f t="shared" si="3"/>
        <v>1</v>
      </c>
      <c r="AB38" s="1811">
        <f t="shared" si="4"/>
        <v>1</v>
      </c>
      <c r="AC38" s="1811">
        <f t="shared" si="5"/>
        <v>1</v>
      </c>
    </row>
    <row r="39" spans="1:29" ht="15.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8"/>
      <c r="Q39" s="1810">
        <f t="shared" si="14"/>
        <v>111</v>
      </c>
      <c r="R39" s="774" t="s">
        <v>17</v>
      </c>
      <c r="S39" s="775">
        <f t="shared" si="10"/>
        <v>100</v>
      </c>
      <c r="T39" s="774" t="s">
        <v>17</v>
      </c>
      <c r="U39" s="775">
        <f t="shared" si="11"/>
        <v>100</v>
      </c>
      <c r="V39" s="774" t="s">
        <v>17</v>
      </c>
      <c r="W39" s="775">
        <f t="shared" si="12"/>
        <v>100</v>
      </c>
      <c r="X39" s="1813"/>
      <c r="Y39" s="3248"/>
      <c r="Z39" s="1814">
        <f t="shared" si="13"/>
        <v>111</v>
      </c>
      <c r="AA39" s="1811">
        <f t="shared" si="3"/>
        <v>1</v>
      </c>
      <c r="AB39" s="1811">
        <f t="shared" si="4"/>
        <v>1</v>
      </c>
      <c r="AC39" s="1811">
        <f t="shared" si="5"/>
        <v>1</v>
      </c>
    </row>
    <row r="40" spans="1:29" s="471" customFormat="1" ht="16"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8"/>
      <c r="Q40" s="1810">
        <f t="shared" si="14"/>
        <v>111</v>
      </c>
      <c r="R40" s="777" t="s">
        <v>17</v>
      </c>
      <c r="S40" s="778">
        <f t="shared" si="10"/>
        <v>100</v>
      </c>
      <c r="T40" s="777" t="s">
        <v>17</v>
      </c>
      <c r="U40" s="778">
        <f t="shared" si="11"/>
        <v>100</v>
      </c>
      <c r="V40" s="777" t="s">
        <v>17</v>
      </c>
      <c r="W40" s="778">
        <f t="shared" si="12"/>
        <v>100</v>
      </c>
      <c r="X40" s="779"/>
      <c r="Y40" s="3248"/>
      <c r="Z40" s="780">
        <f t="shared" si="13"/>
        <v>111</v>
      </c>
      <c r="AA40" s="1811">
        <f t="shared" si="3"/>
        <v>1</v>
      </c>
      <c r="AB40" s="1811">
        <f t="shared" si="4"/>
        <v>1</v>
      </c>
      <c r="AC40" s="1811">
        <f t="shared" si="5"/>
        <v>1</v>
      </c>
    </row>
    <row r="41" spans="1:29">
      <c r="A41" s="479" t="s">
        <v>2719</v>
      </c>
      <c r="B41" s="2706" t="s">
        <v>2799</v>
      </c>
      <c r="C41" s="682" t="s">
        <v>1</v>
      </c>
      <c r="D41" s="481"/>
      <c r="E41" s="482"/>
      <c r="F41" s="483"/>
      <c r="G41" s="484"/>
      <c r="H41" s="485"/>
      <c r="I41" s="482"/>
      <c r="J41" s="485"/>
      <c r="K41" s="783"/>
      <c r="L41" s="1143"/>
      <c r="M41" s="1131"/>
      <c r="N41" s="1131"/>
      <c r="O41" s="1144"/>
      <c r="P41" s="3241" t="str">
        <f>A41</f>
        <v>成交单价</v>
      </c>
      <c r="Q41" s="3241"/>
      <c r="R41" s="3236">
        <f>E41</f>
        <v>0</v>
      </c>
      <c r="S41" s="3236"/>
      <c r="T41" s="3236">
        <f>G41</f>
        <v>0</v>
      </c>
      <c r="U41" s="3236"/>
      <c r="V41" s="3236">
        <f>I41</f>
        <v>0</v>
      </c>
      <c r="W41" s="3236"/>
      <c r="X41" s="759"/>
      <c r="Y41" s="781"/>
      <c r="Z41" s="759"/>
      <c r="AA41" s="759"/>
      <c r="AB41" s="759"/>
      <c r="AC41" s="759"/>
    </row>
    <row r="42" spans="1:29" ht="14.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41" t="str">
        <f>A42</f>
        <v>比较价值（元/平方米）</v>
      </c>
      <c r="Q42" s="3241"/>
      <c r="R42" s="3268" t="e">
        <f>ROUND(PRODUCT(R41,AA7:AA40),0)</f>
        <v>#DIV/0!</v>
      </c>
      <c r="S42" s="3268"/>
      <c r="T42" s="3268" t="e">
        <f>ROUND(PRODUCT(T41,AB7:AB40),0)</f>
        <v>#DIV/0!</v>
      </c>
      <c r="U42" s="3268"/>
      <c r="V42" s="3268" t="e">
        <f>ROUND(PRODUCT(V41,AC7:AC40),0)</f>
        <v>#DIV/0!</v>
      </c>
      <c r="W42" s="3268"/>
      <c r="X42" s="759"/>
      <c r="Y42" s="759"/>
      <c r="Z42" s="759"/>
      <c r="AA42" s="759"/>
      <c r="AB42" s="759"/>
      <c r="AC42" s="759"/>
    </row>
    <row r="43" spans="1:29" ht="14.5" thickBot="1">
      <c r="A43" s="492" t="s">
        <v>2669</v>
      </c>
      <c r="B43" s="493"/>
      <c r="C43" s="494" t="e">
        <f>R43</f>
        <v>#DIV/0!</v>
      </c>
      <c r="D43" s="494"/>
      <c r="E43" s="494"/>
      <c r="F43" s="494"/>
      <c r="G43" s="494"/>
      <c r="H43" s="494"/>
      <c r="I43" s="494"/>
      <c r="J43" s="494"/>
      <c r="K43" s="785"/>
      <c r="L43" s="1143"/>
      <c r="M43" s="1131"/>
      <c r="N43" s="1131"/>
      <c r="O43" s="1144"/>
      <c r="P43" s="3238" t="str">
        <f>A43</f>
        <v>估价对象XX用房的比较价值（楼面单价，元/平方米）</v>
      </c>
      <c r="Q43" s="3239"/>
      <c r="R43" s="3269" t="e">
        <f>ROUND(AVERAGE(R42:V42),0)</f>
        <v>#DIV/0!</v>
      </c>
      <c r="S43" s="3269"/>
      <c r="T43" s="3269"/>
      <c r="U43" s="3269"/>
      <c r="V43" s="3269"/>
      <c r="W43" s="3269"/>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5" thickBot="1">
      <c r="A49" s="1145"/>
      <c r="B49" s="1146"/>
      <c r="C49" s="762"/>
      <c r="D49" s="760"/>
      <c r="E49" s="760"/>
      <c r="F49" s="760"/>
      <c r="G49" s="760"/>
      <c r="H49" s="760"/>
      <c r="I49" s="760"/>
      <c r="J49" s="760"/>
      <c r="K49" s="1148"/>
      <c r="L49" s="1149"/>
      <c r="M49" s="1145"/>
      <c r="N49" s="1145"/>
      <c r="O49" s="1145"/>
    </row>
    <row r="50" spans="1:17" ht="28">
      <c r="A50" s="684" t="s">
        <v>2757</v>
      </c>
      <c r="B50" s="685" t="s">
        <v>2758</v>
      </c>
      <c r="C50" s="2707" t="s">
        <v>2759</v>
      </c>
      <c r="D50" s="2708" t="s">
        <v>2760</v>
      </c>
      <c r="E50" s="686" t="s">
        <v>2761</v>
      </c>
      <c r="F50" s="687" t="s">
        <v>2762</v>
      </c>
      <c r="G50" s="3224" t="s">
        <v>2763</v>
      </c>
      <c r="H50" s="3270"/>
      <c r="I50" s="1814" t="s">
        <v>2800</v>
      </c>
      <c r="J50" s="1814">
        <f>项目基本情况!F35</f>
        <v>0</v>
      </c>
      <c r="K50" s="2710" t="s">
        <v>2765</v>
      </c>
      <c r="L50" s="1106"/>
      <c r="M50" s="1144"/>
      <c r="N50" s="1144"/>
      <c r="O50" s="1144"/>
    </row>
    <row r="51" spans="1:17" s="692" customFormat="1">
      <c r="A51" s="688" t="s">
        <v>2766</v>
      </c>
      <c r="B51" s="689" t="e">
        <f>C43</f>
        <v>#DIV/0!</v>
      </c>
      <c r="C51" s="690">
        <v>1</v>
      </c>
      <c r="D51" s="1163">
        <v>1</v>
      </c>
      <c r="E51" s="690">
        <f>'数据-汇总表'!E8+'数据-汇总表'!E9</f>
        <v>3000.7300000000005</v>
      </c>
      <c r="F51" s="691" t="e">
        <f t="shared" ref="F51:F60" si="15">ROUND(B51*E51/10000,0)</f>
        <v>#DIV/0!</v>
      </c>
      <c r="G51" s="3223"/>
      <c r="H51" s="3241"/>
      <c r="I51" s="942">
        <v>1</v>
      </c>
      <c r="J51" s="942">
        <v>1</v>
      </c>
      <c r="K51" s="1145"/>
      <c r="L51" s="941"/>
      <c r="M51" s="941"/>
      <c r="N51" s="941"/>
      <c r="O51" s="941"/>
    </row>
    <row r="52" spans="1:17" s="692" customFormat="1">
      <c r="A52" s="693" t="s">
        <v>2767</v>
      </c>
      <c r="B52" s="262" t="e">
        <f>ROUND($C$43*C52*D52,0)</f>
        <v>#DIV/0!</v>
      </c>
      <c r="C52" s="200">
        <f t="shared" ref="C52:C60" si="16">IF($C$50="北京市系数",I52,J52)</f>
        <v>0.8</v>
      </c>
      <c r="D52" s="1164">
        <v>0.25</v>
      </c>
      <c r="E52" s="694"/>
      <c r="F52" s="691" t="e">
        <f t="shared" si="15"/>
        <v>#DIV/0!</v>
      </c>
      <c r="G52" s="3271" t="s">
        <v>2768</v>
      </c>
      <c r="H52" s="1104" t="str">
        <f>项目基本情况!B37</f>
        <v>二级</v>
      </c>
      <c r="I52" s="942">
        <f>SUMIF(修正!A45:A56,H52,修正!B45:B56)</f>
        <v>0.8</v>
      </c>
      <c r="J52" s="943"/>
      <c r="K52" s="1144"/>
      <c r="L52" s="941"/>
      <c r="M52" s="941"/>
      <c r="N52" s="941"/>
      <c r="O52" s="941"/>
    </row>
    <row r="53" spans="1:17" s="692" customFormat="1">
      <c r="A53" s="693" t="s">
        <v>2769</v>
      </c>
      <c r="B53" s="262" t="e">
        <f t="shared" ref="B53:B60" si="17">ROUND($C$43*C53*D53,0)</f>
        <v>#DIV/0!</v>
      </c>
      <c r="C53" s="200">
        <f t="shared" si="16"/>
        <v>0.5</v>
      </c>
      <c r="D53" s="1164">
        <v>0.25</v>
      </c>
      <c r="E53" s="694"/>
      <c r="F53" s="691" t="e">
        <f t="shared" si="15"/>
        <v>#DIV/0!</v>
      </c>
      <c r="G53" s="3271"/>
      <c r="H53" s="1104" t="str">
        <f>项目基本情况!B37</f>
        <v>二级</v>
      </c>
      <c r="I53" s="942">
        <f>SUMIF(修正!A45:A56,H53,修正!C45:C56)</f>
        <v>0.5</v>
      </c>
      <c r="J53" s="943"/>
      <c r="K53" s="1145"/>
      <c r="L53" s="941"/>
      <c r="M53" s="941"/>
      <c r="N53" s="941"/>
      <c r="O53" s="941"/>
    </row>
    <row r="54" spans="1:17" s="692" customFormat="1">
      <c r="A54" s="693" t="s">
        <v>2770</v>
      </c>
      <c r="B54" s="262" t="e">
        <f t="shared" si="17"/>
        <v>#DIV/0!</v>
      </c>
      <c r="C54" s="200">
        <f t="shared" si="16"/>
        <v>0.36</v>
      </c>
      <c r="D54" s="1164">
        <v>0.25</v>
      </c>
      <c r="E54" s="694"/>
      <c r="F54" s="691" t="e">
        <f t="shared" si="15"/>
        <v>#DIV/0!</v>
      </c>
      <c r="G54" s="3271"/>
      <c r="H54" s="1104" t="str">
        <f>项目基本情况!B37</f>
        <v>二级</v>
      </c>
      <c r="I54" s="942">
        <f>SUMIF(修正!A45:A56,H54,修正!D45:D56)</f>
        <v>0.36</v>
      </c>
      <c r="J54" s="943"/>
      <c r="K54" s="1144"/>
      <c r="L54" s="941"/>
      <c r="M54" s="941"/>
      <c r="N54" s="941"/>
      <c r="O54" s="941"/>
    </row>
    <row r="55" spans="1:17" s="692" customFormat="1">
      <c r="A55" s="693" t="s">
        <v>2771</v>
      </c>
      <c r="B55" s="262" t="e">
        <f t="shared" si="17"/>
        <v>#DIV/0!</v>
      </c>
      <c r="C55" s="200">
        <f t="shared" si="16"/>
        <v>0.3</v>
      </c>
      <c r="D55" s="1164">
        <v>0.25</v>
      </c>
      <c r="E55" s="694"/>
      <c r="F55" s="691" t="e">
        <f t="shared" si="15"/>
        <v>#DIV/0!</v>
      </c>
      <c r="G55" s="3271"/>
      <c r="H55" s="1104" t="str">
        <f>项目基本情况!B37</f>
        <v>二级</v>
      </c>
      <c r="I55" s="942">
        <f>SUMIF(修正!A45:A56,H55,修正!E45:E56)</f>
        <v>0.3</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1"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0.25</v>
      </c>
      <c r="D59" s="1164">
        <v>0.25</v>
      </c>
      <c r="E59" s="261">
        <f>'数据-汇总表'!E14</f>
        <v>0</v>
      </c>
      <c r="F59" s="691" t="e">
        <f t="shared" si="15"/>
        <v>#DIV/0!</v>
      </c>
      <c r="G59" s="2711" t="s">
        <v>2768</v>
      </c>
      <c r="H59" s="1104" t="str">
        <f>项目基本情况!B37</f>
        <v>二级</v>
      </c>
      <c r="I59" s="942">
        <f>SUMIF(修正!A45:A56,H59,修正!H45:H56)</f>
        <v>0.25</v>
      </c>
      <c r="J59" s="943"/>
      <c r="K59" s="1145"/>
      <c r="L59" s="941"/>
      <c r="M59" s="941"/>
      <c r="N59" s="941"/>
      <c r="O59" s="941"/>
    </row>
    <row r="60" spans="1:17" s="692" customFormat="1" ht="14.5" thickBot="1">
      <c r="A60" s="693" t="s">
        <v>2779</v>
      </c>
      <c r="B60" s="262" t="e">
        <f t="shared" si="17"/>
        <v>#DIV/0!</v>
      </c>
      <c r="C60" s="200">
        <f t="shared" si="16"/>
        <v>0</v>
      </c>
      <c r="D60" s="1164">
        <v>0.25</v>
      </c>
      <c r="E60" s="261">
        <f>'数据-汇总表'!E15</f>
        <v>0</v>
      </c>
      <c r="F60" s="691" t="e">
        <f t="shared" si="15"/>
        <v>#DIV/0!</v>
      </c>
      <c r="G60" s="2712" t="s">
        <v>2773</v>
      </c>
      <c r="H60" s="1114">
        <f>项目基本情况!C37</f>
        <v>0</v>
      </c>
      <c r="I60" s="942">
        <f>SUMIF(修正!A45:A56,H60,修正!H45:H56)</f>
        <v>0</v>
      </c>
      <c r="J60" s="943"/>
      <c r="K60" s="1144"/>
      <c r="L60" s="941"/>
      <c r="M60" s="941"/>
      <c r="N60" s="941"/>
      <c r="O60" s="941"/>
    </row>
    <row r="61" spans="1:17" s="692" customFormat="1" ht="14.5" thickBot="1">
      <c r="A61" s="695" t="s">
        <v>2780</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2020-2-1</v>
      </c>
      <c r="D63" s="761">
        <f>EDATE(C63,-3)</f>
        <v>43770</v>
      </c>
      <c r="E63" s="761">
        <f>EDATE(D63,-3)</f>
        <v>43678</v>
      </c>
      <c r="F63" s="761">
        <f t="shared" ref="F63:O63" si="18">EDATE(E63,-3)</f>
        <v>43586</v>
      </c>
      <c r="G63" s="761">
        <f t="shared" si="18"/>
        <v>43497</v>
      </c>
      <c r="H63" s="761">
        <f t="shared" si="18"/>
        <v>43405</v>
      </c>
      <c r="I63" s="761">
        <f t="shared" si="18"/>
        <v>43313</v>
      </c>
      <c r="J63" s="761">
        <f t="shared" si="18"/>
        <v>43221</v>
      </c>
      <c r="K63" s="761">
        <f t="shared" si="18"/>
        <v>43132</v>
      </c>
      <c r="L63" s="761">
        <f t="shared" si="18"/>
        <v>43040</v>
      </c>
      <c r="M63" s="761">
        <f t="shared" si="18"/>
        <v>42948</v>
      </c>
      <c r="N63" s="761">
        <f t="shared" si="18"/>
        <v>42856</v>
      </c>
      <c r="O63" s="761">
        <f t="shared" si="18"/>
        <v>42767</v>
      </c>
    </row>
    <row r="64" spans="1:17" ht="21.5" thickBot="1">
      <c r="A64" s="763" t="s">
        <v>2673</v>
      </c>
      <c r="B64" s="759"/>
      <c r="C64" s="764"/>
      <c r="D64" s="764"/>
      <c r="E64" s="764"/>
      <c r="F64" s="765"/>
      <c r="G64" s="765"/>
      <c r="H64" s="764"/>
      <c r="I64" s="764"/>
      <c r="J64" s="764"/>
      <c r="K64" s="766"/>
      <c r="L64" s="767"/>
      <c r="M64" s="764"/>
      <c r="N64" s="764"/>
      <c r="O64" s="1159"/>
      <c r="P64" s="503"/>
      <c r="Q64" s="504"/>
    </row>
    <row r="65" spans="1:17" s="508" customFormat="1">
      <c r="A65" s="2713" t="s">
        <v>2781</v>
      </c>
      <c r="B65" s="1359"/>
      <c r="C65" s="1572" t="str">
        <f>YEAR(C63)&amp;"-"&amp;ROUNDUP(MONTH(C63)/3,0)</f>
        <v>2020-1</v>
      </c>
      <c r="D65" s="1572" t="str">
        <f t="shared" ref="D65:O65" si="19">YEAR(D63)&amp;"-"&amp;ROUNDUP(MONTH(D63)/3,0)</f>
        <v>2019-4</v>
      </c>
      <c r="E65" s="1572" t="str">
        <f t="shared" si="19"/>
        <v>2019-3</v>
      </c>
      <c r="F65" s="1572" t="str">
        <f t="shared" si="19"/>
        <v>2019-2</v>
      </c>
      <c r="G65" s="1572" t="str">
        <f t="shared" si="19"/>
        <v>2019-1</v>
      </c>
      <c r="H65" s="1572" t="str">
        <f t="shared" si="19"/>
        <v>2018-4</v>
      </c>
      <c r="I65" s="1572" t="str">
        <f t="shared" si="19"/>
        <v>2018-3</v>
      </c>
      <c r="J65" s="1572" t="str">
        <f t="shared" si="19"/>
        <v>2018-2</v>
      </c>
      <c r="K65" s="1572" t="str">
        <f t="shared" si="19"/>
        <v>2018-1</v>
      </c>
      <c r="L65" s="1572" t="str">
        <f t="shared" si="19"/>
        <v>2017-4</v>
      </c>
      <c r="M65" s="1572" t="str">
        <f t="shared" si="19"/>
        <v>2017-3</v>
      </c>
      <c r="N65" s="1572" t="str">
        <f t="shared" si="19"/>
        <v>2017-2</v>
      </c>
      <c r="O65" s="1572" t="str">
        <f t="shared" si="19"/>
        <v>2017-1</v>
      </c>
      <c r="P65" s="507"/>
    </row>
    <row r="66" spans="1:17" s="117" customFormat="1" ht="30.75" customHeight="1">
      <c r="A66" s="2718" t="s">
        <v>2801</v>
      </c>
      <c r="B66" s="332" t="str">
        <f>"北京市平均增长率"&amp;TEXT(基准地价修正!P24,"0.00%")</f>
        <v>北京市平均增长率1.35%</v>
      </c>
      <c r="C66" s="603">
        <v>100</v>
      </c>
      <c r="D66" s="595"/>
      <c r="E66" s="595"/>
      <c r="F66" s="595"/>
      <c r="G66" s="595"/>
      <c r="H66" s="595"/>
      <c r="I66" s="595"/>
      <c r="J66" s="595"/>
      <c r="K66" s="595"/>
      <c r="L66" s="595"/>
      <c r="M66" s="1567"/>
      <c r="N66" s="1567"/>
      <c r="O66" s="1569"/>
      <c r="P66" s="504"/>
    </row>
    <row r="67" spans="1:17" s="117" customFormat="1" ht="14.5" thickBot="1">
      <c r="A67" s="515" t="s">
        <v>2584</v>
      </c>
      <c r="B67" s="516"/>
      <c r="C67" s="517"/>
      <c r="D67" s="518"/>
      <c r="E67" s="518"/>
      <c r="F67" s="518"/>
      <c r="G67" s="518"/>
      <c r="H67" s="518"/>
      <c r="I67" s="518"/>
      <c r="J67" s="518"/>
      <c r="K67" s="518"/>
      <c r="L67" s="518"/>
      <c r="M67" s="519"/>
      <c r="N67" s="519"/>
      <c r="O67" s="520"/>
      <c r="P67" s="504"/>
      <c r="Q67" s="504"/>
    </row>
    <row r="68" spans="1:17" s="117" customFormat="1">
      <c r="A68" s="521" t="s">
        <v>2549</v>
      </c>
      <c r="B68" s="510"/>
      <c r="C68" s="522" t="s">
        <v>2651</v>
      </c>
      <c r="D68" s="523"/>
      <c r="E68" s="523"/>
      <c r="F68" s="523"/>
      <c r="G68" s="523"/>
      <c r="H68" s="523"/>
      <c r="I68" s="523"/>
      <c r="J68" s="523"/>
      <c r="K68" s="523"/>
      <c r="L68" s="524"/>
      <c r="M68" s="525"/>
      <c r="N68" s="1151"/>
      <c r="O68" s="1151"/>
      <c r="P68" s="526"/>
      <c r="Q68" s="504"/>
    </row>
    <row r="69" spans="1:17" s="117" customFormat="1" ht="14.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4.5" thickBot="1">
      <c r="A71" s="534"/>
      <c r="B71" s="535"/>
      <c r="C71" s="536"/>
      <c r="D71" s="536"/>
      <c r="E71" s="536"/>
      <c r="F71" s="536"/>
      <c r="G71" s="536"/>
      <c r="H71" s="536"/>
      <c r="I71" s="536"/>
      <c r="J71" s="536"/>
      <c r="K71" s="536"/>
      <c r="L71" s="536"/>
      <c r="M71" s="537"/>
      <c r="N71" s="1153"/>
      <c r="O71" s="1153"/>
      <c r="P71" s="45"/>
      <c r="Q71" s="504"/>
    </row>
    <row r="72" spans="1:17" ht="28.5" thickTop="1">
      <c r="A72" s="534"/>
      <c r="B72" s="538" t="s">
        <v>2556</v>
      </c>
      <c r="C72" s="539"/>
      <c r="D72" s="539"/>
      <c r="E72" s="539"/>
      <c r="F72" s="539"/>
      <c r="G72" s="539"/>
      <c r="H72" s="539"/>
      <c r="I72" s="539"/>
      <c r="J72" s="539"/>
      <c r="K72" s="540"/>
      <c r="L72" s="541"/>
      <c r="M72" s="542"/>
      <c r="N72" s="1152"/>
      <c r="O72" s="1152"/>
      <c r="P72" s="45"/>
      <c r="Q72" s="504"/>
    </row>
    <row r="73" spans="1:17" ht="14.5" thickBot="1">
      <c r="A73" s="534"/>
      <c r="B73" s="543"/>
      <c r="C73" s="544"/>
      <c r="D73" s="544"/>
      <c r="E73" s="544"/>
      <c r="F73" s="544"/>
      <c r="G73" s="544"/>
      <c r="H73" s="544"/>
      <c r="I73" s="544"/>
      <c r="J73" s="544"/>
      <c r="K73" s="544"/>
      <c r="L73" s="544"/>
      <c r="M73" s="545"/>
      <c r="N73" s="1153"/>
      <c r="O73" s="1153"/>
      <c r="P73" s="45"/>
      <c r="Q73" s="504"/>
    </row>
    <row r="74" spans="1:17" ht="14.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5" thickTop="1">
      <c r="A77" s="553"/>
      <c r="B77" s="538">
        <f>B12</f>
        <v>111</v>
      </c>
      <c r="C77" s="554"/>
      <c r="D77" s="554"/>
      <c r="E77" s="554"/>
      <c r="F77" s="554"/>
      <c r="G77" s="554"/>
      <c r="H77" s="555"/>
      <c r="I77" s="555"/>
      <c r="J77" s="555"/>
      <c r="K77" s="555"/>
      <c r="L77" s="556"/>
      <c r="M77" s="557"/>
      <c r="N77" s="1154"/>
      <c r="O77" s="1154"/>
      <c r="P77" s="558"/>
      <c r="Q77" s="559"/>
    </row>
    <row r="78" spans="1:17" s="471" customFormat="1" ht="14.5" thickBot="1">
      <c r="A78" s="553"/>
      <c r="B78" s="543"/>
      <c r="C78" s="560"/>
      <c r="D78" s="536"/>
      <c r="E78" s="536"/>
      <c r="F78" s="536"/>
      <c r="G78" s="536"/>
      <c r="H78" s="536"/>
      <c r="I78" s="536"/>
      <c r="J78" s="536"/>
      <c r="K78" s="536"/>
      <c r="L78" s="536"/>
      <c r="M78" s="537"/>
      <c r="N78" s="1153"/>
      <c r="O78" s="1153"/>
      <c r="P78" s="558"/>
      <c r="Q78" s="559"/>
    </row>
    <row r="79" spans="1:17" s="471" customFormat="1" ht="14.5" thickTop="1">
      <c r="A79" s="553"/>
      <c r="B79" s="538">
        <f>B13</f>
        <v>111</v>
      </c>
      <c r="C79" s="554"/>
      <c r="D79" s="554"/>
      <c r="E79" s="554"/>
      <c r="F79" s="554"/>
      <c r="G79" s="554"/>
      <c r="H79" s="555"/>
      <c r="I79" s="555"/>
      <c r="J79" s="555"/>
      <c r="K79" s="555"/>
      <c r="L79" s="556"/>
      <c r="M79" s="557"/>
      <c r="N79" s="1154"/>
      <c r="O79" s="1154"/>
      <c r="P79" s="470"/>
      <c r="Q79" s="561"/>
    </row>
    <row r="80" spans="1:17" s="471" customFormat="1" ht="14.5" thickBot="1">
      <c r="A80" s="553"/>
      <c r="B80" s="543"/>
      <c r="C80" s="560"/>
      <c r="D80" s="560"/>
      <c r="E80" s="560"/>
      <c r="F80" s="560"/>
      <c r="G80" s="560"/>
      <c r="H80" s="562"/>
      <c r="I80" s="562"/>
      <c r="J80" s="562"/>
      <c r="K80" s="562"/>
      <c r="L80" s="562"/>
      <c r="M80" s="563"/>
      <c r="N80" s="1154"/>
      <c r="O80" s="1154"/>
      <c r="P80" s="558"/>
      <c r="Q80" s="559"/>
    </row>
    <row r="81" spans="1:17" s="471" customFormat="1" ht="14.5" thickTop="1">
      <c r="A81" s="553"/>
      <c r="B81" s="546">
        <f>B14</f>
        <v>111</v>
      </c>
      <c r="C81" s="523"/>
      <c r="D81" s="523"/>
      <c r="E81" s="523"/>
      <c r="F81" s="523"/>
      <c r="G81" s="523"/>
      <c r="H81" s="564"/>
      <c r="I81" s="564"/>
      <c r="J81" s="564"/>
      <c r="K81" s="564"/>
      <c r="L81" s="565"/>
      <c r="M81" s="566"/>
      <c r="N81" s="1154"/>
      <c r="O81" s="1154"/>
      <c r="P81" s="567"/>
      <c r="Q81" s="559"/>
    </row>
    <row r="82" spans="1:17" s="471" customFormat="1" ht="14.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4.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4.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4.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8.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4.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8.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4.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4.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4.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4.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4.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4.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4.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8.5" thickTop="1">
      <c r="A97" s="534"/>
      <c r="B97" s="538" t="s">
        <v>2690</v>
      </c>
      <c r="C97" s="554"/>
      <c r="D97" s="554"/>
      <c r="E97" s="554"/>
      <c r="F97" s="554"/>
      <c r="G97" s="554"/>
      <c r="H97" s="583"/>
      <c r="I97" s="583"/>
      <c r="J97" s="583"/>
      <c r="K97" s="584"/>
      <c r="L97" s="585"/>
      <c r="M97" s="586"/>
      <c r="N97" s="1152"/>
      <c r="O97" s="1152"/>
      <c r="P97" s="45"/>
      <c r="Q97" s="504"/>
    </row>
    <row r="98" spans="1:17" ht="14.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4.5" thickTop="1">
      <c r="A99" s="534"/>
      <c r="B99" s="538" t="s">
        <v>2749</v>
      </c>
      <c r="C99" s="583"/>
      <c r="D99" s="583"/>
      <c r="E99" s="583"/>
      <c r="F99" s="583"/>
      <c r="G99" s="583"/>
      <c r="H99" s="583"/>
      <c r="I99" s="583"/>
      <c r="J99" s="583"/>
      <c r="K99" s="584"/>
      <c r="L99" s="585"/>
      <c r="M99" s="586"/>
      <c r="N99" s="1152"/>
      <c r="O99" s="1152"/>
      <c r="P99" s="45"/>
      <c r="Q99" s="504"/>
    </row>
    <row r="100" spans="1:17" ht="14.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5" thickTop="1">
      <c r="A101" s="534"/>
      <c r="B101" s="546">
        <f>B31</f>
        <v>111</v>
      </c>
      <c r="C101" s="554"/>
      <c r="D101" s="554"/>
      <c r="E101" s="554"/>
      <c r="F101" s="554"/>
      <c r="G101" s="587"/>
      <c r="H101" s="587"/>
      <c r="I101" s="587"/>
      <c r="J101" s="587"/>
      <c r="K101" s="588"/>
      <c r="L101" s="589"/>
      <c r="M101" s="590"/>
      <c r="N101" s="1152"/>
      <c r="O101" s="1152"/>
      <c r="P101" s="45"/>
      <c r="Q101" s="504"/>
    </row>
    <row r="102" spans="1:17" ht="14.5" thickBot="1">
      <c r="A102" s="534"/>
      <c r="B102" s="569"/>
      <c r="C102" s="560"/>
      <c r="D102" s="536"/>
      <c r="E102" s="536"/>
      <c r="F102" s="536"/>
      <c r="G102" s="591"/>
      <c r="H102" s="591"/>
      <c r="I102" s="591"/>
      <c r="J102" s="591"/>
      <c r="K102" s="591"/>
      <c r="L102" s="591"/>
      <c r="M102" s="592"/>
      <c r="N102" s="1153"/>
      <c r="O102" s="1153"/>
      <c r="P102" s="45"/>
      <c r="Q102" s="504"/>
    </row>
    <row r="103" spans="1:17" ht="14.5" thickTop="1">
      <c r="A103" s="675"/>
      <c r="B103" s="538">
        <f>B32</f>
        <v>111</v>
      </c>
      <c r="C103" s="554"/>
      <c r="D103" s="554"/>
      <c r="E103" s="554"/>
      <c r="F103" s="554"/>
      <c r="G103" s="583"/>
      <c r="H103" s="583"/>
      <c r="I103" s="583"/>
      <c r="J103" s="583"/>
      <c r="K103" s="584"/>
      <c r="L103" s="585"/>
      <c r="M103" s="586"/>
      <c r="N103" s="1152"/>
      <c r="O103" s="1152"/>
      <c r="P103" s="45"/>
      <c r="Q103" s="504"/>
    </row>
    <row r="104" spans="1:17" ht="14.5" thickBot="1">
      <c r="A104" s="534"/>
      <c r="B104" s="543"/>
      <c r="C104" s="560"/>
      <c r="D104" s="560"/>
      <c r="E104" s="560"/>
      <c r="F104" s="560"/>
      <c r="G104" s="536"/>
      <c r="H104" s="536"/>
      <c r="I104" s="536"/>
      <c r="J104" s="536"/>
      <c r="K104" s="536"/>
      <c r="L104" s="536"/>
      <c r="M104" s="537"/>
      <c r="N104" s="1153"/>
      <c r="O104" s="1153"/>
      <c r="P104" s="45"/>
      <c r="Q104" s="504"/>
    </row>
    <row r="105" spans="1:17" s="471" customFormat="1" ht="14.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5" thickBot="1">
      <c r="A109" s="534"/>
      <c r="B109" s="543"/>
      <c r="C109" s="570"/>
      <c r="D109" s="591"/>
      <c r="E109" s="591"/>
      <c r="F109" s="591"/>
      <c r="G109" s="591"/>
      <c r="H109" s="591"/>
      <c r="I109" s="591"/>
      <c r="J109" s="591"/>
      <c r="K109" s="591"/>
      <c r="L109" s="591"/>
      <c r="M109" s="592"/>
      <c r="N109" s="1153"/>
      <c r="O109" s="1153"/>
      <c r="P109" s="45"/>
      <c r="Q109" s="504"/>
    </row>
    <row r="110" spans="1:17" ht="14.5" thickTop="1">
      <c r="A110" s="599"/>
      <c r="B110" s="538" t="s">
        <v>2791</v>
      </c>
      <c r="C110" s="583"/>
      <c r="D110" s="583"/>
      <c r="E110" s="583"/>
      <c r="F110" s="583"/>
      <c r="G110" s="583"/>
      <c r="H110" s="583"/>
      <c r="I110" s="583"/>
      <c r="J110" s="583"/>
      <c r="K110" s="584"/>
      <c r="L110" s="585"/>
      <c r="M110" s="586"/>
      <c r="N110" s="1152"/>
      <c r="O110" s="1152"/>
      <c r="P110" s="45"/>
      <c r="Q110" s="504"/>
    </row>
    <row r="111" spans="1:17" ht="14.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4.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4.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4.5" thickTop="1">
      <c r="A114" s="599"/>
      <c r="B114" s="538" t="s">
        <v>2794</v>
      </c>
      <c r="C114" s="554"/>
      <c r="D114" s="554"/>
      <c r="E114" s="583"/>
      <c r="F114" s="583"/>
      <c r="G114" s="583"/>
      <c r="H114" s="583"/>
      <c r="I114" s="583"/>
      <c r="J114" s="583"/>
      <c r="K114" s="584"/>
      <c r="L114" s="585"/>
      <c r="M114" s="586"/>
      <c r="N114" s="1152"/>
      <c r="O114" s="1152"/>
      <c r="P114" s="45"/>
      <c r="Q114" s="504"/>
    </row>
    <row r="115" spans="1:17" ht="14.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5" thickTop="1">
      <c r="A116" s="599"/>
      <c r="B116" s="538">
        <f>B38</f>
        <v>111</v>
      </c>
      <c r="C116" s="554"/>
      <c r="D116" s="554"/>
      <c r="E116" s="554"/>
      <c r="F116" s="554"/>
      <c r="G116" s="554"/>
      <c r="H116" s="583"/>
      <c r="I116" s="583"/>
      <c r="J116" s="583"/>
      <c r="K116" s="584"/>
      <c r="L116" s="585"/>
      <c r="M116" s="586"/>
      <c r="N116" s="1152"/>
      <c r="O116" s="1152"/>
      <c r="P116" s="45"/>
      <c r="Q116" s="504"/>
    </row>
    <row r="117" spans="1:17" ht="14.5" thickBot="1">
      <c r="A117" s="534"/>
      <c r="B117" s="543"/>
      <c r="C117" s="560"/>
      <c r="D117" s="536"/>
      <c r="E117" s="536"/>
      <c r="F117" s="536"/>
      <c r="G117" s="536"/>
      <c r="H117" s="536"/>
      <c r="I117" s="536"/>
      <c r="J117" s="536"/>
      <c r="K117" s="536"/>
      <c r="L117" s="536"/>
      <c r="M117" s="537"/>
      <c r="N117" s="1153"/>
      <c r="O117" s="1153"/>
      <c r="P117" s="45"/>
      <c r="Q117" s="504"/>
    </row>
    <row r="118" spans="1:17" ht="14.5" thickTop="1">
      <c r="A118" s="599"/>
      <c r="B118" s="538">
        <f>B39</f>
        <v>111</v>
      </c>
      <c r="C118" s="554"/>
      <c r="D118" s="554"/>
      <c r="E118" s="554"/>
      <c r="F118" s="554"/>
      <c r="G118" s="583"/>
      <c r="H118" s="583"/>
      <c r="I118" s="583"/>
      <c r="J118" s="583"/>
      <c r="K118" s="584"/>
      <c r="L118" s="585"/>
      <c r="M118" s="586"/>
      <c r="N118" s="1152"/>
      <c r="O118" s="1152"/>
      <c r="P118" s="45"/>
      <c r="Q118" s="504"/>
    </row>
    <row r="119" spans="1:17" ht="14.5" thickBot="1">
      <c r="A119" s="534"/>
      <c r="B119" s="543"/>
      <c r="C119" s="560"/>
      <c r="D119" s="560"/>
      <c r="E119" s="560"/>
      <c r="F119" s="560"/>
      <c r="G119" s="536"/>
      <c r="H119" s="536"/>
      <c r="I119" s="536"/>
      <c r="J119" s="536"/>
      <c r="K119" s="536"/>
      <c r="L119" s="536"/>
      <c r="M119" s="537"/>
      <c r="N119" s="1153"/>
      <c r="O119" s="1153"/>
      <c r="P119" s="45"/>
      <c r="Q119" s="504"/>
    </row>
    <row r="120" spans="1:17" s="471" customFormat="1" ht="14.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1796875" defaultRowHeight="19.5" customHeight="1"/>
  <cols>
    <col min="1" max="1" width="13.6328125" style="816" customWidth="1"/>
    <col min="2" max="9" width="8.1796875" style="878" customWidth="1"/>
    <col min="10" max="13" width="8.1796875" style="816"/>
    <col min="14" max="14" width="10" style="816" customWidth="1"/>
    <col min="15" max="16" width="8.1796875" style="816"/>
    <col min="17" max="17" width="34.08984375" style="816" customWidth="1"/>
    <col min="18" max="18" width="8.1796875" style="816" customWidth="1"/>
    <col min="19" max="19" width="8.1796875" style="816"/>
    <col min="20" max="20" width="11.6328125" style="816" customWidth="1"/>
    <col min="21" max="16384" width="8.1796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6" t="s">
        <v>183</v>
      </c>
      <c r="B18" s="882" t="s">
        <v>560</v>
      </c>
      <c r="C18" s="883" t="s">
        <v>561</v>
      </c>
      <c r="D18" s="884"/>
      <c r="E18" s="882">
        <v>1</v>
      </c>
      <c r="F18" s="885" t="s">
        <v>562</v>
      </c>
      <c r="G18" s="886"/>
      <c r="H18" s="878"/>
      <c r="I18" s="878"/>
    </row>
    <row r="19" spans="1:9" s="887" customFormat="1" ht="19.5" customHeight="1">
      <c r="A19" s="3276"/>
      <c r="B19" s="3276" t="s">
        <v>563</v>
      </c>
      <c r="C19" s="883" t="s">
        <v>564</v>
      </c>
      <c r="D19" s="884"/>
      <c r="E19" s="882">
        <v>0.9</v>
      </c>
      <c r="F19" s="885" t="s">
        <v>565</v>
      </c>
      <c r="G19" s="886"/>
      <c r="H19" s="878"/>
      <c r="I19" s="878"/>
    </row>
    <row r="20" spans="1:9" s="887" customFormat="1" ht="19.5" customHeight="1">
      <c r="A20" s="3276"/>
      <c r="B20" s="3276"/>
      <c r="C20" s="883" t="s">
        <v>566</v>
      </c>
      <c r="D20" s="884"/>
      <c r="E20" s="882">
        <v>1.1000000000000001</v>
      </c>
      <c r="F20" s="885" t="s">
        <v>567</v>
      </c>
      <c r="G20" s="886"/>
      <c r="H20" s="878"/>
      <c r="I20" s="878"/>
    </row>
    <row r="21" spans="1:9" s="887" customFormat="1" ht="19.5" customHeight="1">
      <c r="A21" s="3276"/>
      <c r="B21" s="3276"/>
      <c r="C21" s="883" t="s">
        <v>568</v>
      </c>
      <c r="D21" s="884"/>
      <c r="E21" s="882">
        <v>0.8</v>
      </c>
      <c r="F21" s="885" t="s">
        <v>569</v>
      </c>
      <c r="G21" s="886"/>
      <c r="H21" s="878"/>
      <c r="I21" s="878"/>
    </row>
    <row r="22" spans="1:9" s="887" customFormat="1" ht="19.5" customHeight="1">
      <c r="A22" s="3276"/>
      <c r="B22" s="3276"/>
      <c r="C22" s="883" t="s">
        <v>570</v>
      </c>
      <c r="D22" s="884"/>
      <c r="E22" s="882">
        <v>0.5</v>
      </c>
      <c r="F22" s="885"/>
      <c r="G22" s="886"/>
      <c r="H22" s="878"/>
      <c r="I22" s="878"/>
    </row>
    <row r="23" spans="1:9" s="887" customFormat="1" ht="19.5" customHeight="1">
      <c r="A23" s="3276" t="s">
        <v>184</v>
      </c>
      <c r="B23" s="882" t="s">
        <v>560</v>
      </c>
      <c r="C23" s="883" t="s">
        <v>571</v>
      </c>
      <c r="D23" s="884"/>
      <c r="E23" s="882">
        <v>1</v>
      </c>
      <c r="F23" s="885" t="s">
        <v>572</v>
      </c>
      <c r="G23" s="886"/>
      <c r="H23" s="878"/>
      <c r="I23" s="878"/>
    </row>
    <row r="24" spans="1:9" s="887" customFormat="1" ht="19.5" customHeight="1">
      <c r="A24" s="3276"/>
      <c r="B24" s="3276" t="s">
        <v>563</v>
      </c>
      <c r="C24" s="883" t="s">
        <v>573</v>
      </c>
      <c r="D24" s="884"/>
      <c r="E24" s="882">
        <v>0.5</v>
      </c>
      <c r="F24" s="885"/>
      <c r="G24" s="886"/>
      <c r="H24" s="878"/>
      <c r="I24" s="878"/>
    </row>
    <row r="25" spans="1:9" s="887" customFormat="1" ht="19.5" customHeight="1">
      <c r="A25" s="3276"/>
      <c r="B25" s="3276"/>
      <c r="C25" s="883" t="s">
        <v>574</v>
      </c>
      <c r="D25" s="884"/>
      <c r="E25" s="882">
        <v>1.1000000000000001</v>
      </c>
      <c r="F25" s="885"/>
      <c r="G25" s="886"/>
      <c r="H25" s="878"/>
      <c r="I25" s="878"/>
    </row>
    <row r="26" spans="1:9" s="887" customFormat="1" ht="19.5" customHeight="1">
      <c r="A26" s="3276"/>
      <c r="B26" s="3276"/>
      <c r="C26" s="883" t="s">
        <v>575</v>
      </c>
      <c r="D26" s="884"/>
      <c r="E26" s="882">
        <v>1.1000000000000001</v>
      </c>
      <c r="F26" s="885"/>
      <c r="G26" s="886"/>
      <c r="H26" s="878"/>
      <c r="I26" s="878"/>
    </row>
    <row r="27" spans="1:9" s="887" customFormat="1" ht="19.5" customHeight="1">
      <c r="A27" s="3276"/>
      <c r="B27" s="3276"/>
      <c r="C27" s="883" t="s">
        <v>576</v>
      </c>
      <c r="D27" s="884"/>
      <c r="E27" s="882">
        <v>0.9</v>
      </c>
      <c r="F27" s="885" t="s">
        <v>577</v>
      </c>
      <c r="G27" s="886"/>
      <c r="H27" s="878"/>
      <c r="I27" s="878"/>
    </row>
    <row r="28" spans="1:9" s="887" customFormat="1" ht="19.5" customHeight="1">
      <c r="A28" s="3276"/>
      <c r="B28" s="3276"/>
      <c r="C28" s="883" t="s">
        <v>578</v>
      </c>
      <c r="D28" s="884"/>
      <c r="E28" s="882">
        <v>0.9</v>
      </c>
      <c r="F28" s="885" t="s">
        <v>579</v>
      </c>
      <c r="G28" s="886"/>
      <c r="H28" s="878"/>
      <c r="I28" s="878"/>
    </row>
    <row r="29" spans="1:9" s="887" customFormat="1" ht="19.5" customHeight="1">
      <c r="A29" s="3276"/>
      <c r="B29" s="3276"/>
      <c r="C29" s="883" t="s">
        <v>580</v>
      </c>
      <c r="D29" s="884"/>
      <c r="E29" s="882">
        <v>0.9</v>
      </c>
      <c r="F29" s="885" t="s">
        <v>581</v>
      </c>
      <c r="G29" s="886"/>
      <c r="H29" s="878"/>
      <c r="I29" s="878"/>
    </row>
    <row r="30" spans="1:9" s="887" customFormat="1" ht="19.5" customHeight="1">
      <c r="A30" s="3276"/>
      <c r="B30" s="3276"/>
      <c r="C30" s="883" t="s">
        <v>582</v>
      </c>
      <c r="D30" s="884"/>
      <c r="E30" s="882">
        <v>0.9</v>
      </c>
      <c r="F30" s="885" t="s">
        <v>583</v>
      </c>
      <c r="G30" s="886"/>
      <c r="H30" s="878"/>
      <c r="I30" s="878"/>
    </row>
    <row r="31" spans="1:9" s="887" customFormat="1" ht="19.5" customHeight="1">
      <c r="A31" s="3276"/>
      <c r="B31" s="3276"/>
      <c r="C31" s="883" t="s">
        <v>584</v>
      </c>
      <c r="D31" s="884"/>
      <c r="E31" s="882">
        <v>0.8</v>
      </c>
      <c r="F31" s="885" t="s">
        <v>585</v>
      </c>
      <c r="G31" s="886"/>
      <c r="H31" s="878"/>
      <c r="I31" s="878"/>
    </row>
    <row r="32" spans="1:9" s="887" customFormat="1" ht="19.5" customHeight="1">
      <c r="A32" s="3276"/>
      <c r="B32" s="3276"/>
      <c r="C32" s="883" t="s">
        <v>586</v>
      </c>
      <c r="D32" s="884"/>
      <c r="E32" s="882">
        <v>0.8</v>
      </c>
      <c r="F32" s="885" t="s">
        <v>587</v>
      </c>
      <c r="G32" s="886"/>
      <c r="H32" s="878"/>
      <c r="I32" s="878"/>
    </row>
    <row r="33" spans="1:9" s="887" customFormat="1" ht="19.5" customHeight="1">
      <c r="A33" s="3276" t="s">
        <v>185</v>
      </c>
      <c r="B33" s="882" t="s">
        <v>560</v>
      </c>
      <c r="C33" s="883" t="s">
        <v>588</v>
      </c>
      <c r="D33" s="884"/>
      <c r="E33" s="882">
        <v>1</v>
      </c>
      <c r="F33" s="885" t="s">
        <v>589</v>
      </c>
      <c r="G33" s="886"/>
      <c r="H33" s="878"/>
      <c r="I33" s="878"/>
    </row>
    <row r="34" spans="1:9" s="887" customFormat="1" ht="19.5" customHeight="1">
      <c r="A34" s="3276"/>
      <c r="B34" s="882" t="s">
        <v>563</v>
      </c>
      <c r="C34" s="883" t="s">
        <v>590</v>
      </c>
      <c r="D34" s="884"/>
      <c r="E34" s="882">
        <v>1.5</v>
      </c>
      <c r="F34" s="885" t="s">
        <v>591</v>
      </c>
      <c r="G34" s="886"/>
      <c r="H34" s="878"/>
      <c r="I34" s="878"/>
    </row>
    <row r="35" spans="1:9" s="887" customFormat="1" ht="19.5" customHeight="1">
      <c r="A35" s="3276" t="s">
        <v>186</v>
      </c>
      <c r="B35" s="882" t="s">
        <v>560</v>
      </c>
      <c r="C35" s="883" t="s">
        <v>592</v>
      </c>
      <c r="D35" s="884"/>
      <c r="E35" s="882">
        <v>1</v>
      </c>
      <c r="F35" s="885" t="s">
        <v>593</v>
      </c>
      <c r="G35" s="886"/>
      <c r="H35" s="878"/>
      <c r="I35" s="878"/>
    </row>
    <row r="36" spans="1:9" s="887" customFormat="1" ht="19.5" customHeight="1">
      <c r="A36" s="3276"/>
      <c r="B36" s="3276" t="s">
        <v>563</v>
      </c>
      <c r="C36" s="883" t="s">
        <v>594</v>
      </c>
      <c r="D36" s="884"/>
      <c r="E36" s="882">
        <v>1</v>
      </c>
      <c r="F36" s="885" t="s">
        <v>595</v>
      </c>
      <c r="G36" s="886"/>
      <c r="H36" s="878"/>
      <c r="I36" s="878"/>
    </row>
    <row r="37" spans="1:9" s="887" customFormat="1" ht="19.5" customHeight="1">
      <c r="A37" s="3276"/>
      <c r="B37" s="3276"/>
      <c r="C37" s="883" t="s">
        <v>596</v>
      </c>
      <c r="D37" s="884"/>
      <c r="E37" s="882">
        <v>1.5</v>
      </c>
      <c r="F37" s="885" t="s">
        <v>597</v>
      </c>
      <c r="G37" s="886"/>
      <c r="H37" s="878"/>
      <c r="I37" s="878"/>
    </row>
    <row r="38" spans="1:9" s="887" customFormat="1" ht="19.5" customHeight="1">
      <c r="A38" s="3276"/>
      <c r="B38" s="3276"/>
      <c r="C38" s="883" t="s">
        <v>598</v>
      </c>
      <c r="D38" s="884"/>
      <c r="E38" s="882">
        <v>1</v>
      </c>
      <c r="F38" s="885" t="s">
        <v>599</v>
      </c>
      <c r="G38" s="886"/>
      <c r="H38" s="878"/>
      <c r="I38" s="878"/>
    </row>
    <row r="39" spans="1:9" s="887" customFormat="1" ht="19.5" customHeight="1">
      <c r="A39" s="3276"/>
      <c r="B39" s="327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
      <c r="A60" s="940"/>
      <c r="B60" s="940"/>
      <c r="C60" s="940" t="s">
        <v>745</v>
      </c>
      <c r="D60" s="940"/>
      <c r="E60" s="895" t="s">
        <v>1</v>
      </c>
      <c r="F60" s="940" t="s">
        <v>1</v>
      </c>
    </row>
    <row r="61" spans="1:8" s="878" customFormat="1" ht="26">
      <c r="A61" s="882">
        <v>1</v>
      </c>
      <c r="B61" s="3276" t="s">
        <v>614</v>
      </c>
      <c r="C61" s="818" t="s">
        <v>615</v>
      </c>
      <c r="D61" s="818" t="s">
        <v>616</v>
      </c>
      <c r="E61" s="895">
        <v>0.5</v>
      </c>
      <c r="F61" s="882">
        <v>80</v>
      </c>
    </row>
    <row r="62" spans="1:8" s="878" customFormat="1" ht="26">
      <c r="A62" s="882">
        <v>2</v>
      </c>
      <c r="B62" s="3276"/>
      <c r="C62" s="818" t="s">
        <v>617</v>
      </c>
      <c r="D62" s="818" t="s">
        <v>618</v>
      </c>
      <c r="E62" s="895">
        <v>0.5</v>
      </c>
      <c r="F62" s="882">
        <v>80</v>
      </c>
    </row>
    <row r="63" spans="1:8" s="878" customFormat="1" ht="39">
      <c r="A63" s="882">
        <v>3</v>
      </c>
      <c r="B63" s="3276"/>
      <c r="C63" s="818" t="s">
        <v>619</v>
      </c>
      <c r="D63" s="818" t="s">
        <v>620</v>
      </c>
      <c r="E63" s="895">
        <v>0.5</v>
      </c>
      <c r="F63" s="882">
        <v>80</v>
      </c>
    </row>
    <row r="64" spans="1:8" s="878" customFormat="1" ht="39">
      <c r="A64" s="882">
        <v>4</v>
      </c>
      <c r="B64" s="3276"/>
      <c r="C64" s="818" t="s">
        <v>621</v>
      </c>
      <c r="D64" s="818" t="s">
        <v>622</v>
      </c>
      <c r="E64" s="895">
        <v>0.4</v>
      </c>
      <c r="F64" s="882">
        <v>60</v>
      </c>
    </row>
    <row r="65" spans="1:6" s="878" customFormat="1" ht="39">
      <c r="A65" s="882">
        <v>5</v>
      </c>
      <c r="B65" s="3276"/>
      <c r="C65" s="818" t="s">
        <v>623</v>
      </c>
      <c r="D65" s="818" t="s">
        <v>624</v>
      </c>
      <c r="E65" s="895">
        <v>0.2</v>
      </c>
      <c r="F65" s="882">
        <v>30</v>
      </c>
    </row>
    <row r="66" spans="1:6" s="878" customFormat="1" ht="39">
      <c r="A66" s="882">
        <v>6</v>
      </c>
      <c r="B66" s="3276"/>
      <c r="C66" s="818" t="s">
        <v>625</v>
      </c>
      <c r="D66" s="818" t="s">
        <v>626</v>
      </c>
      <c r="E66" s="895">
        <v>0.3</v>
      </c>
      <c r="F66" s="882">
        <v>50</v>
      </c>
    </row>
    <row r="67" spans="1:6" s="878" customFormat="1" ht="39">
      <c r="A67" s="882">
        <v>7</v>
      </c>
      <c r="B67" s="3276"/>
      <c r="C67" s="818" t="s">
        <v>627</v>
      </c>
      <c r="D67" s="818" t="s">
        <v>628</v>
      </c>
      <c r="E67" s="895">
        <v>0.2</v>
      </c>
      <c r="F67" s="882">
        <v>30</v>
      </c>
    </row>
    <row r="68" spans="1:6" s="878" customFormat="1" ht="39">
      <c r="A68" s="882">
        <v>8</v>
      </c>
      <c r="B68" s="3276"/>
      <c r="C68" s="818" t="s">
        <v>629</v>
      </c>
      <c r="D68" s="818" t="s">
        <v>630</v>
      </c>
      <c r="E68" s="895">
        <v>0.2</v>
      </c>
      <c r="F68" s="882">
        <v>30</v>
      </c>
    </row>
    <row r="69" spans="1:6" s="878" customFormat="1" ht="39">
      <c r="A69" s="882">
        <v>9</v>
      </c>
      <c r="B69" s="3276"/>
      <c r="C69" s="818" t="s">
        <v>631</v>
      </c>
      <c r="D69" s="818" t="s">
        <v>632</v>
      </c>
      <c r="E69" s="895">
        <v>0.2</v>
      </c>
      <c r="F69" s="882">
        <v>30</v>
      </c>
    </row>
    <row r="70" spans="1:6" s="878" customFormat="1" ht="52">
      <c r="A70" s="882">
        <v>10</v>
      </c>
      <c r="B70" s="3276"/>
      <c r="C70" s="818" t="s">
        <v>633</v>
      </c>
      <c r="D70" s="818" t="s">
        <v>634</v>
      </c>
      <c r="E70" s="895">
        <v>0.2</v>
      </c>
      <c r="F70" s="882">
        <v>30</v>
      </c>
    </row>
    <row r="71" spans="1:6" s="878" customFormat="1" ht="52">
      <c r="A71" s="882">
        <v>11</v>
      </c>
      <c r="B71" s="3276"/>
      <c r="C71" s="818" t="s">
        <v>635</v>
      </c>
      <c r="D71" s="818" t="s">
        <v>636</v>
      </c>
      <c r="E71" s="895">
        <v>0.2</v>
      </c>
      <c r="F71" s="882">
        <v>30</v>
      </c>
    </row>
    <row r="72" spans="1:6" s="878" customFormat="1" ht="39">
      <c r="A72" s="882">
        <v>12</v>
      </c>
      <c r="B72" s="3276"/>
      <c r="C72" s="818" t="s">
        <v>637</v>
      </c>
      <c r="D72" s="818" t="s">
        <v>638</v>
      </c>
      <c r="E72" s="895">
        <v>0.5</v>
      </c>
      <c r="F72" s="882">
        <v>80</v>
      </c>
    </row>
    <row r="73" spans="1:6" s="878" customFormat="1" ht="26">
      <c r="A73" s="882">
        <v>13</v>
      </c>
      <c r="B73" s="3276"/>
      <c r="C73" s="818" t="s">
        <v>639</v>
      </c>
      <c r="D73" s="818" t="s">
        <v>640</v>
      </c>
      <c r="E73" s="895">
        <v>0.4</v>
      </c>
      <c r="F73" s="882">
        <v>60</v>
      </c>
    </row>
    <row r="74" spans="1:6" s="878" customFormat="1" ht="26">
      <c r="A74" s="882">
        <v>14</v>
      </c>
      <c r="B74" s="3276"/>
      <c r="C74" s="818" t="s">
        <v>641</v>
      </c>
      <c r="D74" s="818" t="s">
        <v>642</v>
      </c>
      <c r="E74" s="895">
        <v>0.2</v>
      </c>
      <c r="F74" s="882">
        <v>30</v>
      </c>
    </row>
    <row r="75" spans="1:6" s="878" customFormat="1" ht="26">
      <c r="A75" s="882">
        <v>15</v>
      </c>
      <c r="B75" s="3276"/>
      <c r="C75" s="818" t="s">
        <v>643</v>
      </c>
      <c r="D75" s="818" t="s">
        <v>644</v>
      </c>
      <c r="E75" s="895">
        <v>0.2</v>
      </c>
      <c r="F75" s="882">
        <v>30</v>
      </c>
    </row>
    <row r="76" spans="1:6" s="878" customFormat="1" ht="26">
      <c r="A76" s="882">
        <v>16</v>
      </c>
      <c r="B76" s="3276" t="s">
        <v>645</v>
      </c>
      <c r="C76" s="818" t="s">
        <v>646</v>
      </c>
      <c r="D76" s="818" t="s">
        <v>647</v>
      </c>
      <c r="E76" s="895">
        <v>0.5</v>
      </c>
      <c r="F76" s="882">
        <v>80</v>
      </c>
    </row>
    <row r="77" spans="1:6" s="878" customFormat="1" ht="26">
      <c r="A77" s="882">
        <v>17</v>
      </c>
      <c r="B77" s="3276"/>
      <c r="C77" s="818" t="s">
        <v>648</v>
      </c>
      <c r="D77" s="818" t="s">
        <v>649</v>
      </c>
      <c r="E77" s="895">
        <v>0.5</v>
      </c>
      <c r="F77" s="882">
        <v>80</v>
      </c>
    </row>
    <row r="78" spans="1:6" s="878" customFormat="1" ht="26">
      <c r="A78" s="882">
        <v>18</v>
      </c>
      <c r="B78" s="3276"/>
      <c r="C78" s="818" t="s">
        <v>650</v>
      </c>
      <c r="D78" s="818" t="s">
        <v>651</v>
      </c>
      <c r="E78" s="895">
        <v>0.2</v>
      </c>
      <c r="F78" s="882">
        <v>30</v>
      </c>
    </row>
    <row r="79" spans="1:6" s="878" customFormat="1" ht="26">
      <c r="A79" s="882">
        <v>19</v>
      </c>
      <c r="B79" s="3276"/>
      <c r="C79" s="818" t="s">
        <v>652</v>
      </c>
      <c r="D79" s="818" t="s">
        <v>653</v>
      </c>
      <c r="E79" s="895">
        <v>0.5</v>
      </c>
      <c r="F79" s="882">
        <v>80</v>
      </c>
    </row>
    <row r="80" spans="1:6" s="878" customFormat="1" ht="39">
      <c r="A80" s="882">
        <v>20</v>
      </c>
      <c r="B80" s="3276"/>
      <c r="C80" s="818" t="s">
        <v>654</v>
      </c>
      <c r="D80" s="818" t="s">
        <v>655</v>
      </c>
      <c r="E80" s="895">
        <v>0.2</v>
      </c>
      <c r="F80" s="882">
        <v>30</v>
      </c>
    </row>
    <row r="81" spans="1:6" s="878" customFormat="1" ht="39">
      <c r="A81" s="882">
        <v>21</v>
      </c>
      <c r="B81" s="3276"/>
      <c r="C81" s="818" t="s">
        <v>656</v>
      </c>
      <c r="D81" s="818" t="s">
        <v>657</v>
      </c>
      <c r="E81" s="895">
        <v>0.2</v>
      </c>
      <c r="F81" s="882">
        <v>30</v>
      </c>
    </row>
    <row r="82" spans="1:6" s="878" customFormat="1" ht="52">
      <c r="A82" s="882">
        <v>22</v>
      </c>
      <c r="B82" s="3276"/>
      <c r="C82" s="818" t="s">
        <v>658</v>
      </c>
      <c r="D82" s="818" t="s">
        <v>659</v>
      </c>
      <c r="E82" s="895">
        <v>0.2</v>
      </c>
      <c r="F82" s="882">
        <v>30</v>
      </c>
    </row>
    <row r="83" spans="1:6" s="878" customFormat="1" ht="52">
      <c r="A83" s="882">
        <v>23</v>
      </c>
      <c r="B83" s="3276"/>
      <c r="C83" s="818" t="s">
        <v>660</v>
      </c>
      <c r="D83" s="818" t="s">
        <v>661</v>
      </c>
      <c r="E83" s="895">
        <v>0.2</v>
      </c>
      <c r="F83" s="882">
        <v>30</v>
      </c>
    </row>
    <row r="84" spans="1:6" s="878" customFormat="1" ht="39">
      <c r="A84" s="882">
        <v>24</v>
      </c>
      <c r="B84" s="3276"/>
      <c r="C84" s="818" t="s">
        <v>662</v>
      </c>
      <c r="D84" s="818" t="s">
        <v>663</v>
      </c>
      <c r="E84" s="895">
        <v>0.2</v>
      </c>
      <c r="F84" s="882">
        <v>30</v>
      </c>
    </row>
    <row r="85" spans="1:6" s="878" customFormat="1" ht="39">
      <c r="A85" s="882">
        <v>25</v>
      </c>
      <c r="B85" s="3276"/>
      <c r="C85" s="818" t="s">
        <v>664</v>
      </c>
      <c r="D85" s="818" t="s">
        <v>665</v>
      </c>
      <c r="E85" s="895">
        <v>0.5</v>
      </c>
      <c r="F85" s="882">
        <v>80</v>
      </c>
    </row>
    <row r="86" spans="1:6" s="878" customFormat="1" ht="39">
      <c r="A86" s="882">
        <v>26</v>
      </c>
      <c r="B86" s="3276"/>
      <c r="C86" s="818" t="s">
        <v>666</v>
      </c>
      <c r="D86" s="818" t="s">
        <v>667</v>
      </c>
      <c r="E86" s="895">
        <v>0.2</v>
      </c>
      <c r="F86" s="882">
        <v>30</v>
      </c>
    </row>
    <row r="87" spans="1:6" s="878" customFormat="1" ht="39">
      <c r="A87" s="882">
        <v>27</v>
      </c>
      <c r="B87" s="3276"/>
      <c r="C87" s="818" t="s">
        <v>668</v>
      </c>
      <c r="D87" s="818" t="s">
        <v>669</v>
      </c>
      <c r="E87" s="895">
        <v>0.2</v>
      </c>
      <c r="F87" s="882">
        <v>30</v>
      </c>
    </row>
    <row r="88" spans="1:6" s="878" customFormat="1" ht="39">
      <c r="A88" s="882">
        <v>28</v>
      </c>
      <c r="B88" s="3276"/>
      <c r="C88" s="818" t="s">
        <v>670</v>
      </c>
      <c r="D88" s="818" t="s">
        <v>671</v>
      </c>
      <c r="E88" s="895">
        <v>0.2</v>
      </c>
      <c r="F88" s="882">
        <v>30</v>
      </c>
    </row>
    <row r="89" spans="1:6" s="878" customFormat="1" ht="26">
      <c r="A89" s="882">
        <v>29</v>
      </c>
      <c r="B89" s="3276"/>
      <c r="C89" s="818" t="s">
        <v>672</v>
      </c>
      <c r="D89" s="818" t="s">
        <v>673</v>
      </c>
      <c r="E89" s="895">
        <v>0.2</v>
      </c>
      <c r="F89" s="882">
        <v>30</v>
      </c>
    </row>
    <row r="90" spans="1:6" s="878" customFormat="1" ht="26">
      <c r="A90" s="882">
        <v>30</v>
      </c>
      <c r="B90" s="3276"/>
      <c r="C90" s="818" t="s">
        <v>674</v>
      </c>
      <c r="D90" s="818" t="s">
        <v>675</v>
      </c>
      <c r="E90" s="895">
        <v>0.2</v>
      </c>
      <c r="F90" s="882">
        <v>30</v>
      </c>
    </row>
    <row r="91" spans="1:6" s="878" customFormat="1" ht="39">
      <c r="A91" s="882">
        <v>31</v>
      </c>
      <c r="B91" s="3276"/>
      <c r="C91" s="818" t="s">
        <v>676</v>
      </c>
      <c r="D91" s="818" t="s">
        <v>677</v>
      </c>
      <c r="E91" s="895">
        <v>0.2</v>
      </c>
      <c r="F91" s="882">
        <v>30</v>
      </c>
    </row>
    <row r="92" spans="1:6" s="878" customFormat="1" ht="26">
      <c r="A92" s="882">
        <v>32</v>
      </c>
      <c r="B92" s="3276" t="s">
        <v>678</v>
      </c>
      <c r="C92" s="882" t="s">
        <v>679</v>
      </c>
      <c r="D92" s="818" t="s">
        <v>680</v>
      </c>
      <c r="E92" s="895">
        <v>0.2</v>
      </c>
      <c r="F92" s="882">
        <v>30</v>
      </c>
    </row>
    <row r="93" spans="1:6" s="878" customFormat="1" ht="39">
      <c r="A93" s="882">
        <v>33</v>
      </c>
      <c r="B93" s="3276"/>
      <c r="C93" s="882" t="s">
        <v>681</v>
      </c>
      <c r="D93" s="818" t="s">
        <v>682</v>
      </c>
      <c r="E93" s="895">
        <v>0.2</v>
      </c>
      <c r="F93" s="882">
        <v>30</v>
      </c>
    </row>
    <row r="94" spans="1:6" s="878" customFormat="1" ht="52">
      <c r="A94" s="882">
        <v>34</v>
      </c>
      <c r="B94" s="3276"/>
      <c r="C94" s="882" t="s">
        <v>683</v>
      </c>
      <c r="D94" s="818" t="s">
        <v>684</v>
      </c>
      <c r="E94" s="895">
        <v>0.2</v>
      </c>
      <c r="F94" s="882">
        <v>30</v>
      </c>
    </row>
    <row r="95" spans="1:6" s="878" customFormat="1" ht="39">
      <c r="A95" s="882">
        <v>35</v>
      </c>
      <c r="B95" s="3276"/>
      <c r="C95" s="882" t="s">
        <v>685</v>
      </c>
      <c r="D95" s="818" t="s">
        <v>686</v>
      </c>
      <c r="E95" s="895">
        <v>0.2</v>
      </c>
      <c r="F95" s="882">
        <v>30</v>
      </c>
    </row>
    <row r="96" spans="1:6" s="878" customFormat="1" ht="52">
      <c r="A96" s="882">
        <v>36</v>
      </c>
      <c r="B96" s="3276"/>
      <c r="C96" s="818" t="s">
        <v>687</v>
      </c>
      <c r="D96" s="818" t="s">
        <v>688</v>
      </c>
      <c r="E96" s="895">
        <v>0.2</v>
      </c>
      <c r="F96" s="882">
        <v>30</v>
      </c>
    </row>
    <row r="97" spans="1:6" s="878" customFormat="1" ht="39">
      <c r="A97" s="882">
        <v>37</v>
      </c>
      <c r="B97" s="3276"/>
      <c r="C97" s="882" t="s">
        <v>689</v>
      </c>
      <c r="D97" s="818" t="s">
        <v>690</v>
      </c>
      <c r="E97" s="895">
        <v>0.2</v>
      </c>
      <c r="F97" s="882">
        <v>30</v>
      </c>
    </row>
    <row r="98" spans="1:6" s="878" customFormat="1" ht="39">
      <c r="A98" s="882">
        <v>38</v>
      </c>
      <c r="B98" s="3276"/>
      <c r="C98" s="882" t="s">
        <v>691</v>
      </c>
      <c r="D98" s="818" t="s">
        <v>692</v>
      </c>
      <c r="E98" s="895">
        <v>0.2</v>
      </c>
      <c r="F98" s="882">
        <v>30</v>
      </c>
    </row>
    <row r="99" spans="1:6" s="878" customFormat="1" ht="39">
      <c r="A99" s="882">
        <v>39</v>
      </c>
      <c r="B99" s="3276" t="s">
        <v>693</v>
      </c>
      <c r="C99" s="882" t="s">
        <v>694</v>
      </c>
      <c r="D99" s="818" t="s">
        <v>695</v>
      </c>
      <c r="E99" s="895">
        <v>0.3</v>
      </c>
      <c r="F99" s="882">
        <v>50</v>
      </c>
    </row>
    <row r="100" spans="1:6" s="878" customFormat="1" ht="26">
      <c r="A100" s="882">
        <v>40</v>
      </c>
      <c r="B100" s="3276"/>
      <c r="C100" s="882" t="s">
        <v>696</v>
      </c>
      <c r="D100" s="818" t="s">
        <v>697</v>
      </c>
      <c r="E100" s="895">
        <v>0.2</v>
      </c>
      <c r="F100" s="882">
        <v>30</v>
      </c>
    </row>
    <row r="101" spans="1:6" s="878" customFormat="1" ht="39">
      <c r="A101" s="882">
        <v>41</v>
      </c>
      <c r="B101" s="3276"/>
      <c r="C101" s="882" t="s">
        <v>698</v>
      </c>
      <c r="D101" s="818" t="s">
        <v>695</v>
      </c>
      <c r="E101" s="895">
        <v>0.2</v>
      </c>
      <c r="F101" s="882">
        <v>30</v>
      </c>
    </row>
    <row r="102" spans="1:6" s="878" customFormat="1" ht="52">
      <c r="A102" s="882">
        <v>42</v>
      </c>
      <c r="B102" s="882" t="s">
        <v>699</v>
      </c>
      <c r="C102" s="818" t="s">
        <v>700</v>
      </c>
      <c r="D102" s="818" t="s">
        <v>701</v>
      </c>
      <c r="E102" s="895">
        <v>0.2</v>
      </c>
      <c r="F102" s="882">
        <v>30</v>
      </c>
    </row>
    <row r="103" spans="1:6" s="878" customFormat="1" ht="26">
      <c r="A103" s="882">
        <v>43</v>
      </c>
      <c r="B103" s="882" t="s">
        <v>702</v>
      </c>
      <c r="C103" s="882" t="s">
        <v>703</v>
      </c>
      <c r="D103" s="818" t="s">
        <v>704</v>
      </c>
      <c r="E103" s="895">
        <v>0.2</v>
      </c>
      <c r="F103" s="882">
        <v>30</v>
      </c>
    </row>
    <row r="104" spans="1:6" s="878" customFormat="1" ht="39">
      <c r="A104" s="882">
        <v>44</v>
      </c>
      <c r="B104" s="882" t="s">
        <v>705</v>
      </c>
      <c r="C104" s="882" t="s">
        <v>706</v>
      </c>
      <c r="D104" s="818" t="s">
        <v>707</v>
      </c>
      <c r="E104" s="895">
        <v>0.2</v>
      </c>
      <c r="F104" s="882">
        <v>30</v>
      </c>
    </row>
    <row r="105" spans="1:6" s="878" customFormat="1" ht="39">
      <c r="A105" s="882">
        <v>45</v>
      </c>
      <c r="B105" s="3276" t="s">
        <v>708</v>
      </c>
      <c r="C105" s="882" t="s">
        <v>709</v>
      </c>
      <c r="D105" s="818" t="s">
        <v>710</v>
      </c>
      <c r="E105" s="895">
        <v>0.2</v>
      </c>
      <c r="F105" s="882">
        <v>30</v>
      </c>
    </row>
    <row r="106" spans="1:6" s="878" customFormat="1" ht="39">
      <c r="A106" s="882">
        <v>46</v>
      </c>
      <c r="B106" s="3276"/>
      <c r="C106" s="882" t="s">
        <v>711</v>
      </c>
      <c r="D106" s="818" t="s">
        <v>712</v>
      </c>
      <c r="E106" s="895">
        <v>0.2</v>
      </c>
      <c r="F106" s="882">
        <v>30</v>
      </c>
    </row>
    <row r="107" spans="1:6" s="878" customFormat="1" ht="39">
      <c r="A107" s="882">
        <v>47</v>
      </c>
      <c r="B107" s="3276" t="s">
        <v>713</v>
      </c>
      <c r="C107" s="882" t="s">
        <v>714</v>
      </c>
      <c r="D107" s="818" t="s">
        <v>715</v>
      </c>
      <c r="E107" s="895">
        <v>0.3</v>
      </c>
      <c r="F107" s="882">
        <v>50</v>
      </c>
    </row>
    <row r="108" spans="1:6" s="878" customFormat="1" ht="39">
      <c r="A108" s="882">
        <v>48</v>
      </c>
      <c r="B108" s="3276"/>
      <c r="C108" s="882" t="s">
        <v>716</v>
      </c>
      <c r="D108" s="818" t="s">
        <v>717</v>
      </c>
      <c r="E108" s="895">
        <v>0.2</v>
      </c>
      <c r="F108" s="882">
        <v>30</v>
      </c>
    </row>
    <row r="109" spans="1:6" s="878" customFormat="1" ht="39">
      <c r="A109" s="882">
        <v>49</v>
      </c>
      <c r="B109" s="882" t="s">
        <v>718</v>
      </c>
      <c r="C109" s="882" t="s">
        <v>719</v>
      </c>
      <c r="D109" s="818" t="s">
        <v>720</v>
      </c>
      <c r="E109" s="895">
        <v>0.2</v>
      </c>
      <c r="F109" s="882">
        <v>30</v>
      </c>
    </row>
    <row r="110" spans="1:6" s="878" customFormat="1" ht="39">
      <c r="A110" s="882">
        <v>50</v>
      </c>
      <c r="B110" s="882" t="s">
        <v>721</v>
      </c>
      <c r="C110" s="882" t="s">
        <v>722</v>
      </c>
      <c r="D110" s="818" t="s">
        <v>723</v>
      </c>
      <c r="E110" s="895">
        <v>0.2</v>
      </c>
      <c r="F110" s="882">
        <v>30</v>
      </c>
    </row>
    <row r="111" spans="1:6" s="878" customFormat="1" ht="39">
      <c r="A111" s="882">
        <v>51</v>
      </c>
      <c r="B111" s="3276" t="s">
        <v>724</v>
      </c>
      <c r="C111" s="882" t="s">
        <v>725</v>
      </c>
      <c r="D111" s="818" t="s">
        <v>726</v>
      </c>
      <c r="E111" s="895">
        <v>0.2</v>
      </c>
      <c r="F111" s="882">
        <v>30</v>
      </c>
    </row>
    <row r="112" spans="1:6" s="878" customFormat="1" ht="26">
      <c r="A112" s="882">
        <v>52</v>
      </c>
      <c r="B112" s="3276"/>
      <c r="C112" s="882" t="s">
        <v>727</v>
      </c>
      <c r="D112" s="818" t="s">
        <v>728</v>
      </c>
      <c r="E112" s="895">
        <v>0.2</v>
      </c>
      <c r="F112" s="882">
        <v>30</v>
      </c>
    </row>
    <row r="113" spans="1:6" s="878" customFormat="1" ht="26">
      <c r="A113" s="882">
        <v>53</v>
      </c>
      <c r="B113" s="3276"/>
      <c r="C113" s="882" t="s">
        <v>729</v>
      </c>
      <c r="D113" s="818" t="s">
        <v>730</v>
      </c>
      <c r="E113" s="895">
        <v>0.2</v>
      </c>
      <c r="F113" s="882">
        <v>30</v>
      </c>
    </row>
    <row r="114" spans="1:6" ht="39">
      <c r="A114" s="882">
        <v>54</v>
      </c>
      <c r="B114" s="882" t="s">
        <v>731</v>
      </c>
      <c r="C114" s="882" t="s">
        <v>732</v>
      </c>
      <c r="D114" s="818" t="s">
        <v>733</v>
      </c>
      <c r="E114" s="895">
        <v>0.2</v>
      </c>
      <c r="F114" s="882">
        <v>30</v>
      </c>
    </row>
    <row r="115" spans="1:6" ht="26">
      <c r="A115" s="882">
        <v>55</v>
      </c>
      <c r="B115" s="882" t="s">
        <v>734</v>
      </c>
      <c r="C115" s="882" t="s">
        <v>735</v>
      </c>
      <c r="D115" s="818" t="s">
        <v>736</v>
      </c>
      <c r="E115" s="895">
        <v>0.2</v>
      </c>
      <c r="F115" s="882">
        <v>30</v>
      </c>
    </row>
    <row r="116" spans="1:6" ht="26">
      <c r="A116" s="882">
        <v>56</v>
      </c>
      <c r="B116" s="3276" t="s">
        <v>737</v>
      </c>
      <c r="C116" s="882" t="s">
        <v>738</v>
      </c>
      <c r="D116" s="818" t="s">
        <v>739</v>
      </c>
      <c r="E116" s="895">
        <v>0.2</v>
      </c>
      <c r="F116" s="882">
        <v>30</v>
      </c>
    </row>
    <row r="117" spans="1:6" ht="39">
      <c r="A117" s="882">
        <v>57</v>
      </c>
      <c r="B117" s="3276"/>
      <c r="C117" s="882" t="s">
        <v>740</v>
      </c>
      <c r="D117" s="818" t="s">
        <v>741</v>
      </c>
      <c r="E117" s="895">
        <v>0.2</v>
      </c>
      <c r="F117" s="882">
        <v>30</v>
      </c>
    </row>
    <row r="118" spans="1:6" ht="39">
      <c r="A118" s="882">
        <v>58</v>
      </c>
      <c r="B118" s="882" t="s">
        <v>742</v>
      </c>
      <c r="C118" s="882" t="s">
        <v>743</v>
      </c>
      <c r="D118" s="818" t="s">
        <v>744</v>
      </c>
      <c r="E118" s="895">
        <v>0.2</v>
      </c>
      <c r="F118" s="882">
        <v>30</v>
      </c>
    </row>
    <row r="119" spans="1:6" ht="14">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
  <cols>
    <col min="1" max="1" width="9" style="915"/>
    <col min="2" max="16384" width="9" style="898"/>
  </cols>
  <sheetData>
    <row r="1" spans="1:14" ht="1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
      <c r="A103" s="896" t="s">
        <v>748</v>
      </c>
      <c r="B103" s="897"/>
      <c r="C103" s="897"/>
      <c r="D103" s="897"/>
      <c r="E103" s="897"/>
      <c r="F103" s="897"/>
      <c r="G103" s="897"/>
      <c r="H103" s="897"/>
      <c r="I103" s="897"/>
      <c r="J103" s="897"/>
      <c r="K103" s="897"/>
      <c r="L103" s="897"/>
      <c r="M103" s="897"/>
      <c r="N103" s="897"/>
    </row>
    <row r="104" spans="1:14" ht="1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E13"/>
  <sheetViews>
    <sheetView workbookViewId="0">
      <selection activeCell="B3" sqref="B3"/>
    </sheetView>
  </sheetViews>
  <sheetFormatPr defaultColWidth="9" defaultRowHeight="14"/>
  <cols>
    <col min="1" max="1" width="23.36328125" style="1944" customWidth="1"/>
    <col min="2" max="2" width="12.453125" style="1944" customWidth="1"/>
    <col min="3" max="3" width="12.08984375" style="1944" customWidth="1"/>
    <col min="4" max="4" width="14.08984375" style="1944" customWidth="1"/>
    <col min="5" max="5" width="12.453125" style="1944" customWidth="1"/>
    <col min="6" max="16384" width="9" style="1944"/>
  </cols>
  <sheetData>
    <row r="1" spans="1:5" ht="21">
      <c r="A1" s="2563" t="s">
        <v>3001</v>
      </c>
    </row>
    <row r="2" spans="1:5" ht="15.5">
      <c r="A2" s="2904" t="s">
        <v>2993</v>
      </c>
      <c r="B2" s="2905">
        <f ca="1">SUMIF(B6:B13,"&lt;&gt;#ref!",B6:B13)</f>
        <v>0</v>
      </c>
      <c r="C2" s="2904" t="s">
        <v>2994</v>
      </c>
      <c r="D2" s="2904" t="s">
        <v>2995</v>
      </c>
      <c r="E2" s="2905">
        <f ca="1">SUMIF(E6:E13,"&lt;&gt;#ref!",E6:E13)</f>
        <v>0</v>
      </c>
    </row>
    <row r="3" spans="1:5" ht="15.5">
      <c r="A3" s="2904" t="s">
        <v>2996</v>
      </c>
      <c r="B3" s="2905" t="e">
        <f ca="1">ROUND(B2*10000/E2,0)</f>
        <v>#DIV/0!</v>
      </c>
      <c r="C3" s="2904" t="s">
        <v>3002</v>
      </c>
      <c r="D3" s="2906"/>
      <c r="E3" s="2906"/>
    </row>
    <row r="4" spans="1:5" ht="15.5">
      <c r="A4" s="2907"/>
      <c r="B4" s="2906"/>
      <c r="C4" s="2906"/>
      <c r="D4" s="2906"/>
      <c r="E4" s="2906"/>
    </row>
    <row r="5" spans="1:5" ht="30">
      <c r="A5" s="2908" t="s">
        <v>2997</v>
      </c>
      <c r="B5" s="2904" t="s">
        <v>2998</v>
      </c>
      <c r="C5" s="2905"/>
      <c r="D5" s="2906"/>
      <c r="E5" s="2904" t="s">
        <v>2999</v>
      </c>
    </row>
    <row r="6" spans="1:5" ht="15.5">
      <c r="A6" s="2909" t="s">
        <v>3000</v>
      </c>
      <c r="B6" s="2905">
        <f ca="1">SUMIF(INDIRECT("'"&amp;A6&amp;"'"&amp;"!A:A"),"总价",INDIRECT("'"&amp;A6&amp;"'"&amp;"!B:B"))</f>
        <v>0</v>
      </c>
      <c r="C6" s="2904" t="s">
        <v>2994</v>
      </c>
      <c r="D6" s="2906"/>
      <c r="E6" s="2577">
        <f ca="1">SUMIF(INDIRECT("'"&amp;A6&amp;"'"&amp;"!C:C"),"建筑面积",INDIRECT("'"&amp;A6&amp;"'"&amp;"!D:D"))</f>
        <v>0</v>
      </c>
    </row>
    <row r="7" spans="1:5" ht="15.5">
      <c r="A7" s="2909"/>
      <c r="B7" s="2905" t="e">
        <f ca="1">SUMIF(INDIRECT("'"&amp;A7&amp;"'"&amp;"!A:A"),"总价",INDIRECT("'"&amp;A7&amp;"'"&amp;"!B:B"))</f>
        <v>#REF!</v>
      </c>
      <c r="C7" s="2904" t="s">
        <v>2994</v>
      </c>
      <c r="D7" s="2906"/>
      <c r="E7" s="2577" t="e">
        <f t="shared" ref="E7:E13" ca="1" si="0">SUMIF(INDIRECT("'"&amp;A7&amp;"'"&amp;"!C:C"),"建筑面积",INDIRECT("'"&amp;A7&amp;"'"&amp;"!D:D"))</f>
        <v>#REF!</v>
      </c>
    </row>
    <row r="8" spans="1:5" ht="15.5">
      <c r="A8" s="2909"/>
      <c r="B8" s="2905" t="e">
        <f t="shared" ref="B8:B13" ca="1" si="1">SUMIF(INDIRECT("'"&amp;A8&amp;"'"&amp;"!A:A"),"总价",INDIRECT("'"&amp;A8&amp;"'"&amp;"!B:B"))</f>
        <v>#REF!</v>
      </c>
      <c r="C8" s="2904" t="s">
        <v>2994</v>
      </c>
      <c r="D8" s="2906"/>
      <c r="E8" s="2577" t="e">
        <f t="shared" ca="1" si="0"/>
        <v>#REF!</v>
      </c>
    </row>
    <row r="9" spans="1:5" ht="15.5">
      <c r="A9" s="2909"/>
      <c r="B9" s="2905" t="e">
        <f t="shared" ca="1" si="1"/>
        <v>#REF!</v>
      </c>
      <c r="C9" s="2904" t="s">
        <v>2994</v>
      </c>
      <c r="D9" s="2906"/>
      <c r="E9" s="2577" t="e">
        <f t="shared" ca="1" si="0"/>
        <v>#REF!</v>
      </c>
    </row>
    <row r="10" spans="1:5" ht="15.5">
      <c r="A10" s="2909"/>
      <c r="B10" s="2905" t="e">
        <f t="shared" ca="1" si="1"/>
        <v>#REF!</v>
      </c>
      <c r="C10" s="2904" t="s">
        <v>2994</v>
      </c>
      <c r="D10" s="2906"/>
      <c r="E10" s="2577" t="e">
        <f t="shared" ca="1" si="0"/>
        <v>#REF!</v>
      </c>
    </row>
    <row r="11" spans="1:5" ht="15.5">
      <c r="A11" s="2909"/>
      <c r="B11" s="2905" t="e">
        <f t="shared" ca="1" si="1"/>
        <v>#REF!</v>
      </c>
      <c r="C11" s="2904" t="s">
        <v>2994</v>
      </c>
      <c r="D11" s="2906"/>
      <c r="E11" s="2577" t="e">
        <f t="shared" ca="1" si="0"/>
        <v>#REF!</v>
      </c>
    </row>
    <row r="12" spans="1:5" ht="15.5">
      <c r="A12" s="2909"/>
      <c r="B12" s="2905" t="e">
        <f t="shared" ca="1" si="1"/>
        <v>#REF!</v>
      </c>
      <c r="C12" s="2904" t="s">
        <v>2994</v>
      </c>
      <c r="D12" s="2906"/>
      <c r="E12" s="2577" t="e">
        <f t="shared" ca="1" si="0"/>
        <v>#REF!</v>
      </c>
    </row>
    <row r="13" spans="1:5" ht="15.5">
      <c r="A13" s="2909"/>
      <c r="B13" s="2905" t="e">
        <f t="shared" ca="1" si="1"/>
        <v>#REF!</v>
      </c>
      <c r="C13" s="2904" t="s">
        <v>2994</v>
      </c>
      <c r="D13" s="2906"/>
      <c r="E13" s="2577" t="e">
        <f t="shared" ca="1" si="0"/>
        <v>#REF!</v>
      </c>
    </row>
  </sheetData>
  <sheetProtection password="C66D" sheet="1" objects="1" scenarios="1" formatCells="0"/>
  <phoneticPr fontId="14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2"/>
  <sheetViews>
    <sheetView zoomScale="80" zoomScaleNormal="80" workbookViewId="0">
      <selection activeCell="L7" sqref="L7"/>
    </sheetView>
  </sheetViews>
  <sheetFormatPr defaultColWidth="9" defaultRowHeight="12.5"/>
  <cols>
    <col min="1" max="1" width="9" style="1471"/>
    <col min="2" max="6" width="9" style="1471" customWidth="1"/>
    <col min="7" max="7" width="9" style="1486"/>
    <col min="8" max="8" width="9" style="1471"/>
    <col min="9" max="12" width="9" style="1471" customWidth="1"/>
    <col min="13" max="13" width="2.1796875" style="1471" customWidth="1"/>
    <col min="14" max="14" width="9" style="1486" customWidth="1"/>
    <col min="15" max="17" width="9" style="1471" customWidth="1"/>
    <col min="18" max="18" width="2.36328125" style="1471" customWidth="1"/>
    <col min="19" max="19" width="7.08984375" style="1486" customWidth="1"/>
    <col min="20" max="22" width="7.08984375" style="1471" customWidth="1"/>
    <col min="23" max="23" width="24.1796875" style="1471" customWidth="1"/>
    <col min="24" max="25" width="9" style="1471"/>
    <col min="26" max="27" width="11.6328125" style="1471" customWidth="1"/>
    <col min="28" max="28" width="9" style="1471"/>
    <col min="29" max="29" width="2" style="1471" customWidth="1"/>
    <col min="30" max="16384" width="9" style="1471"/>
  </cols>
  <sheetData>
    <row r="1" spans="1:34" s="1445" customFormat="1" ht="13">
      <c r="B1" s="3282" t="s">
        <v>1145</v>
      </c>
      <c r="C1" s="3282"/>
      <c r="D1" s="3282"/>
      <c r="E1" s="3282"/>
      <c r="F1" s="3282"/>
      <c r="G1" s="3278" t="s">
        <v>1146</v>
      </c>
      <c r="H1" s="3278"/>
      <c r="I1" s="3278"/>
      <c r="J1" s="3278"/>
      <c r="K1" s="3278"/>
      <c r="L1" s="3278"/>
      <c r="N1" s="3278" t="s">
        <v>1147</v>
      </c>
      <c r="O1" s="3278"/>
      <c r="P1" s="3278"/>
      <c r="Q1" s="3278"/>
      <c r="R1" s="1446"/>
      <c r="S1" s="3278" t="s">
        <v>1148</v>
      </c>
      <c r="T1" s="3278"/>
      <c r="U1" s="3278"/>
      <c r="V1" s="3278"/>
      <c r="X1" s="3277" t="s">
        <v>1149</v>
      </c>
      <c r="Y1" s="3278"/>
      <c r="Z1" s="3278"/>
      <c r="AA1" s="3278"/>
      <c r="AB1" s="3278"/>
      <c r="AD1" s="3277" t="s">
        <v>1150</v>
      </c>
      <c r="AE1" s="3278"/>
      <c r="AF1" s="3278"/>
      <c r="AG1" s="3278"/>
      <c r="AH1" s="3278"/>
    </row>
    <row r="2" spans="1:34" s="1447" customFormat="1" ht="14.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
      <c r="A3" s="2929" t="s">
        <v>3034</v>
      </c>
      <c r="B3" s="2921"/>
      <c r="C3" s="2921"/>
      <c r="D3" s="2922"/>
      <c r="E3" s="2922"/>
      <c r="F3" s="2921"/>
      <c r="G3" s="2923"/>
      <c r="H3" s="2924"/>
      <c r="I3" s="2925">
        <f>ROUND(AVERAGE($I4:$I29),2)</f>
        <v>1.92</v>
      </c>
      <c r="J3" s="2925">
        <f>ROUND(AVERAGE($J4:$J29),2)</f>
        <v>1.34</v>
      </c>
      <c r="K3" s="2925">
        <f>ROUND(AVERAGE($K4:$K29),2)</f>
        <v>2.1</v>
      </c>
      <c r="L3" s="2925">
        <f>ROUND(AVERAGE($L4:$L29),2)</f>
        <v>1.35</v>
      </c>
      <c r="N3" s="2923"/>
      <c r="O3" s="2926"/>
      <c r="P3" s="2926"/>
      <c r="Q3" s="2926"/>
      <c r="R3" s="2926"/>
      <c r="S3" s="2923"/>
      <c r="T3" s="2926"/>
      <c r="U3" s="2926"/>
      <c r="V3" s="2926"/>
      <c r="W3" s="2918"/>
      <c r="X3" s="2927">
        <f>ROUND(SUMPRODUCT(PRODUCT(1+N3:N$28)),4)</f>
        <v>1.5586</v>
      </c>
      <c r="Y3" s="2927">
        <f>ROUND(SUMPRODUCT(PRODUCT(1+O3:O$28)),4)</f>
        <v>1.3633</v>
      </c>
      <c r="Z3" s="2927">
        <f t="shared" ref="Z3:Z26" si="0">Y3</f>
        <v>1.3633</v>
      </c>
      <c r="AA3" s="2927">
        <f>ROUND(SUMPRODUCT(PRODUCT(1+P3:P$28)),4)</f>
        <v>1.6221000000000001</v>
      </c>
      <c r="AB3" s="2927">
        <f>ROUND(SUMPRODUCT(PRODUCT(1+Q3:Q$28)),4)</f>
        <v>1.3777999999999999</v>
      </c>
      <c r="AD3" s="2928">
        <f>ROUND(AVERAGE(I3:I$29)/100,4)</f>
        <v>1.9199999999999998E-2</v>
      </c>
      <c r="AE3" s="2928">
        <f>ROUND(AVERAGE(J3:J$29)/100,4)</f>
        <v>1.34E-2</v>
      </c>
      <c r="AF3" s="2928">
        <f t="shared" ref="AF3:AF27" si="1">AE3</f>
        <v>1.34E-2</v>
      </c>
      <c r="AG3" s="2928">
        <f>ROUND(AVERAGE(K3:K$29)/100,4)</f>
        <v>2.1000000000000001E-2</v>
      </c>
      <c r="AH3" s="2928">
        <f>ROUND(AVERAGE(L3:L$29)/100,4)</f>
        <v>1.35E-2</v>
      </c>
    </row>
    <row r="4" spans="1:34" s="1453" customFormat="1" ht="14">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
      <c r="A5" s="1729" t="s">
        <v>3053</v>
      </c>
      <c r="B5" s="1791">
        <f t="shared" ref="B5" si="2">B6*(1+N5)</f>
        <v>479.34737379023579</v>
      </c>
      <c r="C5" s="1791">
        <f t="shared" ref="C5" si="3">C6*(1+O5)</f>
        <v>351.4265287986122</v>
      </c>
      <c r="D5" s="1791">
        <f t="shared" ref="D5" si="4">C5</f>
        <v>351.4265287986122</v>
      </c>
      <c r="E5" s="1791">
        <f t="shared" ref="E5" si="5">E6*(1+P5)</f>
        <v>685.98209703803116</v>
      </c>
      <c r="F5" s="1791">
        <f t="shared" ref="F5" si="6">F6*(1+Q5)</f>
        <v>316.78315206651001</v>
      </c>
      <c r="G5" s="2954">
        <v>2020</v>
      </c>
      <c r="H5" s="1730">
        <v>1</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3035</v>
      </c>
      <c r="X5" s="1726">
        <f>ROUND(IF(项目基本情况!B8="出让",SUMPRODUCT(PRODUCT(1+N5:N$29)),SUMPRODUCT(PRODUCT(1+N5:N$28))),4)</f>
        <v>1.5586</v>
      </c>
      <c r="Y5" s="1726">
        <f>ROUND(IF(项目基本情况!B8="出让",SUMPRODUCT(PRODUCT(1+O5:O$29)),SUMPRODUCT(PRODUCT(1+O5:O$28))),4)</f>
        <v>1.3633</v>
      </c>
      <c r="Z5" s="1726">
        <f t="shared" ref="Z5" si="11">Y5</f>
        <v>1.3633</v>
      </c>
      <c r="AA5" s="1726">
        <f>ROUND(IF(项目基本情况!B8="出让",SUMPRODUCT(PRODUCT(1+P5:P$29)),SUMPRODUCT(PRODUCT(1+P5:P$28))),4)</f>
        <v>1.6221000000000001</v>
      </c>
      <c r="AB5" s="1726">
        <f>ROUND(IF(项目基本情况!B8="出让",SUMPRODUCT(PRODUCT(1+Q5:Q$29)),SUMPRODUCT(PRODUCT(1+Q5:Q$28))),4)</f>
        <v>1.3777999999999999</v>
      </c>
      <c r="AD5" s="1468">
        <f>ROUND(AVERAGE(I5:I$29)/100,4)</f>
        <v>1.9199999999999998E-2</v>
      </c>
      <c r="AE5" s="1468">
        <f>ROUND(AVERAGE(J5:J$29)/100,4)</f>
        <v>1.34E-2</v>
      </c>
      <c r="AF5" s="1468">
        <f t="shared" ref="AF5" si="12">AE5</f>
        <v>1.34E-2</v>
      </c>
      <c r="AG5" s="1468">
        <f>ROUND(AVERAGE(K5:K$29)/100,4)</f>
        <v>2.1000000000000001E-2</v>
      </c>
      <c r="AH5" s="1468">
        <f>ROUND(AVERAGE(L5:L$29)/100,4)</f>
        <v>1.35E-2</v>
      </c>
    </row>
    <row r="6" spans="1:34" s="1466" customFormat="1" ht="13">
      <c r="A6" s="1461" t="s">
        <v>3052</v>
      </c>
      <c r="B6" s="1477">
        <f t="shared" ref="B6" si="13">B7*(1+N6)</f>
        <v>479.34737379023579</v>
      </c>
      <c r="C6" s="1477">
        <f t="shared" ref="C6" si="14">C7*(1+O6)</f>
        <v>351.4265287986122</v>
      </c>
      <c r="D6" s="1477">
        <f t="shared" ref="D6" si="15">C6</f>
        <v>351.4265287986122</v>
      </c>
      <c r="E6" s="1477">
        <f t="shared" ref="E6" si="16">E7*(1+P6)</f>
        <v>685.98209703803116</v>
      </c>
      <c r="F6" s="1477">
        <f t="shared" ref="F6" si="17">F7*(1+Q6)</f>
        <v>316.78315206651001</v>
      </c>
      <c r="G6" s="2954">
        <v>2019</v>
      </c>
      <c r="H6" s="1464">
        <v>4</v>
      </c>
      <c r="I6" s="1464">
        <v>0.45</v>
      </c>
      <c r="J6" s="1464">
        <v>-0.12</v>
      </c>
      <c r="K6" s="1464">
        <v>0.54</v>
      </c>
      <c r="L6" s="1478">
        <v>0.48</v>
      </c>
      <c r="M6" s="1471"/>
      <c r="N6" s="1472">
        <f t="shared" ref="N6:N11" si="18">I6/100</f>
        <v>4.5000000000000005E-3</v>
      </c>
      <c r="O6" s="1473">
        <f t="shared" ref="O6" si="19">J6/100</f>
        <v>-1.1999999999999999E-3</v>
      </c>
      <c r="P6" s="1473">
        <f t="shared" ref="P6" si="20">K6/100</f>
        <v>5.4000000000000003E-3</v>
      </c>
      <c r="Q6" s="1473">
        <f t="shared" ref="Q6" si="21">L6/100</f>
        <v>4.7999999999999996E-3</v>
      </c>
      <c r="R6" s="1474"/>
      <c r="S6" s="1472"/>
      <c r="T6" s="1473"/>
      <c r="U6" s="1473"/>
      <c r="V6" s="1473"/>
      <c r="W6" s="1790"/>
      <c r="X6" s="1788">
        <f>ROUND(IF(项目基本情况!B8="出让",SUMPRODUCT(PRODUCT(1+N6:N$29)),SUMPRODUCT(PRODUCT(1+N6:N$28))),4)</f>
        <v>1.5586</v>
      </c>
      <c r="Y6" s="1788">
        <f>ROUND(IF(项目基本情况!B8="出让",SUMPRODUCT(PRODUCT(1+O6:O$29)),SUMPRODUCT(PRODUCT(1+O6:O$28))),4)</f>
        <v>1.3633</v>
      </c>
      <c r="Z6" s="1788">
        <f t="shared" ref="Z6" si="22">Y6</f>
        <v>1.3633</v>
      </c>
      <c r="AA6" s="1788">
        <f>ROUND(IF(项目基本情况!B8="出让",SUMPRODUCT(PRODUCT(1+P6:P$29)),SUMPRODUCT(PRODUCT(1+P6:P$28))),4)</f>
        <v>1.6221000000000001</v>
      </c>
      <c r="AB6" s="1788">
        <f>ROUND(IF(项目基本情况!B8="出让",SUMPRODUCT(PRODUCT(1+Q6:Q$29)),SUMPRODUCT(PRODUCT(1+Q6:Q$28))),4)</f>
        <v>1.3777999999999999</v>
      </c>
      <c r="AC6" s="1790"/>
      <c r="AD6" s="1789">
        <f>ROUND(AVERAGE(I6:I$29)/100,4)</f>
        <v>0.02</v>
      </c>
      <c r="AE6" s="1789">
        <f>ROUND(AVERAGE(J6:J$29)/100,4)</f>
        <v>1.4E-2</v>
      </c>
      <c r="AF6" s="1789">
        <f t="shared" ref="AF6" si="23">AE6</f>
        <v>1.4E-2</v>
      </c>
      <c r="AG6" s="1789">
        <f>ROUND(AVERAGE(K6:K$29)/100,4)</f>
        <v>2.1899999999999999E-2</v>
      </c>
      <c r="AH6" s="1789">
        <f>ROUND(AVERAGE(L6:L$29)/100,4)</f>
        <v>1.4E-2</v>
      </c>
    </row>
    <row r="7" spans="1:34" s="1466" customFormat="1" ht="13.5" thickBot="1">
      <c r="A7" s="1461" t="s">
        <v>3048</v>
      </c>
      <c r="B7" s="1477">
        <f t="shared" ref="B7" si="24">B8*(1+N7)</f>
        <v>477.19997390765138</v>
      </c>
      <c r="C7" s="1477">
        <f t="shared" ref="C7" si="25">C8*(1+O7)</f>
        <v>351.84874729536665</v>
      </c>
      <c r="D7" s="1477">
        <f t="shared" ref="D7" si="26">C7</f>
        <v>351.84874729536665</v>
      </c>
      <c r="E7" s="1477">
        <f t="shared" ref="E7" si="27">E8*(1+P7)</f>
        <v>682.29768951465201</v>
      </c>
      <c r="F7" s="1477">
        <f t="shared" ref="F7" si="28">F8*(1+Q7)</f>
        <v>315.26985675409043</v>
      </c>
      <c r="G7" s="2953">
        <v>2019</v>
      </c>
      <c r="H7" s="1464">
        <v>3</v>
      </c>
      <c r="I7" s="1464">
        <v>0.61</v>
      </c>
      <c r="J7" s="1464">
        <v>0.67</v>
      </c>
      <c r="K7" s="1464">
        <v>0.6</v>
      </c>
      <c r="L7" s="1478">
        <v>1.03</v>
      </c>
      <c r="M7" s="1471"/>
      <c r="N7" s="1472">
        <f t="shared" si="18"/>
        <v>6.0999999999999995E-3</v>
      </c>
      <c r="O7" s="1473">
        <f t="shared" ref="O7" si="29">J7/100</f>
        <v>6.7000000000000002E-3</v>
      </c>
      <c r="P7" s="1473">
        <f t="shared" ref="P7" si="30">K7/100</f>
        <v>6.0000000000000001E-3</v>
      </c>
      <c r="Q7" s="1473">
        <f t="shared" ref="Q7" si="31">L7/100</f>
        <v>1.03E-2</v>
      </c>
      <c r="R7" s="1474"/>
      <c r="S7" s="1472"/>
      <c r="T7" s="1473"/>
      <c r="U7" s="1473"/>
      <c r="V7" s="1473"/>
      <c r="W7" s="1790"/>
      <c r="X7" s="1788">
        <f>ROUND(IF(项目基本情况!B8="出让",SUMPRODUCT(PRODUCT(1+N7:N$29)),SUMPRODUCT(PRODUCT(1+N7:N$28))),4)</f>
        <v>1.5516000000000001</v>
      </c>
      <c r="Y7" s="1788">
        <f>ROUND(IF(项目基本情况!B8="出让",SUMPRODUCT(PRODUCT(1+O7:O$29)),SUMPRODUCT(PRODUCT(1+O7:O$28))),4)</f>
        <v>1.3649</v>
      </c>
      <c r="Z7" s="1788">
        <f t="shared" ref="Z7" si="32">Y7</f>
        <v>1.3649</v>
      </c>
      <c r="AA7" s="1788">
        <f>ROUND(IF(项目基本情况!B8="出让",SUMPRODUCT(PRODUCT(1+P7:P$29)),SUMPRODUCT(PRODUCT(1+P7:P$28))),4)</f>
        <v>1.6133999999999999</v>
      </c>
      <c r="AB7" s="1788">
        <f>ROUND(IF(项目基本情况!B8="出让",SUMPRODUCT(PRODUCT(1+Q7:Q$29)),SUMPRODUCT(PRODUCT(1+Q7:Q$28))),4)</f>
        <v>1.3713</v>
      </c>
      <c r="AC7" s="1790"/>
      <c r="AD7" s="1789">
        <f>ROUND(AVERAGE(I7:I$29)/100,4)</f>
        <v>2.07E-2</v>
      </c>
      <c r="AE7" s="1789">
        <f>ROUND(AVERAGE(J7:J$29)/100,4)</f>
        <v>1.47E-2</v>
      </c>
      <c r="AF7" s="1789">
        <f t="shared" ref="AF7" si="33">AE7</f>
        <v>1.47E-2</v>
      </c>
      <c r="AG7" s="1789">
        <f>ROUND(AVERAGE(K7:K$29)/100,4)</f>
        <v>2.2599999999999999E-2</v>
      </c>
      <c r="AH7" s="1789">
        <f>ROUND(AVERAGE(L7:L$29)/100,4)</f>
        <v>1.44E-2</v>
      </c>
    </row>
    <row r="8" spans="1:34" s="1466" customFormat="1" ht="13">
      <c r="A8" s="1461" t="s">
        <v>3046</v>
      </c>
      <c r="B8" s="1477">
        <f t="shared" ref="B8" si="34">B9*(1+N8)</f>
        <v>474.30670301923408</v>
      </c>
      <c r="C8" s="1477">
        <f t="shared" ref="C8" si="35">C9*(1+O8)</f>
        <v>349.50705005996491</v>
      </c>
      <c r="D8" s="1477">
        <f t="shared" ref="D8" si="36">C8</f>
        <v>349.50705005996491</v>
      </c>
      <c r="E8" s="1477">
        <f t="shared" ref="E8" si="37">E9*(1+P8)</f>
        <v>678.22831959706957</v>
      </c>
      <c r="F8" s="1477">
        <f t="shared" ref="F8" si="38">F9*(1+Q8)</f>
        <v>312.0556832169558</v>
      </c>
      <c r="G8" s="2949">
        <v>2019</v>
      </c>
      <c r="H8" s="1462">
        <v>2</v>
      </c>
      <c r="I8" s="1462">
        <v>1.53</v>
      </c>
      <c r="J8" s="1462">
        <v>1.01</v>
      </c>
      <c r="K8" s="1462">
        <v>1.62</v>
      </c>
      <c r="L8" s="1463">
        <v>1.25</v>
      </c>
      <c r="M8" s="1471"/>
      <c r="N8" s="1472">
        <f t="shared" si="18"/>
        <v>1.5300000000000001E-2</v>
      </c>
      <c r="O8" s="1473">
        <f t="shared" ref="O8" si="39">J8/100</f>
        <v>1.01E-2</v>
      </c>
      <c r="P8" s="1473">
        <f t="shared" ref="P8" si="40">K8/100</f>
        <v>1.6200000000000003E-2</v>
      </c>
      <c r="Q8" s="1473">
        <f t="shared" ref="Q8" si="41">L8/100</f>
        <v>1.2500000000000001E-2</v>
      </c>
      <c r="R8" s="1474"/>
      <c r="S8" s="1472"/>
      <c r="T8" s="1473"/>
      <c r="U8" s="1473"/>
      <c r="V8" s="1473"/>
      <c r="W8" s="1790"/>
      <c r="X8" s="1788">
        <f>ROUND(IF(项目基本情况!B8="出让",SUMPRODUCT(PRODUCT(1+N8:N$29)),SUMPRODUCT(PRODUCT(1+N8:N$28))),4)</f>
        <v>1.5422</v>
      </c>
      <c r="Y8" s="1788">
        <f>ROUND(IF(项目基本情况!B8="出让",SUMPRODUCT(PRODUCT(1+O8:O$29)),SUMPRODUCT(PRODUCT(1+O8:O$28))),4)</f>
        <v>1.3557999999999999</v>
      </c>
      <c r="Z8" s="1788">
        <f t="shared" ref="Z8" si="42">Y8</f>
        <v>1.3557999999999999</v>
      </c>
      <c r="AA8" s="1788">
        <f>ROUND(IF(项目基本情况!B8="出让",SUMPRODUCT(PRODUCT(1+P8:P$29)),SUMPRODUCT(PRODUCT(1+P8:P$28))),4)</f>
        <v>1.6036999999999999</v>
      </c>
      <c r="AB8" s="1788">
        <f>ROUND(IF(项目基本情况!B8="出让",SUMPRODUCT(PRODUCT(1+Q8:Q$29)),SUMPRODUCT(PRODUCT(1+Q8:Q$28))),4)</f>
        <v>1.3573</v>
      </c>
      <c r="AC8" s="1790"/>
      <c r="AD8" s="1789">
        <f>ROUND(AVERAGE(I8:I$29)/100,4)</f>
        <v>2.1299999999999999E-2</v>
      </c>
      <c r="AE8" s="1789">
        <f>ROUND(AVERAGE(J8:J$29)/100,4)</f>
        <v>1.4999999999999999E-2</v>
      </c>
      <c r="AF8" s="1789">
        <f t="shared" ref="AF8" si="43">AE8</f>
        <v>1.4999999999999999E-2</v>
      </c>
      <c r="AG8" s="1789">
        <f>ROUND(AVERAGE(K8:K$29)/100,4)</f>
        <v>2.3300000000000001E-2</v>
      </c>
      <c r="AH8" s="1789">
        <f>ROUND(AVERAGE(L8:L$29)/100,4)</f>
        <v>1.46E-2</v>
      </c>
    </row>
    <row r="9" spans="1:34" s="1466" customFormat="1" ht="13.5" thickBot="1">
      <c r="A9" s="1461" t="s">
        <v>3044</v>
      </c>
      <c r="B9" s="1477">
        <f t="shared" ref="B9" si="44">B10*(1+N9)</f>
        <v>467.15916775261894</v>
      </c>
      <c r="C9" s="1477">
        <f t="shared" ref="C9" si="45">C10*(1+O9)</f>
        <v>346.01232557169084</v>
      </c>
      <c r="D9" s="1477">
        <f t="shared" ref="D9" si="46">C9</f>
        <v>346.01232557169084</v>
      </c>
      <c r="E9" s="1477">
        <f t="shared" ref="E9" si="47">E10*(1+P9)</f>
        <v>667.41617752122568</v>
      </c>
      <c r="F9" s="1477">
        <f t="shared" ref="F9" si="48">F10*(1+Q9)</f>
        <v>308.20314391798104</v>
      </c>
      <c r="G9" s="2933">
        <v>2019</v>
      </c>
      <c r="H9" s="1464">
        <v>1</v>
      </c>
      <c r="I9" s="1464">
        <v>0.6</v>
      </c>
      <c r="J9" s="1464">
        <v>0.37</v>
      </c>
      <c r="K9" s="1464">
        <v>0.63</v>
      </c>
      <c r="L9" s="1478">
        <v>1.1299999999999999</v>
      </c>
      <c r="M9" s="1471"/>
      <c r="N9" s="1472">
        <f t="shared" si="18"/>
        <v>6.0000000000000001E-3</v>
      </c>
      <c r="O9" s="1473">
        <f t="shared" ref="O9" si="49">J9/100</f>
        <v>3.7000000000000002E-3</v>
      </c>
      <c r="P9" s="1473">
        <f t="shared" ref="P9" si="50">K9/100</f>
        <v>6.3E-3</v>
      </c>
      <c r="Q9" s="1473">
        <f t="shared" ref="Q9" si="51">L9/100</f>
        <v>1.1299999999999999E-2</v>
      </c>
      <c r="R9" s="1474"/>
      <c r="S9" s="1472">
        <f>B9/B10-1</f>
        <v>6.0000000000000053E-3</v>
      </c>
      <c r="T9" s="1473">
        <f t="shared" ref="T9" si="52">C9/C10-1</f>
        <v>3.7000000000000366E-3</v>
      </c>
      <c r="U9" s="1473">
        <f t="shared" ref="U9" si="53">D9/D10-1</f>
        <v>3.7000000000000366E-3</v>
      </c>
      <c r="V9" s="1473">
        <f t="shared" ref="V9" si="54">E9/E10-1</f>
        <v>6.2999999999999723E-3</v>
      </c>
      <c r="W9" s="1790"/>
      <c r="X9" s="1788">
        <f>ROUND(IF(项目基本情况!B8="出让",SUMPRODUCT(PRODUCT(1+N9:N$29)),SUMPRODUCT(PRODUCT(1+N9:N$28))),4)</f>
        <v>1.5189999999999999</v>
      </c>
      <c r="Y9" s="1788">
        <f>ROUND(IF(项目基本情况!B8="出让",SUMPRODUCT(PRODUCT(1+O9:O$29)),SUMPRODUCT(PRODUCT(1+O9:O$28))),4)</f>
        <v>1.3423</v>
      </c>
      <c r="Z9" s="1788">
        <f t="shared" ref="Z9" si="55">Y9</f>
        <v>1.3423</v>
      </c>
      <c r="AA9" s="1788">
        <f>ROUND(IF(项目基本情况!B8="出让",SUMPRODUCT(PRODUCT(1+P9:P$29)),SUMPRODUCT(PRODUCT(1+P9:P$28))),4)</f>
        <v>1.5782</v>
      </c>
      <c r="AB9" s="1788">
        <f>ROUND(IF(项目基本情况!B8="出让",SUMPRODUCT(PRODUCT(1+Q9:Q$29)),SUMPRODUCT(PRODUCT(1+Q9:Q$28))),4)</f>
        <v>1.3405</v>
      </c>
      <c r="AC9" s="1790"/>
      <c r="AD9" s="1789">
        <f>ROUND(AVERAGE(I9:I$29)/100,4)</f>
        <v>2.1600000000000001E-2</v>
      </c>
      <c r="AE9" s="1789">
        <f>ROUND(AVERAGE(J9:J$29)/100,4)</f>
        <v>1.5299999999999999E-2</v>
      </c>
      <c r="AF9" s="1789">
        <f t="shared" ref="AF9" si="56">AE9</f>
        <v>1.5299999999999999E-2</v>
      </c>
      <c r="AG9" s="1789">
        <f>ROUND(AVERAGE(K9:K$29)/100,4)</f>
        <v>2.3699999999999999E-2</v>
      </c>
      <c r="AH9" s="1789">
        <f>ROUND(AVERAGE(L9:L$29)/100,4)</f>
        <v>1.47E-2</v>
      </c>
    </row>
    <row r="10" spans="1:34" s="1466" customFormat="1" ht="13">
      <c r="A10" s="1461" t="s">
        <v>3047</v>
      </c>
      <c r="B10" s="2950">
        <f t="shared" ref="B10" si="57">B11*(1+N10)</f>
        <v>464.37293017158942</v>
      </c>
      <c r="C10" s="2950">
        <f t="shared" ref="C10" si="58">C11*(1+O10)</f>
        <v>344.73679941385956</v>
      </c>
      <c r="D10" s="2950">
        <f t="shared" ref="D10" si="59">C10</f>
        <v>344.73679941385956</v>
      </c>
      <c r="E10" s="2950">
        <f t="shared" ref="E10" si="60">E11*(1+P10)</f>
        <v>663.2377795103107</v>
      </c>
      <c r="F10" s="2951">
        <f t="shared" ref="F10" si="61">F11*(1+Q10)</f>
        <v>304.75936311478398</v>
      </c>
      <c r="G10" s="3280">
        <v>2018</v>
      </c>
      <c r="H10" s="1462">
        <v>4</v>
      </c>
      <c r="I10" s="1462">
        <v>0.96</v>
      </c>
      <c r="J10" s="1462">
        <v>1.03</v>
      </c>
      <c r="K10" s="1462">
        <v>0.92</v>
      </c>
      <c r="L10" s="1463">
        <v>1.29</v>
      </c>
      <c r="M10" s="1471"/>
      <c r="N10" s="1472">
        <f t="shared" si="18"/>
        <v>9.5999999999999992E-3</v>
      </c>
      <c r="O10" s="1473">
        <f t="shared" ref="O10" si="62">J10/100</f>
        <v>1.03E-2</v>
      </c>
      <c r="P10" s="1473">
        <f t="shared" ref="P10" si="63">K10/100</f>
        <v>9.1999999999999998E-3</v>
      </c>
      <c r="Q10" s="1473">
        <f t="shared" ref="Q10" si="64">L10/100</f>
        <v>1.29E-2</v>
      </c>
      <c r="R10" s="1474"/>
      <c r="S10" s="1472"/>
      <c r="T10" s="1473"/>
      <c r="U10" s="1473"/>
      <c r="V10" s="1473"/>
      <c r="W10" s="1790"/>
      <c r="X10" s="1788">
        <f>ROUND(SUMPRODUCT(PRODUCT(1+N10:N$28)),4)</f>
        <v>1.5099</v>
      </c>
      <c r="Y10" s="1788">
        <f>ROUND(SUMPRODUCT(PRODUCT(1+O10:O$28)),4)</f>
        <v>1.3372999999999999</v>
      </c>
      <c r="Z10" s="1788">
        <f t="shared" ref="Z10" si="65">Y10</f>
        <v>1.3372999999999999</v>
      </c>
      <c r="AA10" s="1788">
        <f>ROUND(SUMPRODUCT(PRODUCT(1+P10:P$28)),4)</f>
        <v>1.5683</v>
      </c>
      <c r="AB10" s="1788">
        <f>ROUND(SUMPRODUCT(PRODUCT(1+Q10:Q$28)),4)</f>
        <v>1.3255999999999999</v>
      </c>
      <c r="AC10" s="1790"/>
      <c r="AD10" s="1789">
        <f>ROUND(AVERAGE(I10:I$29)/100,4)</f>
        <v>2.24E-2</v>
      </c>
      <c r="AE10" s="1789">
        <f>ROUND(AVERAGE(J10:J$29)/100,4)</f>
        <v>1.5800000000000002E-2</v>
      </c>
      <c r="AF10" s="1789">
        <f t="shared" ref="AF10" si="66">AE10</f>
        <v>1.5800000000000002E-2</v>
      </c>
      <c r="AG10" s="1789">
        <f>ROUND(AVERAGE(K10:K$29)/100,4)</f>
        <v>2.4500000000000001E-2</v>
      </c>
      <c r="AH10" s="1789">
        <f>ROUND(AVERAGE(L10:L$29)/100,4)</f>
        <v>1.49E-2</v>
      </c>
    </row>
    <row r="11" spans="1:34" s="1466" customFormat="1" ht="14.4" customHeight="1">
      <c r="A11" s="1461" t="s">
        <v>3041</v>
      </c>
      <c r="B11" s="1477">
        <f t="shared" ref="B11" si="67">B12*(1+N11)</f>
        <v>459.95733971036987</v>
      </c>
      <c r="C11" s="1477">
        <f t="shared" ref="C11" si="68">C12*(1+O11)</f>
        <v>341.22221064422405</v>
      </c>
      <c r="D11" s="1477">
        <f t="shared" ref="D11" si="69">C11</f>
        <v>341.22221064422405</v>
      </c>
      <c r="E11" s="1477">
        <f t="shared" ref="E11" si="70">E12*(1+P11)</f>
        <v>657.19161663724799</v>
      </c>
      <c r="F11" s="1477">
        <f t="shared" ref="F11" si="71">F12*(1+Q11)</f>
        <v>300.87803644464805</v>
      </c>
      <c r="G11" s="3280"/>
      <c r="H11" s="1464">
        <v>3</v>
      </c>
      <c r="I11" s="1464">
        <v>1.51</v>
      </c>
      <c r="J11" s="1464">
        <v>1.41</v>
      </c>
      <c r="K11" s="1464">
        <v>1.52</v>
      </c>
      <c r="L11" s="1478">
        <v>1.74</v>
      </c>
      <c r="M11" s="1471"/>
      <c r="N11" s="1472">
        <f t="shared" si="18"/>
        <v>1.5100000000000001E-2</v>
      </c>
      <c r="O11" s="1473">
        <f t="shared" ref="O11" si="72">J11/100</f>
        <v>1.41E-2</v>
      </c>
      <c r="P11" s="1473">
        <f t="shared" ref="P11" si="73">K11/100</f>
        <v>1.52E-2</v>
      </c>
      <c r="Q11" s="1473">
        <f t="shared" ref="Q11" si="74">L11/100</f>
        <v>1.7399999999999999E-2</v>
      </c>
      <c r="R11" s="1474"/>
      <c r="S11" s="1472"/>
      <c r="T11" s="1473"/>
      <c r="U11" s="1473"/>
      <c r="V11" s="1473"/>
      <c r="W11" s="1790"/>
      <c r="X11" s="1788">
        <f>ROUND(SUMPRODUCT(PRODUCT(1+N11:N$28)),4)</f>
        <v>1.4956</v>
      </c>
      <c r="Y11" s="1788">
        <f>ROUND(SUMPRODUCT(PRODUCT(1+O11:O$28)),4)</f>
        <v>1.3237000000000001</v>
      </c>
      <c r="Z11" s="1788">
        <f t="shared" ref="Z11" si="75">Y11</f>
        <v>1.3237000000000001</v>
      </c>
      <c r="AA11" s="1788">
        <f>ROUND(SUMPRODUCT(PRODUCT(1+P11:P$28)),4)</f>
        <v>1.554</v>
      </c>
      <c r="AB11" s="1788">
        <f>ROUND(SUMPRODUCT(PRODUCT(1+Q11:Q$28)),4)</f>
        <v>1.3087</v>
      </c>
      <c r="AC11" s="1790"/>
      <c r="AD11" s="1789">
        <f>ROUND(AVERAGE(I11:I$29)/100,4)</f>
        <v>2.3099999999999999E-2</v>
      </c>
      <c r="AE11" s="1789">
        <f>ROUND(AVERAGE(J11:J$29)/100,4)</f>
        <v>1.61E-2</v>
      </c>
      <c r="AF11" s="1789">
        <f t="shared" ref="AF11" si="76">AE11</f>
        <v>1.61E-2</v>
      </c>
      <c r="AG11" s="1789">
        <f>ROUND(AVERAGE(K11:K$29)/100,4)</f>
        <v>2.53E-2</v>
      </c>
      <c r="AH11" s="1789">
        <f>ROUND(AVERAGE(L11:L$29)/100,4)</f>
        <v>1.4999999999999999E-2</v>
      </c>
    </row>
    <row r="12" spans="1:34" s="1466" customFormat="1" ht="14.4" customHeight="1">
      <c r="A12" s="1461" t="s">
        <v>3040</v>
      </c>
      <c r="B12" s="1477">
        <f t="shared" ref="B12" si="77">B13*(1+N12)</f>
        <v>453.11529869999993</v>
      </c>
      <c r="C12" s="1477">
        <f t="shared" ref="C12" si="78">C13*(1+O12)</f>
        <v>336.47787264000004</v>
      </c>
      <c r="D12" s="1477">
        <f t="shared" ref="D12" si="79">C12</f>
        <v>336.47787264000004</v>
      </c>
      <c r="E12" s="1477">
        <f t="shared" ref="E12" si="80">E13*(1+P12)</f>
        <v>647.35186823999993</v>
      </c>
      <c r="F12" s="1477">
        <f t="shared" ref="F12" si="81">F13*(1+Q12)</f>
        <v>295.73229452000004</v>
      </c>
      <c r="G12" s="3280"/>
      <c r="H12" s="1465">
        <v>2</v>
      </c>
      <c r="I12" s="1465">
        <v>1.49</v>
      </c>
      <c r="J12" s="1465">
        <v>0.96</v>
      </c>
      <c r="K12" s="1465">
        <v>1.58</v>
      </c>
      <c r="L12" s="1479">
        <v>2.44</v>
      </c>
      <c r="M12" s="1471"/>
      <c r="N12" s="1472">
        <f t="shared" ref="N12" si="82">I12/100</f>
        <v>1.49E-2</v>
      </c>
      <c r="O12" s="1473">
        <f t="shared" ref="O12" si="83">J12/100</f>
        <v>9.5999999999999992E-3</v>
      </c>
      <c r="P12" s="1473">
        <f t="shared" ref="P12" si="84">K12/100</f>
        <v>1.5800000000000002E-2</v>
      </c>
      <c r="Q12" s="1473">
        <f t="shared" ref="Q12" si="85">L12/100</f>
        <v>2.4399999999999998E-2</v>
      </c>
      <c r="R12" s="1474"/>
      <c r="S12" s="1472"/>
      <c r="T12" s="1473"/>
      <c r="U12" s="1473"/>
      <c r="V12" s="1473"/>
      <c r="W12" s="1790"/>
      <c r="X12" s="1788">
        <f>ROUND(SUMPRODUCT(PRODUCT(1+N12:N$28)),4)</f>
        <v>1.4733000000000001</v>
      </c>
      <c r="Y12" s="1788">
        <f>ROUND(SUMPRODUCT(PRODUCT(1+O12:O$28)),4)</f>
        <v>1.3052999999999999</v>
      </c>
      <c r="Z12" s="1788">
        <f t="shared" ref="Z12" si="86">Y12</f>
        <v>1.3052999999999999</v>
      </c>
      <c r="AA12" s="1788">
        <f>ROUND(SUMPRODUCT(PRODUCT(1+P12:P$28)),4)</f>
        <v>1.5306999999999999</v>
      </c>
      <c r="AB12" s="1788">
        <f>ROUND(SUMPRODUCT(PRODUCT(1+Q12:Q$28)),4)</f>
        <v>1.2863</v>
      </c>
      <c r="AC12" s="1790"/>
      <c r="AD12" s="1789">
        <f>ROUND(AVERAGE(I12:I$29)/100,4)</f>
        <v>2.35E-2</v>
      </c>
      <c r="AE12" s="1789">
        <f>ROUND(AVERAGE(J12:J$29)/100,4)</f>
        <v>1.6199999999999999E-2</v>
      </c>
      <c r="AF12" s="1789">
        <f t="shared" ref="AF12" si="87">AE12</f>
        <v>1.6199999999999999E-2</v>
      </c>
      <c r="AG12" s="1789">
        <f>ROUND(AVERAGE(K12:K$29)/100,4)</f>
        <v>2.5899999999999999E-2</v>
      </c>
      <c r="AH12" s="1789">
        <f>ROUND(AVERAGE(L12:L$29)/100,4)</f>
        <v>1.49E-2</v>
      </c>
    </row>
    <row r="13" spans="1:34" s="1466" customFormat="1" ht="15" customHeight="1" thickBot="1">
      <c r="A13" s="1461" t="s">
        <v>3033</v>
      </c>
      <c r="B13" s="1477">
        <f t="shared" ref="B13" si="88">B14*(1+N13)</f>
        <v>446.46299999999997</v>
      </c>
      <c r="C13" s="1477">
        <f t="shared" ref="C13" si="89">C14*(1+O13)</f>
        <v>333.27840000000003</v>
      </c>
      <c r="D13" s="1477">
        <f t="shared" ref="D13" si="90">C13</f>
        <v>333.27840000000003</v>
      </c>
      <c r="E13" s="1477">
        <f t="shared" ref="E13" si="91">E14*(1+P13)</f>
        <v>637.28279999999995</v>
      </c>
      <c r="F13" s="1477">
        <f t="shared" ref="F13" si="92">F14*(1+Q13)</f>
        <v>288.68830000000003</v>
      </c>
      <c r="G13" s="3287"/>
      <c r="H13" s="1464">
        <v>1</v>
      </c>
      <c r="I13" s="1464">
        <v>1.7</v>
      </c>
      <c r="J13" s="1464">
        <v>1.92</v>
      </c>
      <c r="K13" s="1464">
        <v>1.64</v>
      </c>
      <c r="L13" s="1478">
        <v>2.0099999999999998</v>
      </c>
      <c r="M13" s="1471"/>
      <c r="N13" s="1472">
        <f t="shared" ref="N13:N18" si="93">I13/100</f>
        <v>1.7000000000000001E-2</v>
      </c>
      <c r="O13" s="1473">
        <f t="shared" ref="O13" si="94">J13/100</f>
        <v>1.9199999999999998E-2</v>
      </c>
      <c r="P13" s="1473">
        <f t="shared" ref="P13" si="95">K13/100</f>
        <v>1.6399999999999998E-2</v>
      </c>
      <c r="Q13" s="1473">
        <f t="shared" ref="Q13" si="96">L13/100</f>
        <v>2.0099999999999996E-2</v>
      </c>
      <c r="R13" s="1474"/>
      <c r="S13" s="1472">
        <f>B13/B14-1</f>
        <v>1.6999999999999904E-2</v>
      </c>
      <c r="T13" s="1473">
        <f t="shared" ref="T13" si="97">C13/C14-1</f>
        <v>1.9200000000000106E-2</v>
      </c>
      <c r="U13" s="1473">
        <f t="shared" ref="U13" si="98">D13/D14-1</f>
        <v>1.9200000000000106E-2</v>
      </c>
      <c r="V13" s="1473">
        <f t="shared" ref="V13" si="99">E13/E14-1</f>
        <v>1.639999999999997E-2</v>
      </c>
      <c r="W13" s="1790"/>
      <c r="X13" s="1788">
        <f>ROUND(SUMPRODUCT(PRODUCT(1+N13:N$28)),4)</f>
        <v>1.4517</v>
      </c>
      <c r="Y13" s="1788">
        <f>ROUND(SUMPRODUCT(PRODUCT(1+O13:O$28)),4)</f>
        <v>1.2928999999999999</v>
      </c>
      <c r="Z13" s="1788">
        <f t="shared" ref="Z13" si="100">Y13</f>
        <v>1.2928999999999999</v>
      </c>
      <c r="AA13" s="1788">
        <f>ROUND(SUMPRODUCT(PRODUCT(1+P13:P$28)),4)</f>
        <v>1.5068999999999999</v>
      </c>
      <c r="AB13" s="1788">
        <f>ROUND(SUMPRODUCT(PRODUCT(1+Q13:Q$28)),4)</f>
        <v>1.2557</v>
      </c>
      <c r="AC13" s="1790"/>
      <c r="AD13" s="1789">
        <f>ROUND(AVERAGE(I13:I$29)/100,4)</f>
        <v>2.4E-2</v>
      </c>
      <c r="AE13" s="1789">
        <f>ROUND(AVERAGE(J13:J$29)/100,4)</f>
        <v>1.66E-2</v>
      </c>
      <c r="AF13" s="1789">
        <f t="shared" ref="AF13" si="101">AE13</f>
        <v>1.66E-2</v>
      </c>
      <c r="AG13" s="1789">
        <f>ROUND(AVERAGE(K13:K$29)/100,4)</f>
        <v>2.6499999999999999E-2</v>
      </c>
      <c r="AH13" s="1789">
        <f>ROUND(AVERAGE(L13:L$29)/100,4)</f>
        <v>1.43E-2</v>
      </c>
    </row>
    <row r="14" spans="1:34" ht="13">
      <c r="A14" s="1461" t="s">
        <v>3030</v>
      </c>
      <c r="B14" s="1469">
        <v>439</v>
      </c>
      <c r="C14" s="1469">
        <v>327</v>
      </c>
      <c r="D14" s="1469">
        <f>C14</f>
        <v>327</v>
      </c>
      <c r="E14" s="1469">
        <v>627</v>
      </c>
      <c r="F14" s="1470">
        <v>283</v>
      </c>
      <c r="G14" s="3283">
        <v>2017</v>
      </c>
      <c r="H14" s="1462">
        <v>4</v>
      </c>
      <c r="I14" s="1462">
        <v>1.71</v>
      </c>
      <c r="J14" s="1462">
        <v>1.78</v>
      </c>
      <c r="K14" s="1462">
        <v>1.71</v>
      </c>
      <c r="L14" s="1463">
        <v>1.43</v>
      </c>
      <c r="N14" s="1472">
        <f t="shared" si="93"/>
        <v>1.7100000000000001E-2</v>
      </c>
      <c r="O14" s="1473">
        <f t="shared" ref="O14" si="102">J14/100</f>
        <v>1.78E-2</v>
      </c>
      <c r="P14" s="1473">
        <f t="shared" ref="P14" si="103">K14/100</f>
        <v>1.7100000000000001E-2</v>
      </c>
      <c r="Q14" s="1473">
        <f t="shared" ref="Q14" si="104">L14/100</f>
        <v>1.43E-2</v>
      </c>
      <c r="R14" s="1474"/>
      <c r="S14" s="1475"/>
      <c r="T14" s="1476"/>
      <c r="U14" s="1476"/>
      <c r="V14" s="1476"/>
      <c r="X14" s="1459">
        <f>ROUND(SUMPRODUCT(PRODUCT(1+N14:N$28)),4)</f>
        <v>1.4274</v>
      </c>
      <c r="Y14" s="1459">
        <f>ROUND(SUMPRODUCT(PRODUCT(1+O14:O$28)),4)</f>
        <v>1.2685</v>
      </c>
      <c r="Z14" s="1459">
        <f t="shared" si="0"/>
        <v>1.2685</v>
      </c>
      <c r="AA14" s="1459">
        <f>ROUND(SUMPRODUCT(PRODUCT(1+P14:P$28)),4)</f>
        <v>1.4825999999999999</v>
      </c>
      <c r="AB14" s="1459">
        <f>ROUND(SUMPRODUCT(PRODUCT(1+Q14:Q$28)),4)</f>
        <v>1.2309000000000001</v>
      </c>
      <c r="AD14" s="1460">
        <f>ROUND(AVERAGE(I14:I$29)/100,4)</f>
        <v>2.4500000000000001E-2</v>
      </c>
      <c r="AE14" s="1460">
        <f>ROUND(AVERAGE(J14:J$29)/100,4)</f>
        <v>1.6500000000000001E-2</v>
      </c>
      <c r="AF14" s="1460">
        <f t="shared" si="1"/>
        <v>1.6500000000000001E-2</v>
      </c>
      <c r="AG14" s="1460">
        <f>ROUND(AVERAGE(K14:K$29)/100,4)</f>
        <v>2.7099999999999999E-2</v>
      </c>
      <c r="AH14" s="1460">
        <f>ROUND(AVERAGE(L14:L$29)/100,4)</f>
        <v>1.3899999999999999E-2</v>
      </c>
    </row>
    <row r="15" spans="1:34" s="1466" customFormat="1" ht="14.4" customHeight="1">
      <c r="A15" s="1461" t="s">
        <v>3031</v>
      </c>
      <c r="B15" s="1477">
        <f t="shared" ref="B15:B16" si="105">B16*(1+N15)</f>
        <v>431.80730811680002</v>
      </c>
      <c r="C15" s="1477">
        <f t="shared" ref="C15:C16" si="106">C16*(1+O15)</f>
        <v>320.57880516480003</v>
      </c>
      <c r="D15" s="1477">
        <f t="shared" ref="D15:D16" si="107">C15</f>
        <v>320.57880516480003</v>
      </c>
      <c r="E15" s="1477">
        <f t="shared" ref="E15:E16" si="108">E16*(1+P15)</f>
        <v>615.96110553196797</v>
      </c>
      <c r="F15" s="1477">
        <f t="shared" ref="F15:F16" si="109">F16*(1+Q15)</f>
        <v>279.46777300108801</v>
      </c>
      <c r="G15" s="3280"/>
      <c r="H15" s="1464">
        <v>3</v>
      </c>
      <c r="I15" s="1464">
        <v>2.98</v>
      </c>
      <c r="J15" s="1464">
        <v>2.11</v>
      </c>
      <c r="K15" s="1464">
        <v>3.24</v>
      </c>
      <c r="L15" s="1478">
        <v>1.72</v>
      </c>
      <c r="M15" s="1471"/>
      <c r="N15" s="1472">
        <f t="shared" si="93"/>
        <v>2.98E-2</v>
      </c>
      <c r="O15" s="1473">
        <f t="shared" ref="O15" si="110">J15/100</f>
        <v>2.1099999999999997E-2</v>
      </c>
      <c r="P15" s="1473">
        <f t="shared" ref="P15" si="111">K15/100</f>
        <v>3.2400000000000005E-2</v>
      </c>
      <c r="Q15" s="1473">
        <f t="shared" ref="Q15" si="112">L15/100</f>
        <v>1.72E-2</v>
      </c>
      <c r="R15" s="1474"/>
      <c r="S15" s="1472"/>
      <c r="T15" s="1473"/>
      <c r="U15" s="1473"/>
      <c r="V15" s="1473"/>
      <c r="W15" s="1790"/>
      <c r="X15" s="1788">
        <f>ROUND(SUMPRODUCT(PRODUCT(1+N15:N$28)),4)</f>
        <v>1.4034</v>
      </c>
      <c r="Y15" s="1788">
        <f>ROUND(SUMPRODUCT(PRODUCT(1+O15:O$28)),4)</f>
        <v>1.2463</v>
      </c>
      <c r="Z15" s="1788">
        <f t="shared" si="0"/>
        <v>1.2463</v>
      </c>
      <c r="AA15" s="1788">
        <f>ROUND(SUMPRODUCT(PRODUCT(1+P15:P$28)),4)</f>
        <v>1.4577</v>
      </c>
      <c r="AB15" s="1788">
        <f>ROUND(SUMPRODUCT(PRODUCT(1+Q15:Q$28)),4)</f>
        <v>1.2136</v>
      </c>
      <c r="AC15" s="1790"/>
      <c r="AD15" s="1789">
        <f>ROUND(AVERAGE(I15:I$29)/100,4)</f>
        <v>2.4899999999999999E-2</v>
      </c>
      <c r="AE15" s="1789">
        <f>ROUND(AVERAGE(J15:J$29)/100,4)</f>
        <v>1.6400000000000001E-2</v>
      </c>
      <c r="AF15" s="1789">
        <f t="shared" si="1"/>
        <v>1.6400000000000001E-2</v>
      </c>
      <c r="AG15" s="1789">
        <f>ROUND(AVERAGE(K15:K$29)/100,4)</f>
        <v>2.7799999999999998E-2</v>
      </c>
      <c r="AH15" s="1789">
        <f>ROUND(AVERAGE(L15:L$29)/100,4)</f>
        <v>1.3899999999999999E-2</v>
      </c>
    </row>
    <row r="16" spans="1:34" s="1731" customFormat="1" ht="14.4" customHeight="1">
      <c r="A16" s="1461" t="s">
        <v>1380</v>
      </c>
      <c r="B16" s="1477">
        <f t="shared" si="105"/>
        <v>419.31181600000002</v>
      </c>
      <c r="C16" s="1477">
        <f t="shared" si="106"/>
        <v>313.95436800000004</v>
      </c>
      <c r="D16" s="1477">
        <f t="shared" si="107"/>
        <v>313.95436800000004</v>
      </c>
      <c r="E16" s="1477">
        <f t="shared" si="108"/>
        <v>596.63028431999999</v>
      </c>
      <c r="F16" s="1477">
        <f t="shared" si="109"/>
        <v>274.74220703999998</v>
      </c>
      <c r="G16" s="3280"/>
      <c r="H16" s="1465">
        <v>2</v>
      </c>
      <c r="I16" s="1465">
        <v>3.4</v>
      </c>
      <c r="J16" s="1465">
        <v>2</v>
      </c>
      <c r="K16" s="1465">
        <v>3.82</v>
      </c>
      <c r="L16" s="1479">
        <v>1.68</v>
      </c>
      <c r="M16" s="1471"/>
      <c r="N16" s="1472">
        <f t="shared" si="93"/>
        <v>3.4000000000000002E-2</v>
      </c>
      <c r="O16" s="1473">
        <f t="shared" ref="O16" si="113">J16/100</f>
        <v>0.02</v>
      </c>
      <c r="P16" s="1473">
        <f t="shared" ref="P16" si="114">K16/100</f>
        <v>3.8199999999999998E-2</v>
      </c>
      <c r="Q16" s="1473">
        <f t="shared" ref="Q16" si="115">L16/100</f>
        <v>1.6799999999999999E-2</v>
      </c>
      <c r="R16" s="1474"/>
      <c r="S16" s="1475"/>
      <c r="T16" s="1476"/>
      <c r="U16" s="1476"/>
      <c r="V16" s="1476"/>
      <c r="W16" s="1453"/>
      <c r="X16" s="1788">
        <f>ROUND(SUMPRODUCT(PRODUCT(1+N16:N$28)),4)</f>
        <v>1.3628</v>
      </c>
      <c r="Y16" s="1788">
        <f>ROUND(SUMPRODUCT(PRODUCT(1+O16:O$28)),4)</f>
        <v>1.2205999999999999</v>
      </c>
      <c r="Z16" s="1788">
        <f t="shared" si="0"/>
        <v>1.2205999999999999</v>
      </c>
      <c r="AA16" s="1788">
        <f>ROUND(SUMPRODUCT(PRODUCT(1+P16:P$28)),4)</f>
        <v>1.4118999999999999</v>
      </c>
      <c r="AB16" s="1788">
        <f>ROUND(SUMPRODUCT(PRODUCT(1+Q16:Q$28)),4)</f>
        <v>1.1930000000000001</v>
      </c>
      <c r="AC16" s="1453"/>
      <c r="AD16" s="1789">
        <f>ROUND(AVERAGE(I16:I$29)/100,4)</f>
        <v>2.46E-2</v>
      </c>
      <c r="AE16" s="1789">
        <f>ROUND(AVERAGE(J16:J$29)/100,4)</f>
        <v>1.6E-2</v>
      </c>
      <c r="AF16" s="1789">
        <f t="shared" si="1"/>
        <v>1.6E-2</v>
      </c>
      <c r="AG16" s="1789">
        <f>ROUND(AVERAGE(K16:K$29)/100,4)</f>
        <v>2.75E-2</v>
      </c>
      <c r="AH16" s="1789">
        <f>ROUND(AVERAGE(L16:L$29)/100,4)</f>
        <v>1.37E-2</v>
      </c>
    </row>
    <row r="17" spans="1:34" s="1466" customFormat="1" ht="15" customHeight="1" thickBot="1">
      <c r="A17" s="1461" t="s">
        <v>1156</v>
      </c>
      <c r="B17" s="1477">
        <f>B18*(1+N17)</f>
        <v>405.524</v>
      </c>
      <c r="C17" s="1477">
        <f>C18*(1+O17)</f>
        <v>307.79840000000002</v>
      </c>
      <c r="D17" s="1477">
        <f>C17</f>
        <v>307.79840000000002</v>
      </c>
      <c r="E17" s="1477">
        <f>E18*(1+P17)</f>
        <v>574.67759999999998</v>
      </c>
      <c r="F17" s="1477">
        <f>F18*(1+Q17)</f>
        <v>270.20280000000002</v>
      </c>
      <c r="G17" s="3287"/>
      <c r="H17" s="1464">
        <v>1</v>
      </c>
      <c r="I17" s="1464">
        <v>3.45</v>
      </c>
      <c r="J17" s="1464">
        <v>1.92</v>
      </c>
      <c r="K17" s="1464">
        <v>3.92</v>
      </c>
      <c r="L17" s="1478">
        <v>1.58</v>
      </c>
      <c r="M17" s="1471"/>
      <c r="N17" s="1472">
        <f t="shared" si="93"/>
        <v>3.4500000000000003E-2</v>
      </c>
      <c r="O17" s="1473">
        <f t="shared" ref="O17:Q32" si="116">J17/100</f>
        <v>1.9199999999999998E-2</v>
      </c>
      <c r="P17" s="1473">
        <f t="shared" si="116"/>
        <v>3.9199999999999999E-2</v>
      </c>
      <c r="Q17" s="1473">
        <f t="shared" si="116"/>
        <v>1.5800000000000002E-2</v>
      </c>
      <c r="R17" s="1474"/>
      <c r="S17" s="1472">
        <f>B17/B18-1</f>
        <v>3.4499999999999975E-2</v>
      </c>
      <c r="T17" s="1473">
        <f t="shared" ref="T17:V17" si="117">C17/C18-1</f>
        <v>1.9200000000000106E-2</v>
      </c>
      <c r="U17" s="1473">
        <f t="shared" si="117"/>
        <v>1.9200000000000106E-2</v>
      </c>
      <c r="V17" s="1473">
        <f t="shared" si="117"/>
        <v>3.9199999999999902E-2</v>
      </c>
      <c r="W17" s="1790"/>
      <c r="X17" s="1788">
        <f>ROUND(SUMPRODUCT(PRODUCT(1+N17:N$28)),4)</f>
        <v>1.3180000000000001</v>
      </c>
      <c r="Y17" s="1788">
        <f>ROUND(SUMPRODUCT(PRODUCT(1+O17:O$28)),4)</f>
        <v>1.1966000000000001</v>
      </c>
      <c r="Z17" s="1788">
        <f t="shared" si="0"/>
        <v>1.1966000000000001</v>
      </c>
      <c r="AA17" s="1788">
        <f>ROUND(SUMPRODUCT(PRODUCT(1+P17:P$28)),4)</f>
        <v>1.36</v>
      </c>
      <c r="AB17" s="1788">
        <f>ROUND(SUMPRODUCT(PRODUCT(1+Q17:Q$28)),4)</f>
        <v>1.1733</v>
      </c>
      <c r="AC17" s="1790"/>
      <c r="AD17" s="1789">
        <f>ROUND(AVERAGE(I17:I$29)/100,4)</f>
        <v>2.3900000000000001E-2</v>
      </c>
      <c r="AE17" s="1789">
        <f>ROUND(AVERAGE(J17:J$29)/100,4)</f>
        <v>1.5699999999999999E-2</v>
      </c>
      <c r="AF17" s="1789">
        <f t="shared" si="1"/>
        <v>1.5699999999999999E-2</v>
      </c>
      <c r="AG17" s="1789">
        <f>ROUND(AVERAGE(K17:K$29)/100,4)</f>
        <v>2.6599999999999999E-2</v>
      </c>
      <c r="AH17" s="1789">
        <f>ROUND(AVERAGE(L17:L$29)/100,4)</f>
        <v>1.34E-2</v>
      </c>
    </row>
    <row r="18" spans="1:34" ht="13">
      <c r="A18" s="1461" t="s">
        <v>154</v>
      </c>
      <c r="B18" s="1469">
        <v>392</v>
      </c>
      <c r="C18" s="1469">
        <v>302</v>
      </c>
      <c r="D18" s="1469">
        <f>C18</f>
        <v>302</v>
      </c>
      <c r="E18" s="1469">
        <v>553</v>
      </c>
      <c r="F18" s="1470">
        <v>266</v>
      </c>
      <c r="G18" s="3283">
        <v>2016</v>
      </c>
      <c r="H18" s="1462">
        <v>4</v>
      </c>
      <c r="I18" s="1462">
        <v>4.5599999999999996</v>
      </c>
      <c r="J18" s="1462">
        <v>2.15</v>
      </c>
      <c r="K18" s="1462">
        <v>5.32</v>
      </c>
      <c r="L18" s="1463">
        <v>1.57</v>
      </c>
      <c r="N18" s="1472">
        <f t="shared" si="93"/>
        <v>4.5599999999999995E-2</v>
      </c>
      <c r="O18" s="1473">
        <f t="shared" si="116"/>
        <v>2.1499999999999998E-2</v>
      </c>
      <c r="P18" s="1473">
        <f t="shared" si="116"/>
        <v>5.3200000000000004E-2</v>
      </c>
      <c r="Q18" s="1473">
        <f t="shared" si="116"/>
        <v>1.5700000000000002E-2</v>
      </c>
      <c r="R18" s="1474"/>
      <c r="S18" s="1475"/>
      <c r="T18" s="1476"/>
      <c r="U18" s="1476"/>
      <c r="V18" s="1476"/>
      <c r="X18" s="1459">
        <f>ROUND(SUMPRODUCT(PRODUCT(1+N18:N$28)),4)</f>
        <v>1.274</v>
      </c>
      <c r="Y18" s="1459">
        <f>ROUND(SUMPRODUCT(PRODUCT(1+O18:O$28)),4)</f>
        <v>1.1740999999999999</v>
      </c>
      <c r="Z18" s="1459">
        <f t="shared" si="0"/>
        <v>1.1740999999999999</v>
      </c>
      <c r="AA18" s="1459">
        <f>ROUND(SUMPRODUCT(PRODUCT(1+P18:P$28)),4)</f>
        <v>1.3087</v>
      </c>
      <c r="AB18" s="1459">
        <f>ROUND(SUMPRODUCT(PRODUCT(1+Q18:Q$28)),4)</f>
        <v>1.1551</v>
      </c>
      <c r="AD18" s="1460">
        <f>ROUND(AVERAGE(I18:I$29)/100,4)</f>
        <v>2.3E-2</v>
      </c>
      <c r="AE18" s="1460">
        <f>ROUND(AVERAGE(J18:J$29)/100,4)</f>
        <v>1.55E-2</v>
      </c>
      <c r="AF18" s="1460">
        <f t="shared" si="1"/>
        <v>1.55E-2</v>
      </c>
      <c r="AG18" s="1460">
        <f>ROUND(AVERAGE(K18:K$29)/100,4)</f>
        <v>2.5600000000000001E-2</v>
      </c>
      <c r="AH18" s="1460">
        <f>ROUND(AVERAGE(L18:L$29)/100,4)</f>
        <v>1.32E-2</v>
      </c>
    </row>
    <row r="19" spans="1:34">
      <c r="A19" s="1461" t="s">
        <v>153</v>
      </c>
      <c r="B19" s="1477">
        <f t="shared" ref="B19:C21" si="118">B18/(1+N18)</f>
        <v>374.90436113236416</v>
      </c>
      <c r="C19" s="1477">
        <f t="shared" si="118"/>
        <v>295.64366128242779</v>
      </c>
      <c r="D19" s="1477">
        <f t="shared" ref="D19:D78" si="119">C19</f>
        <v>295.64366128242779</v>
      </c>
      <c r="E19" s="1477">
        <f t="shared" ref="E19:F21" si="120">E18/(1+P18)</f>
        <v>525.06646410938095</v>
      </c>
      <c r="F19" s="1477">
        <f t="shared" si="120"/>
        <v>261.88835286009646</v>
      </c>
      <c r="G19" s="3280"/>
      <c r="H19" s="1464">
        <v>3</v>
      </c>
      <c r="I19" s="1464">
        <v>4.12</v>
      </c>
      <c r="J19" s="1464">
        <v>2</v>
      </c>
      <c r="K19" s="1464">
        <v>4.79</v>
      </c>
      <c r="L19" s="1478">
        <v>1.97</v>
      </c>
      <c r="N19" s="1472">
        <f t="shared" ref="N19:Q53" si="121">I19/100</f>
        <v>4.1200000000000001E-2</v>
      </c>
      <c r="O19" s="1473">
        <f t="shared" si="116"/>
        <v>0.02</v>
      </c>
      <c r="P19" s="1473">
        <f t="shared" si="116"/>
        <v>4.7899999999999998E-2</v>
      </c>
      <c r="Q19" s="1473">
        <f t="shared" si="116"/>
        <v>1.9699999999999999E-2</v>
      </c>
      <c r="R19" s="1474"/>
      <c r="S19" s="1472"/>
      <c r="T19" s="1473"/>
      <c r="U19" s="1473"/>
      <c r="V19" s="1473"/>
      <c r="X19" s="1459">
        <f>ROUND(SUMPRODUCT(PRODUCT(1+N19:N$28)),4)</f>
        <v>1.2184999999999999</v>
      </c>
      <c r="Y19" s="1459">
        <f>ROUND(SUMPRODUCT(PRODUCT(1+O19:O$28)),4)</f>
        <v>1.1494</v>
      </c>
      <c r="Z19" s="1459">
        <f t="shared" si="0"/>
        <v>1.1494</v>
      </c>
      <c r="AA19" s="1459">
        <f>ROUND(SUMPRODUCT(PRODUCT(1+P19:P$28)),4)</f>
        <v>1.2425999999999999</v>
      </c>
      <c r="AB19" s="1459">
        <f>ROUND(SUMPRODUCT(PRODUCT(1+Q19:Q$28)),4)</f>
        <v>1.1372</v>
      </c>
      <c r="AD19" s="1460">
        <f>ROUND(AVERAGE(I19:I$29)/100,4)</f>
        <v>2.0899999999999998E-2</v>
      </c>
      <c r="AE19" s="1460">
        <f>ROUND(AVERAGE(J19:J$29)/100,4)</f>
        <v>1.49E-2</v>
      </c>
      <c r="AF19" s="1460">
        <f t="shared" si="1"/>
        <v>1.49E-2</v>
      </c>
      <c r="AG19" s="1460">
        <f>ROUND(AVERAGE(K19:K$29)/100,4)</f>
        <v>2.3099999999999999E-2</v>
      </c>
      <c r="AH19" s="1460">
        <f>ROUND(AVERAGE(L19:L$29)/100,4)</f>
        <v>1.2999999999999999E-2</v>
      </c>
    </row>
    <row r="20" spans="1:34">
      <c r="A20" s="1461" t="s">
        <v>143</v>
      </c>
      <c r="B20" s="1477">
        <f t="shared" si="118"/>
        <v>360.06949782209392</v>
      </c>
      <c r="C20" s="1477">
        <f t="shared" si="118"/>
        <v>289.84672674747821</v>
      </c>
      <c r="D20" s="1477">
        <f t="shared" si="119"/>
        <v>289.84672674747821</v>
      </c>
      <c r="E20" s="1477">
        <f t="shared" si="120"/>
        <v>501.06543001181495</v>
      </c>
      <c r="F20" s="1477">
        <f t="shared" si="120"/>
        <v>256.82882500744967</v>
      </c>
      <c r="G20" s="3280"/>
      <c r="H20" s="1465">
        <v>2</v>
      </c>
      <c r="I20" s="1465">
        <v>3.85</v>
      </c>
      <c r="J20" s="1465">
        <v>1.95</v>
      </c>
      <c r="K20" s="1465">
        <v>4.4800000000000004</v>
      </c>
      <c r="L20" s="1479">
        <v>1.41</v>
      </c>
      <c r="N20" s="1472">
        <f t="shared" si="121"/>
        <v>3.85E-2</v>
      </c>
      <c r="O20" s="1473">
        <f t="shared" si="116"/>
        <v>1.95E-2</v>
      </c>
      <c r="P20" s="1473">
        <f t="shared" si="116"/>
        <v>4.4800000000000006E-2</v>
      </c>
      <c r="Q20" s="1473">
        <f t="shared" si="116"/>
        <v>1.41E-2</v>
      </c>
      <c r="R20" s="1474"/>
      <c r="S20" s="1472"/>
      <c r="T20" s="1473"/>
      <c r="U20" s="1473"/>
      <c r="V20" s="1473"/>
      <c r="X20" s="1459">
        <f>ROUND(SUMPRODUCT(PRODUCT(1+N20:N$28)),4)</f>
        <v>1.1702999999999999</v>
      </c>
      <c r="Y20" s="1459">
        <f>ROUND(SUMPRODUCT(PRODUCT(1+O20:O$28)),4)</f>
        <v>1.1269</v>
      </c>
      <c r="Z20" s="1459">
        <f t="shared" si="0"/>
        <v>1.1269</v>
      </c>
      <c r="AA20" s="1459">
        <f>ROUND(SUMPRODUCT(PRODUCT(1+P20:P$28)),4)</f>
        <v>1.1858</v>
      </c>
      <c r="AB20" s="1459">
        <f>ROUND(SUMPRODUCT(PRODUCT(1+Q20:Q$28)),4)</f>
        <v>1.1152</v>
      </c>
      <c r="AD20" s="1460">
        <f>ROUND(AVERAGE(I20:I$29)/100,4)</f>
        <v>1.89E-2</v>
      </c>
      <c r="AE20" s="1460">
        <f>ROUND(AVERAGE(J20:J$29)/100,4)</f>
        <v>1.44E-2</v>
      </c>
      <c r="AF20" s="1460">
        <f t="shared" si="1"/>
        <v>1.44E-2</v>
      </c>
      <c r="AG20" s="1460">
        <f>ROUND(AVERAGE(K20:K$29)/100,4)</f>
        <v>2.06E-2</v>
      </c>
      <c r="AH20" s="1460">
        <f>ROUND(AVERAGE(L20:L$29)/100,4)</f>
        <v>1.23E-2</v>
      </c>
    </row>
    <row r="21" spans="1:34" ht="13" thickBot="1">
      <c r="A21" s="1461" t="s">
        <v>152</v>
      </c>
      <c r="B21" s="1477">
        <f t="shared" si="118"/>
        <v>346.720748986128</v>
      </c>
      <c r="C21" s="1477">
        <f t="shared" si="118"/>
        <v>284.30282172386285</v>
      </c>
      <c r="D21" s="1477">
        <f t="shared" si="119"/>
        <v>284.30282172386285</v>
      </c>
      <c r="E21" s="1477">
        <f t="shared" si="120"/>
        <v>479.58023546306947</v>
      </c>
      <c r="F21" s="1477">
        <f t="shared" si="120"/>
        <v>253.25788877571213</v>
      </c>
      <c r="G21" s="3281"/>
      <c r="H21" s="1464">
        <v>1</v>
      </c>
      <c r="I21" s="1464">
        <v>4.09</v>
      </c>
      <c r="J21" s="1464">
        <v>2.93</v>
      </c>
      <c r="K21" s="1464">
        <v>4.54</v>
      </c>
      <c r="L21" s="1478">
        <v>1.48</v>
      </c>
      <c r="N21" s="1472">
        <f t="shared" si="121"/>
        <v>4.0899999999999999E-2</v>
      </c>
      <c r="O21" s="1473">
        <f t="shared" si="116"/>
        <v>2.9300000000000003E-2</v>
      </c>
      <c r="P21" s="1473">
        <f t="shared" si="116"/>
        <v>4.5400000000000003E-2</v>
      </c>
      <c r="Q21" s="1473">
        <f t="shared" si="116"/>
        <v>1.4800000000000001E-2</v>
      </c>
      <c r="R21" s="1474"/>
      <c r="S21" s="1480">
        <f>B21/B22-1</f>
        <v>4.1203450408792808E-2</v>
      </c>
      <c r="T21" s="1481">
        <f>C21/C22-1</f>
        <v>2.6363977342465095E-2</v>
      </c>
      <c r="U21" s="1481">
        <f>E21/E22-1</f>
        <v>4.4837114298626357E-2</v>
      </c>
      <c r="V21" s="1481">
        <f>F21/F22-1</f>
        <v>1.7099954922538574E-2</v>
      </c>
      <c r="X21" s="1459">
        <f>ROUND(SUMPRODUCT(PRODUCT(1+N21:N$28)),4)</f>
        <v>1.1269</v>
      </c>
      <c r="Y21" s="1459">
        <f>ROUND(SUMPRODUCT(PRODUCT(1+O21:O$28)),4)</f>
        <v>1.1052999999999999</v>
      </c>
      <c r="Z21" s="1459">
        <f t="shared" si="0"/>
        <v>1.1052999999999999</v>
      </c>
      <c r="AA21" s="1459">
        <f>ROUND(SUMPRODUCT(PRODUCT(1+P21:P$28)),4)</f>
        <v>1.1349</v>
      </c>
      <c r="AB21" s="1459">
        <f>ROUND(SUMPRODUCT(PRODUCT(1+Q21:Q$28)),4)</f>
        <v>1.0996999999999999</v>
      </c>
      <c r="AD21" s="1460">
        <f>ROUND(AVERAGE(I21:I$29)/100,4)</f>
        <v>1.67E-2</v>
      </c>
      <c r="AE21" s="1460">
        <f>ROUND(AVERAGE(J21:J$29)/100,4)</f>
        <v>1.38E-2</v>
      </c>
      <c r="AF21" s="1460">
        <f t="shared" si="1"/>
        <v>1.38E-2</v>
      </c>
      <c r="AG21" s="1460">
        <f>ROUND(AVERAGE(K21:K$29)/100,4)</f>
        <v>1.7899999999999999E-2</v>
      </c>
      <c r="AH21" s="1460">
        <f>ROUND(AVERAGE(L21:L$29)/100,4)</f>
        <v>1.21E-2</v>
      </c>
    </row>
    <row r="22" spans="1:34" ht="13.5" thickBot="1">
      <c r="A22" s="1461" t="s">
        <v>151</v>
      </c>
      <c r="B22" s="1469">
        <v>333</v>
      </c>
      <c r="C22" s="1469">
        <v>277</v>
      </c>
      <c r="D22" s="1469">
        <f t="shared" si="119"/>
        <v>277</v>
      </c>
      <c r="E22" s="1469">
        <v>459</v>
      </c>
      <c r="F22" s="1470">
        <v>249</v>
      </c>
      <c r="G22" s="3279">
        <v>2015</v>
      </c>
      <c r="H22" s="1482">
        <v>4</v>
      </c>
      <c r="I22" s="1482">
        <v>1.63</v>
      </c>
      <c r="J22" s="1482">
        <v>1.1100000000000001</v>
      </c>
      <c r="K22" s="1482">
        <v>1.77</v>
      </c>
      <c r="L22" s="1483">
        <v>1.89</v>
      </c>
      <c r="N22" s="1484">
        <f t="shared" si="121"/>
        <v>1.6299999999999999E-2</v>
      </c>
      <c r="O22" s="1485">
        <f t="shared" si="116"/>
        <v>1.11E-2</v>
      </c>
      <c r="P22" s="1485">
        <f t="shared" si="116"/>
        <v>1.77E-2</v>
      </c>
      <c r="Q22" s="1485">
        <f t="shared" si="116"/>
        <v>1.89E-2</v>
      </c>
      <c r="R22" s="1474"/>
      <c r="X22" s="1459">
        <f>ROUND(SUMPRODUCT(PRODUCT(1+N22:N$28)),4)</f>
        <v>1.0826</v>
      </c>
      <c r="Y22" s="1459">
        <f>ROUND(SUMPRODUCT(PRODUCT(1+O22:O$28)),4)</f>
        <v>1.0738000000000001</v>
      </c>
      <c r="Z22" s="1459">
        <f t="shared" si="0"/>
        <v>1.0738000000000001</v>
      </c>
      <c r="AA22" s="1459">
        <f>ROUND(SUMPRODUCT(PRODUCT(1+P22:P$28)),4)</f>
        <v>1.0855999999999999</v>
      </c>
      <c r="AB22" s="1459">
        <f>ROUND(SUMPRODUCT(PRODUCT(1+Q22:Q$28)),4)</f>
        <v>1.0837000000000001</v>
      </c>
      <c r="AD22" s="1460">
        <f>ROUND(AVERAGE(I22:I$29)/100,4)</f>
        <v>1.37E-2</v>
      </c>
      <c r="AE22" s="1460">
        <f>ROUND(AVERAGE(J22:J$29)/100,4)</f>
        <v>1.1900000000000001E-2</v>
      </c>
      <c r="AF22" s="1460">
        <f t="shared" si="1"/>
        <v>1.1900000000000001E-2</v>
      </c>
      <c r="AG22" s="1460">
        <f>ROUND(AVERAGE(K22:K$29)/100,4)</f>
        <v>1.4500000000000001E-2</v>
      </c>
      <c r="AH22" s="1460">
        <f>ROUND(AVERAGE(L22:L$29)/100,4)</f>
        <v>1.18E-2</v>
      </c>
    </row>
    <row r="23" spans="1:34">
      <c r="A23" s="1461" t="s">
        <v>150</v>
      </c>
      <c r="B23" s="1477">
        <f t="shared" ref="B23:C25" si="122">B22/(1+N22)</f>
        <v>327.65915576109415</v>
      </c>
      <c r="C23" s="1477">
        <f t="shared" si="122"/>
        <v>273.95905449510434</v>
      </c>
      <c r="D23" s="1477">
        <f t="shared" si="119"/>
        <v>273.95905449510434</v>
      </c>
      <c r="E23" s="1477">
        <f t="shared" ref="E23:F25" si="123">E22/(1+P22)</f>
        <v>451.01699911565294</v>
      </c>
      <c r="F23" s="1477">
        <f t="shared" si="123"/>
        <v>244.38119540681129</v>
      </c>
      <c r="G23" s="3280"/>
      <c r="H23" s="1487">
        <v>3</v>
      </c>
      <c r="I23" s="1487">
        <v>1.65</v>
      </c>
      <c r="J23" s="1487">
        <v>0.92</v>
      </c>
      <c r="K23" s="1487">
        <v>1.88</v>
      </c>
      <c r="L23" s="1488">
        <v>1.26</v>
      </c>
      <c r="N23" s="1472">
        <f t="shared" si="121"/>
        <v>1.6500000000000001E-2</v>
      </c>
      <c r="O23" s="1489">
        <f t="shared" si="116"/>
        <v>9.1999999999999998E-3</v>
      </c>
      <c r="P23" s="1489">
        <f t="shared" si="116"/>
        <v>1.8799999999999997E-2</v>
      </c>
      <c r="Q23" s="1489">
        <f t="shared" si="116"/>
        <v>1.26E-2</v>
      </c>
      <c r="R23" s="1474"/>
      <c r="S23" s="1472"/>
      <c r="T23" s="1473"/>
      <c r="U23" s="1473"/>
      <c r="V23" s="1473"/>
      <c r="X23" s="1459">
        <f>ROUND(SUMPRODUCT(PRODUCT(1+N23:N$28)),4)</f>
        <v>1.0651999999999999</v>
      </c>
      <c r="Y23" s="1459">
        <f>ROUND(SUMPRODUCT(PRODUCT(1+O23:O$28)),4)</f>
        <v>1.0621</v>
      </c>
      <c r="Z23" s="1459">
        <f t="shared" si="0"/>
        <v>1.0621</v>
      </c>
      <c r="AA23" s="1459">
        <f>ROUND(SUMPRODUCT(PRODUCT(1+P23:P$28)),4)</f>
        <v>1.0668</v>
      </c>
      <c r="AB23" s="1459">
        <f>ROUND(SUMPRODUCT(PRODUCT(1+Q23:Q$28)),4)</f>
        <v>1.0636000000000001</v>
      </c>
      <c r="AD23" s="1460">
        <f>ROUND(AVERAGE(I23:I$29)/100,4)</f>
        <v>1.3299999999999999E-2</v>
      </c>
      <c r="AE23" s="1460">
        <f>ROUND(AVERAGE(J23:J$29)/100,4)</f>
        <v>1.2E-2</v>
      </c>
      <c r="AF23" s="1460">
        <f t="shared" si="1"/>
        <v>1.2E-2</v>
      </c>
      <c r="AG23" s="1460">
        <f>ROUND(AVERAGE(K23:K$29)/100,4)</f>
        <v>1.4E-2</v>
      </c>
      <c r="AH23" s="1460">
        <f>ROUND(AVERAGE(L23:L$29)/100,4)</f>
        <v>1.0800000000000001E-2</v>
      </c>
    </row>
    <row r="24" spans="1:34">
      <c r="A24" s="1461" t="s">
        <v>149</v>
      </c>
      <c r="B24" s="1477">
        <f t="shared" si="122"/>
        <v>322.34053690220776</v>
      </c>
      <c r="C24" s="1477">
        <f t="shared" si="122"/>
        <v>271.46160770422546</v>
      </c>
      <c r="D24" s="1477">
        <f t="shared" si="119"/>
        <v>271.46160770422546</v>
      </c>
      <c r="E24" s="1477">
        <f t="shared" si="123"/>
        <v>442.69434542172456</v>
      </c>
      <c r="F24" s="1477">
        <f t="shared" si="123"/>
        <v>241.34030753190925</v>
      </c>
      <c r="G24" s="3280"/>
      <c r="H24" s="1465">
        <v>2</v>
      </c>
      <c r="I24" s="1465">
        <v>0.77</v>
      </c>
      <c r="J24" s="1465">
        <v>0.69</v>
      </c>
      <c r="K24" s="1465">
        <v>0.8</v>
      </c>
      <c r="L24" s="1479">
        <v>0.88</v>
      </c>
      <c r="N24" s="1472">
        <f t="shared" si="121"/>
        <v>7.7000000000000002E-3</v>
      </c>
      <c r="O24" s="1489">
        <f t="shared" si="116"/>
        <v>6.8999999999999999E-3</v>
      </c>
      <c r="P24" s="1489">
        <f t="shared" si="116"/>
        <v>8.0000000000000002E-3</v>
      </c>
      <c r="Q24" s="1489">
        <f t="shared" si="116"/>
        <v>8.8000000000000005E-3</v>
      </c>
      <c r="R24" s="1474"/>
      <c r="S24" s="1472"/>
      <c r="T24" s="1473"/>
      <c r="U24" s="1473"/>
      <c r="V24" s="1473"/>
      <c r="X24" s="1459">
        <f>ROUND(SUMPRODUCT(PRODUCT(1+N24:N$28)),4)</f>
        <v>1.048</v>
      </c>
      <c r="Y24" s="1459">
        <f>ROUND(SUMPRODUCT(PRODUCT(1+O24:O$28)),4)</f>
        <v>1.0524</v>
      </c>
      <c r="Z24" s="1459">
        <f t="shared" si="0"/>
        <v>1.0524</v>
      </c>
      <c r="AA24" s="1459">
        <f>ROUND(SUMPRODUCT(PRODUCT(1+P24:P$28)),4)</f>
        <v>1.0470999999999999</v>
      </c>
      <c r="AB24" s="1459">
        <f>ROUND(SUMPRODUCT(PRODUCT(1+Q24:Q$28)),4)</f>
        <v>1.0504</v>
      </c>
      <c r="AD24" s="1460">
        <f>ROUND(AVERAGE(I24:I$29)/100,4)</f>
        <v>1.2800000000000001E-2</v>
      </c>
      <c r="AE24" s="1460">
        <f>ROUND(AVERAGE(J24:J$29)/100,4)</f>
        <v>1.2500000000000001E-2</v>
      </c>
      <c r="AF24" s="1460">
        <f t="shared" si="1"/>
        <v>1.2500000000000001E-2</v>
      </c>
      <c r="AG24" s="1460">
        <f>ROUND(AVERAGE(K24:K$29)/100,4)</f>
        <v>1.32E-2</v>
      </c>
      <c r="AH24" s="1460">
        <f>ROUND(AVERAGE(L24:L$29)/100,4)</f>
        <v>1.0500000000000001E-2</v>
      </c>
    </row>
    <row r="25" spans="1:34">
      <c r="A25" s="1461" t="s">
        <v>148</v>
      </c>
      <c r="B25" s="1477">
        <f t="shared" si="122"/>
        <v>319.87748030386797</v>
      </c>
      <c r="C25" s="1477">
        <f t="shared" si="122"/>
        <v>269.60135833173649</v>
      </c>
      <c r="D25" s="1477">
        <f t="shared" si="119"/>
        <v>269.60135833173649</v>
      </c>
      <c r="E25" s="1477">
        <f t="shared" si="123"/>
        <v>439.18089823583784</v>
      </c>
      <c r="F25" s="1477">
        <f t="shared" si="123"/>
        <v>239.23503918706311</v>
      </c>
      <c r="G25" s="3281"/>
      <c r="H25" s="1464">
        <v>1</v>
      </c>
      <c r="I25" s="1464">
        <v>0.51</v>
      </c>
      <c r="J25" s="1464">
        <v>0.54</v>
      </c>
      <c r="K25" s="1464">
        <v>0.48</v>
      </c>
      <c r="L25" s="1478">
        <v>0.93</v>
      </c>
      <c r="N25" s="1480">
        <f t="shared" si="121"/>
        <v>5.1000000000000004E-3</v>
      </c>
      <c r="O25" s="1481">
        <f t="shared" si="116"/>
        <v>5.4000000000000003E-3</v>
      </c>
      <c r="P25" s="1481">
        <f t="shared" si="116"/>
        <v>4.7999999999999996E-3</v>
      </c>
      <c r="Q25" s="1481">
        <f t="shared" si="116"/>
        <v>9.300000000000001E-3</v>
      </c>
      <c r="R25" s="1474"/>
      <c r="S25" s="1480">
        <f>B25/B26-1</f>
        <v>5.9040261127922822E-3</v>
      </c>
      <c r="T25" s="1481">
        <f>C25/C26-1</f>
        <v>5.9752176557332781E-3</v>
      </c>
      <c r="U25" s="1481">
        <f>E25/E26-1</f>
        <v>4.9906138119859556E-3</v>
      </c>
      <c r="V25" s="1481">
        <f>F25/F26-1</f>
        <v>9.4305450930933787E-3</v>
      </c>
      <c r="X25" s="1459">
        <f>ROUND(SUMPRODUCT(PRODUCT(1+N25:N$28)),4)</f>
        <v>1.0399</v>
      </c>
      <c r="Y25" s="1459">
        <f>ROUND(SUMPRODUCT(PRODUCT(1+O25:O$28)),4)</f>
        <v>1.0451999999999999</v>
      </c>
      <c r="Z25" s="1459">
        <f t="shared" si="0"/>
        <v>1.0451999999999999</v>
      </c>
      <c r="AA25" s="1459">
        <f>ROUND(SUMPRODUCT(PRODUCT(1+P25:P$28)),4)</f>
        <v>1.0387999999999999</v>
      </c>
      <c r="AB25" s="1459">
        <f>ROUND(SUMPRODUCT(PRODUCT(1+Q25:Q$28)),4)</f>
        <v>1.0411999999999999</v>
      </c>
      <c r="AD25" s="1460">
        <f>ROUND(AVERAGE(I25:I$29)/100,4)</f>
        <v>1.38E-2</v>
      </c>
      <c r="AE25" s="1460">
        <f>ROUND(AVERAGE(J25:J$29)/100,4)</f>
        <v>1.3599999999999999E-2</v>
      </c>
      <c r="AF25" s="1460">
        <f t="shared" si="1"/>
        <v>1.3599999999999999E-2</v>
      </c>
      <c r="AG25" s="1460">
        <f>ROUND(AVERAGE(K25:K$29)/100,4)</f>
        <v>1.4200000000000001E-2</v>
      </c>
      <c r="AH25" s="1460">
        <f>ROUND(AVERAGE(L25:L$29)/100,4)</f>
        <v>1.0800000000000001E-2</v>
      </c>
    </row>
    <row r="26" spans="1:34" ht="13.5" thickBot="1">
      <c r="A26" s="1461" t="s">
        <v>147</v>
      </c>
      <c r="B26" s="1490">
        <v>318</v>
      </c>
      <c r="C26" s="1490">
        <v>268</v>
      </c>
      <c r="D26" s="1490">
        <f t="shared" si="119"/>
        <v>268</v>
      </c>
      <c r="E26" s="1490">
        <v>437</v>
      </c>
      <c r="F26" s="1491">
        <v>237</v>
      </c>
      <c r="G26" s="3279">
        <v>2014</v>
      </c>
      <c r="H26" s="1482">
        <v>4</v>
      </c>
      <c r="I26" s="1482">
        <v>0.21</v>
      </c>
      <c r="J26" s="1482">
        <v>0.41</v>
      </c>
      <c r="K26" s="1482">
        <v>0.12</v>
      </c>
      <c r="L26" s="1483">
        <v>0.89</v>
      </c>
      <c r="N26" s="1472">
        <f t="shared" si="121"/>
        <v>2.0999999999999999E-3</v>
      </c>
      <c r="O26" s="1473">
        <f t="shared" si="116"/>
        <v>4.0999999999999995E-3</v>
      </c>
      <c r="P26" s="1473">
        <f t="shared" si="116"/>
        <v>1.1999999999999999E-3</v>
      </c>
      <c r="Q26" s="1473">
        <f t="shared" si="116"/>
        <v>8.8999999999999999E-3</v>
      </c>
      <c r="R26" s="1474"/>
      <c r="S26" s="1475"/>
      <c r="T26" s="1476"/>
      <c r="U26" s="1476"/>
      <c r="V26" s="1476"/>
      <c r="X26" s="1459">
        <f>ROUND(SUMPRODUCT(PRODUCT(1+N26:N$28)),4)</f>
        <v>1.0347</v>
      </c>
      <c r="Y26" s="1459">
        <f>ROUND(SUMPRODUCT(PRODUCT(1+O26:O$28)),4)</f>
        <v>1.0395000000000001</v>
      </c>
      <c r="Z26" s="1459">
        <f t="shared" si="0"/>
        <v>1.0395000000000001</v>
      </c>
      <c r="AA26" s="1459">
        <f>ROUND(SUMPRODUCT(PRODUCT(1+P26:P$28)),4)</f>
        <v>1.0338000000000001</v>
      </c>
      <c r="AB26" s="1459">
        <f>ROUND(SUMPRODUCT(PRODUCT(1+Q26:Q$28)),4)</f>
        <v>1.0316000000000001</v>
      </c>
      <c r="AD26" s="1460">
        <f>ROUND(AVERAGE(I26:I$29)/100,4)</f>
        <v>1.6E-2</v>
      </c>
      <c r="AE26" s="1460">
        <f>ROUND(AVERAGE(J26:J$29)/100,4)</f>
        <v>1.5599999999999999E-2</v>
      </c>
      <c r="AF26" s="1460">
        <f t="shared" si="1"/>
        <v>1.5599999999999999E-2</v>
      </c>
      <c r="AG26" s="1460">
        <f>ROUND(AVERAGE(K26:K$29)/100,4)</f>
        <v>1.66E-2</v>
      </c>
      <c r="AH26" s="1460">
        <f>ROUND(AVERAGE(L26:L$29)/100,4)</f>
        <v>1.12E-2</v>
      </c>
    </row>
    <row r="27" spans="1:34">
      <c r="A27" s="1461" t="s">
        <v>146</v>
      </c>
      <c r="B27" s="1477">
        <f t="shared" ref="B27:C29" si="124">B26/(1+N26)</f>
        <v>317.33359944117353</v>
      </c>
      <c r="C27" s="1477">
        <f t="shared" si="124"/>
        <v>266.90568668459315</v>
      </c>
      <c r="D27" s="1477">
        <f t="shared" si="119"/>
        <v>266.90568668459315</v>
      </c>
      <c r="E27" s="1477">
        <f t="shared" ref="E27:F29" si="125">E26/(1+P26)</f>
        <v>436.47622852576905</v>
      </c>
      <c r="F27" s="1477">
        <f t="shared" si="125"/>
        <v>234.90930716622066</v>
      </c>
      <c r="G27" s="3280"/>
      <c r="H27" s="1492">
        <v>3</v>
      </c>
      <c r="I27" s="1492">
        <v>0.83</v>
      </c>
      <c r="J27" s="1492">
        <v>1.47</v>
      </c>
      <c r="K27" s="1492">
        <v>0.65</v>
      </c>
      <c r="L27" s="1493">
        <v>0.72</v>
      </c>
      <c r="N27" s="1472">
        <f t="shared" si="121"/>
        <v>8.3000000000000001E-3</v>
      </c>
      <c r="O27" s="1473">
        <f t="shared" si="116"/>
        <v>1.47E-2</v>
      </c>
      <c r="P27" s="1473">
        <f t="shared" si="116"/>
        <v>6.5000000000000006E-3</v>
      </c>
      <c r="Q27" s="1473">
        <f t="shared" si="116"/>
        <v>7.1999999999999998E-3</v>
      </c>
      <c r="R27" s="1474"/>
      <c r="S27" s="1472"/>
      <c r="T27" s="1473"/>
      <c r="U27" s="1473"/>
      <c r="V27" s="1473"/>
      <c r="X27" s="1459">
        <f>ROUND(SUMPRODUCT(PRODUCT(1+N27:N$28)),4)</f>
        <v>1.0325</v>
      </c>
      <c r="Y27" s="1459">
        <f>ROUND(SUMPRODUCT(PRODUCT(1+O27:O$28)),4)</f>
        <v>1.0353000000000001</v>
      </c>
      <c r="Z27" s="1459">
        <f t="shared" ref="Z27:Z28" si="126">Y27</f>
        <v>1.0353000000000001</v>
      </c>
      <c r="AA27" s="1459">
        <f>ROUND(SUMPRODUCT(PRODUCT(1+P27:P$28)),4)</f>
        <v>1.0326</v>
      </c>
      <c r="AB27" s="1459">
        <f>ROUND(SUMPRODUCT(PRODUCT(1+Q27:Q$28)),4)</f>
        <v>1.0225</v>
      </c>
      <c r="AD27" s="1460">
        <f>ROUND(AVERAGE(I27:I$29)/100,4)</f>
        <v>2.07E-2</v>
      </c>
      <c r="AE27" s="1460">
        <f>ROUND(AVERAGE(J27:J$29)/100,4)</f>
        <v>1.95E-2</v>
      </c>
      <c r="AF27" s="1460">
        <f t="shared" si="1"/>
        <v>1.95E-2</v>
      </c>
      <c r="AG27" s="1460">
        <f>ROUND(AVERAGE(K27:K$29)/100,4)</f>
        <v>2.1700000000000001E-2</v>
      </c>
      <c r="AH27" s="1460">
        <f>ROUND(AVERAGE(L27:L$29)/100,4)</f>
        <v>1.2E-2</v>
      </c>
    </row>
    <row r="28" spans="1:34" ht="13" thickBot="1">
      <c r="A28" s="1461" t="s">
        <v>145</v>
      </c>
      <c r="B28" s="1477">
        <f t="shared" si="124"/>
        <v>314.72141172386546</v>
      </c>
      <c r="C28" s="1477">
        <f t="shared" si="124"/>
        <v>263.03901319069001</v>
      </c>
      <c r="D28" s="1477">
        <f t="shared" si="119"/>
        <v>263.03901319069001</v>
      </c>
      <c r="E28" s="1477">
        <f t="shared" si="125"/>
        <v>433.65745506782821</v>
      </c>
      <c r="F28" s="1477">
        <f t="shared" si="125"/>
        <v>233.23005080045735</v>
      </c>
      <c r="G28" s="3280"/>
      <c r="H28" s="1482">
        <v>2</v>
      </c>
      <c r="I28" s="1482">
        <v>2.4</v>
      </c>
      <c r="J28" s="1482">
        <v>2.0299999999999998</v>
      </c>
      <c r="K28" s="1482">
        <v>2.59</v>
      </c>
      <c r="L28" s="1483">
        <v>1.52</v>
      </c>
      <c r="N28" s="1472">
        <f t="shared" si="121"/>
        <v>2.4E-2</v>
      </c>
      <c r="O28" s="1473">
        <f t="shared" si="116"/>
        <v>2.0299999999999999E-2</v>
      </c>
      <c r="P28" s="1473">
        <f t="shared" si="116"/>
        <v>2.5899999999999999E-2</v>
      </c>
      <c r="Q28" s="1473">
        <f t="shared" si="116"/>
        <v>1.52E-2</v>
      </c>
      <c r="R28" s="1474"/>
      <c r="S28" s="1472"/>
      <c r="T28" s="1473"/>
      <c r="U28" s="1473"/>
      <c r="V28" s="1473"/>
      <c r="X28" s="1459">
        <f>1+N28</f>
        <v>1.024</v>
      </c>
      <c r="Y28" s="1459">
        <f>1+O28</f>
        <v>1.0203</v>
      </c>
      <c r="Z28" s="1459">
        <f t="shared" si="126"/>
        <v>1.0203</v>
      </c>
      <c r="AA28" s="1459">
        <f>1+P28</f>
        <v>1.0259</v>
      </c>
      <c r="AB28" s="1459">
        <f>1+Q28</f>
        <v>1.0152000000000001</v>
      </c>
      <c r="AD28" s="1460">
        <f>ROUND(AVERAGE(I28:I$29)/100,4)</f>
        <v>2.69E-2</v>
      </c>
      <c r="AE28" s="1460">
        <f>ROUND(AVERAGE(J28:J$29)/100,4)</f>
        <v>2.1899999999999999E-2</v>
      </c>
      <c r="AF28" s="1460">
        <f t="shared" ref="AF28" si="127">AE28</f>
        <v>2.1899999999999999E-2</v>
      </c>
      <c r="AG28" s="1460">
        <f>ROUND(AVERAGE(K28:K$29)/100,4)</f>
        <v>2.9399999999999999E-2</v>
      </c>
      <c r="AH28" s="1460">
        <f>ROUND(AVERAGE(L28:L$29)/100,4)</f>
        <v>1.44E-2</v>
      </c>
    </row>
    <row r="29" spans="1:34" s="1498" customFormat="1" ht="13.5" thickBot="1">
      <c r="A29" s="1494" t="s">
        <v>144</v>
      </c>
      <c r="B29" s="1495">
        <f t="shared" si="124"/>
        <v>307.34512863658733</v>
      </c>
      <c r="C29" s="1495">
        <f t="shared" si="124"/>
        <v>257.80556031626975</v>
      </c>
      <c r="D29" s="1495">
        <f t="shared" si="119"/>
        <v>257.80556031626975</v>
      </c>
      <c r="E29" s="1495">
        <f t="shared" si="125"/>
        <v>422.70928459677179</v>
      </c>
      <c r="F29" s="1495">
        <f t="shared" si="125"/>
        <v>229.73803270336617</v>
      </c>
      <c r="G29" s="3281"/>
      <c r="H29" s="1496">
        <v>1</v>
      </c>
      <c r="I29" s="1496">
        <v>2.97</v>
      </c>
      <c r="J29" s="1496">
        <v>2.34</v>
      </c>
      <c r="K29" s="1496">
        <v>3.28</v>
      </c>
      <c r="L29" s="1497">
        <v>1.36</v>
      </c>
      <c r="N29" s="1499">
        <f t="shared" si="121"/>
        <v>2.9700000000000001E-2</v>
      </c>
      <c r="O29" s="1500">
        <f t="shared" si="116"/>
        <v>2.3399999999999997E-2</v>
      </c>
      <c r="P29" s="1500">
        <f t="shared" si="116"/>
        <v>3.2799999999999996E-2</v>
      </c>
      <c r="Q29" s="1500">
        <f t="shared" si="116"/>
        <v>1.3600000000000001E-2</v>
      </c>
      <c r="R29" s="1501"/>
      <c r="S29" s="1502">
        <f>B29/B30-1</f>
        <v>2.7910129219355539E-2</v>
      </c>
      <c r="T29" s="1503">
        <f>C29/C30-1</f>
        <v>2.3037937762975247E-2</v>
      </c>
      <c r="U29" s="1503">
        <f>E29/E30-1</f>
        <v>3.3519033243940788E-2</v>
      </c>
      <c r="V29" s="1503">
        <f>F29/F30-1</f>
        <v>1.2061818076502862E-2</v>
      </c>
      <c r="W29" s="1504" t="s">
        <v>1157</v>
      </c>
      <c r="X29" s="1505">
        <v>1</v>
      </c>
      <c r="Y29" s="1505">
        <v>1</v>
      </c>
      <c r="Z29" s="1505">
        <v>1</v>
      </c>
      <c r="AA29" s="1505">
        <v>1</v>
      </c>
      <c r="AB29" s="1505">
        <v>1</v>
      </c>
      <c r="AD29" s="1727">
        <f>I29/100</f>
        <v>2.9700000000000001E-2</v>
      </c>
      <c r="AE29" s="1727">
        <f>J29/100</f>
        <v>2.3399999999999997E-2</v>
      </c>
      <c r="AF29" s="1727">
        <f>AE29</f>
        <v>2.3399999999999997E-2</v>
      </c>
      <c r="AG29" s="1727">
        <f>K29/100</f>
        <v>3.2799999999999996E-2</v>
      </c>
      <c r="AH29" s="1727">
        <f>L29/100</f>
        <v>1.3600000000000001E-2</v>
      </c>
    </row>
    <row r="30" spans="1:34" ht="13.5" thickBot="1">
      <c r="A30" s="1461" t="s">
        <v>1158</v>
      </c>
      <c r="B30" s="1469">
        <v>299</v>
      </c>
      <c r="C30" s="1469">
        <v>252</v>
      </c>
      <c r="D30" s="1469">
        <f t="shared" si="119"/>
        <v>252</v>
      </c>
      <c r="E30" s="1469">
        <v>409</v>
      </c>
      <c r="F30" s="1470">
        <v>227</v>
      </c>
      <c r="G30" s="3284">
        <v>2013</v>
      </c>
      <c r="H30" s="1506">
        <v>4</v>
      </c>
      <c r="I30" s="1506">
        <v>1.83</v>
      </c>
      <c r="J30" s="1506">
        <v>1.68</v>
      </c>
      <c r="K30" s="1506">
        <v>1.97</v>
      </c>
      <c r="L30" s="1507">
        <v>0.87</v>
      </c>
      <c r="N30" s="1484">
        <f t="shared" si="121"/>
        <v>1.83E-2</v>
      </c>
      <c r="O30" s="1485">
        <f t="shared" si="116"/>
        <v>1.6799999999999999E-2</v>
      </c>
      <c r="P30" s="1485">
        <f t="shared" si="116"/>
        <v>1.9699999999999999E-2</v>
      </c>
      <c r="Q30" s="1485">
        <f t="shared" si="116"/>
        <v>8.6999999999999994E-3</v>
      </c>
      <c r="R30" s="1474"/>
      <c r="S30" s="1475"/>
      <c r="T30" s="1476"/>
      <c r="U30" s="1476"/>
      <c r="V30" s="1476"/>
      <c r="X30" s="1476"/>
      <c r="Y30" s="1476"/>
      <c r="Z30" s="1476"/>
    </row>
    <row r="31" spans="1:34">
      <c r="A31" s="1461" t="s">
        <v>1159</v>
      </c>
      <c r="B31" s="1477">
        <f t="shared" ref="B31:C33" si="128">B30/(1+N30)</f>
        <v>293.62663262299913</v>
      </c>
      <c r="C31" s="1477">
        <f t="shared" si="128"/>
        <v>247.83634933123525</v>
      </c>
      <c r="D31" s="1477">
        <f t="shared" si="119"/>
        <v>247.83634933123525</v>
      </c>
      <c r="E31" s="1477">
        <f t="shared" ref="E31:F33" si="129">E30/(1+P30)</f>
        <v>401.09836226341076</v>
      </c>
      <c r="F31" s="1477">
        <f t="shared" si="129"/>
        <v>225.04213343908003</v>
      </c>
      <c r="G31" s="3285"/>
      <c r="H31" s="1487">
        <v>3</v>
      </c>
      <c r="I31" s="1487">
        <v>1.86</v>
      </c>
      <c r="J31" s="1487">
        <v>1.72</v>
      </c>
      <c r="K31" s="1487">
        <v>1.98</v>
      </c>
      <c r="L31" s="1488">
        <v>0.88</v>
      </c>
      <c r="N31" s="1472">
        <f t="shared" si="121"/>
        <v>1.8600000000000002E-2</v>
      </c>
      <c r="O31" s="1489">
        <f t="shared" si="116"/>
        <v>1.72E-2</v>
      </c>
      <c r="P31" s="1489">
        <f t="shared" si="116"/>
        <v>1.9799999999999998E-2</v>
      </c>
      <c r="Q31" s="1489">
        <f t="shared" si="116"/>
        <v>8.8000000000000005E-3</v>
      </c>
      <c r="R31" s="1474"/>
      <c r="S31" s="1472"/>
      <c r="T31" s="1473"/>
      <c r="U31" s="1473"/>
      <c r="V31" s="1473"/>
    </row>
    <row r="32" spans="1:34" ht="13">
      <c r="A32" s="1461" t="s">
        <v>1160</v>
      </c>
      <c r="B32" s="1477">
        <f t="shared" si="128"/>
        <v>288.2649053828776</v>
      </c>
      <c r="C32" s="1477">
        <f t="shared" si="128"/>
        <v>243.64564425013293</v>
      </c>
      <c r="D32" s="1477">
        <f t="shared" si="119"/>
        <v>243.64564425013293</v>
      </c>
      <c r="E32" s="1477">
        <f t="shared" si="129"/>
        <v>393.31080825986544</v>
      </c>
      <c r="F32" s="1477">
        <f t="shared" si="129"/>
        <v>223.07903790551154</v>
      </c>
      <c r="G32" s="3285"/>
      <c r="H32" s="1465">
        <v>2</v>
      </c>
      <c r="I32" s="1465">
        <v>2.04</v>
      </c>
      <c r="J32" s="1465">
        <v>2.33</v>
      </c>
      <c r="K32" s="1465">
        <v>2.0699999999999998</v>
      </c>
      <c r="L32" s="1479">
        <v>0.69</v>
      </c>
      <c r="N32" s="1472">
        <f t="shared" si="121"/>
        <v>2.0400000000000001E-2</v>
      </c>
      <c r="O32" s="1489">
        <f t="shared" si="116"/>
        <v>2.3300000000000001E-2</v>
      </c>
      <c r="P32" s="1489">
        <f t="shared" si="116"/>
        <v>2.07E-2</v>
      </c>
      <c r="Q32" s="1489">
        <f t="shared" si="116"/>
        <v>6.8999999999999999E-3</v>
      </c>
      <c r="R32" s="1474"/>
      <c r="S32" s="1472"/>
      <c r="T32" s="1473"/>
      <c r="U32" s="1473"/>
      <c r="V32" s="1473"/>
      <c r="X32" s="1508"/>
      <c r="Y32" s="1509"/>
    </row>
    <row r="33" spans="1:26">
      <c r="A33" s="1461" t="s">
        <v>1161</v>
      </c>
      <c r="B33" s="1477">
        <f t="shared" si="128"/>
        <v>282.50186729015837</v>
      </c>
      <c r="C33" s="1477">
        <f t="shared" si="128"/>
        <v>238.09796174155468</v>
      </c>
      <c r="D33" s="1477">
        <f t="shared" si="119"/>
        <v>238.09796174155468</v>
      </c>
      <c r="E33" s="1477">
        <f t="shared" si="129"/>
        <v>385.33438646014054</v>
      </c>
      <c r="F33" s="1477">
        <f t="shared" si="129"/>
        <v>221.55034055567739</v>
      </c>
      <c r="G33" s="3286"/>
      <c r="H33" s="1464">
        <v>1</v>
      </c>
      <c r="I33" s="1464">
        <v>1.67</v>
      </c>
      <c r="J33" s="1464">
        <v>1.31</v>
      </c>
      <c r="K33" s="1464">
        <v>1.85</v>
      </c>
      <c r="L33" s="1478">
        <v>0.96</v>
      </c>
      <c r="N33" s="1480">
        <f t="shared" si="121"/>
        <v>1.67E-2</v>
      </c>
      <c r="O33" s="1481">
        <f t="shared" si="121"/>
        <v>1.3100000000000001E-2</v>
      </c>
      <c r="P33" s="1481">
        <f t="shared" si="121"/>
        <v>1.8500000000000003E-2</v>
      </c>
      <c r="Q33" s="1481">
        <f t="shared" si="121"/>
        <v>9.5999999999999992E-3</v>
      </c>
      <c r="R33" s="1474"/>
      <c r="S33" s="1480">
        <f>B33/B34-1</f>
        <v>1.6193767230785472E-2</v>
      </c>
      <c r="T33" s="1481">
        <f>C33/C34-1</f>
        <v>1.7512657015190891E-2</v>
      </c>
      <c r="U33" s="1481">
        <f>E33/E34-1</f>
        <v>1.6713420739157048E-2</v>
      </c>
      <c r="V33" s="1481">
        <f>F33/F34-1</f>
        <v>7.0470025258062563E-3</v>
      </c>
      <c r="X33" s="1510"/>
      <c r="Y33" s="1460"/>
      <c r="Z33" s="1460"/>
    </row>
    <row r="34" spans="1:26" ht="13.5" thickBot="1">
      <c r="A34" s="1461" t="s">
        <v>1162</v>
      </c>
      <c r="B34" s="1511">
        <v>278</v>
      </c>
      <c r="C34" s="1511">
        <v>234</v>
      </c>
      <c r="D34" s="1511">
        <f t="shared" si="119"/>
        <v>234</v>
      </c>
      <c r="E34" s="1511">
        <v>379</v>
      </c>
      <c r="F34" s="1512">
        <v>220</v>
      </c>
      <c r="G34" s="3279">
        <v>2012</v>
      </c>
      <c r="H34" s="1482">
        <v>4</v>
      </c>
      <c r="I34" s="1482">
        <v>0.91</v>
      </c>
      <c r="J34" s="1482">
        <v>0.68</v>
      </c>
      <c r="K34" s="1482">
        <v>0.98</v>
      </c>
      <c r="L34" s="1483">
        <v>0.9</v>
      </c>
      <c r="N34" s="1472">
        <f t="shared" si="121"/>
        <v>9.1000000000000004E-3</v>
      </c>
      <c r="O34" s="1473">
        <f t="shared" si="121"/>
        <v>6.8000000000000005E-3</v>
      </c>
      <c r="P34" s="1473">
        <f t="shared" si="121"/>
        <v>9.7999999999999997E-3</v>
      </c>
      <c r="Q34" s="1473">
        <f t="shared" si="121"/>
        <v>9.0000000000000011E-3</v>
      </c>
      <c r="R34" s="1474"/>
      <c r="S34" s="1475"/>
      <c r="T34" s="1476"/>
      <c r="U34" s="1476"/>
      <c r="V34" s="1476"/>
      <c r="X34" s="1476"/>
      <c r="Y34" s="1476"/>
      <c r="Z34" s="1476"/>
    </row>
    <row r="35" spans="1:26">
      <c r="A35" s="1461" t="s">
        <v>1163</v>
      </c>
      <c r="B35" s="1477">
        <f>B34/(1+N34)</f>
        <v>275.49301357645425</v>
      </c>
      <c r="C35" s="1477">
        <f>C34/(1+O34)</f>
        <v>232.41954707985698</v>
      </c>
      <c r="D35" s="1477">
        <f t="shared" si="119"/>
        <v>232.41954707985698</v>
      </c>
      <c r="E35" s="1477">
        <f t="shared" ref="E35:F37" si="130">E34/(1+P34)</f>
        <v>375.32184591008121</v>
      </c>
      <c r="F35" s="1477">
        <f t="shared" si="130"/>
        <v>218.03766105054513</v>
      </c>
      <c r="G35" s="3280"/>
      <c r="H35" s="1487">
        <v>3</v>
      </c>
      <c r="I35" s="1487">
        <v>0.09</v>
      </c>
      <c r="J35" s="1487">
        <v>0.28999999999999998</v>
      </c>
      <c r="K35" s="1487">
        <v>-0.01</v>
      </c>
      <c r="L35" s="1488">
        <v>0.57999999999999996</v>
      </c>
      <c r="N35" s="1472">
        <f t="shared" si="121"/>
        <v>8.9999999999999998E-4</v>
      </c>
      <c r="O35" s="1473">
        <f t="shared" si="121"/>
        <v>2.8999999999999998E-3</v>
      </c>
      <c r="P35" s="1473">
        <f t="shared" si="121"/>
        <v>-1E-4</v>
      </c>
      <c r="Q35" s="1473">
        <f t="shared" si="121"/>
        <v>5.7999999999999996E-3</v>
      </c>
      <c r="R35" s="1474"/>
      <c r="S35" s="1472"/>
      <c r="T35" s="1473"/>
      <c r="U35" s="1473"/>
      <c r="V35" s="1473"/>
    </row>
    <row r="36" spans="1:26">
      <c r="A36" s="1461" t="s">
        <v>1164</v>
      </c>
      <c r="B36" s="1477">
        <f>B35/(1+N35)</f>
        <v>275.24529281292263</v>
      </c>
      <c r="C36" s="1477">
        <f>C35/(1+O35)</f>
        <v>231.74747938962707</v>
      </c>
      <c r="D36" s="1477">
        <f t="shared" si="119"/>
        <v>231.74747938962707</v>
      </c>
      <c r="E36" s="1477">
        <f t="shared" si="130"/>
        <v>375.35938184826603</v>
      </c>
      <c r="F36" s="1477">
        <f t="shared" si="130"/>
        <v>216.78033510692495</v>
      </c>
      <c r="G36" s="3280"/>
      <c r="H36" s="1465">
        <v>2</v>
      </c>
      <c r="I36" s="1465">
        <v>0.02</v>
      </c>
      <c r="J36" s="1465">
        <v>0.12</v>
      </c>
      <c r="K36" s="1465">
        <v>-0.08</v>
      </c>
      <c r="L36" s="1479">
        <v>1.24</v>
      </c>
      <c r="N36" s="1472">
        <f t="shared" si="121"/>
        <v>2.0000000000000001E-4</v>
      </c>
      <c r="O36" s="1473">
        <f t="shared" si="121"/>
        <v>1.1999999999999999E-3</v>
      </c>
      <c r="P36" s="1473">
        <f t="shared" si="121"/>
        <v>-8.0000000000000004E-4</v>
      </c>
      <c r="Q36" s="1473">
        <f t="shared" si="121"/>
        <v>1.24E-2</v>
      </c>
      <c r="R36" s="1474"/>
      <c r="S36" s="1472"/>
      <c r="T36" s="1473"/>
      <c r="U36" s="1473"/>
      <c r="V36" s="1473"/>
    </row>
    <row r="37" spans="1:26" ht="13" thickBot="1">
      <c r="A37" s="1461" t="s">
        <v>1165</v>
      </c>
      <c r="B37" s="1477">
        <f>B36/(1+N36)</f>
        <v>275.19025476197027</v>
      </c>
      <c r="C37" s="1513">
        <v>232</v>
      </c>
      <c r="D37" s="1513">
        <f t="shared" si="119"/>
        <v>232</v>
      </c>
      <c r="E37" s="1477">
        <f t="shared" si="130"/>
        <v>375.65990977608692</v>
      </c>
      <c r="F37" s="1477">
        <f t="shared" si="130"/>
        <v>214.12518283971252</v>
      </c>
      <c r="G37" s="3281"/>
      <c r="H37" s="1464">
        <v>1</v>
      </c>
      <c r="I37" s="1464">
        <v>0.02</v>
      </c>
      <c r="J37" s="1464">
        <v>0.13</v>
      </c>
      <c r="K37" s="1464">
        <v>-0.04</v>
      </c>
      <c r="L37" s="1478">
        <v>0.46</v>
      </c>
      <c r="N37" s="1472">
        <f t="shared" si="121"/>
        <v>2.0000000000000001E-4</v>
      </c>
      <c r="O37" s="1473">
        <f t="shared" si="121"/>
        <v>1.2999999999999999E-3</v>
      </c>
      <c r="P37" s="1473">
        <f t="shared" si="121"/>
        <v>-4.0000000000000002E-4</v>
      </c>
      <c r="Q37" s="1473">
        <f t="shared" si="121"/>
        <v>4.5999999999999999E-3</v>
      </c>
      <c r="R37" s="1474"/>
      <c r="S37" s="1480">
        <f>B37/B38-1</f>
        <v>6.9183549807361189E-4</v>
      </c>
      <c r="T37" s="1481">
        <f>C37/C38-1</f>
        <v>0</v>
      </c>
      <c r="U37" s="1481">
        <f>E37/E38-1</f>
        <v>-9.0449527636460303E-4</v>
      </c>
      <c r="V37" s="1481">
        <f>F37/F38-1</f>
        <v>5.2825485432512753E-3</v>
      </c>
      <c r="X37" s="1460"/>
      <c r="Y37" s="1460"/>
      <c r="Z37" s="1460"/>
    </row>
    <row r="38" spans="1:26" ht="13.5" thickBot="1">
      <c r="A38" s="1461" t="s">
        <v>1166</v>
      </c>
      <c r="B38" s="1469">
        <v>275</v>
      </c>
      <c r="C38" s="1469">
        <v>232</v>
      </c>
      <c r="D38" s="1469">
        <f t="shared" si="119"/>
        <v>232</v>
      </c>
      <c r="E38" s="1469">
        <v>376</v>
      </c>
      <c r="F38" s="1470">
        <v>213</v>
      </c>
      <c r="G38" s="3279">
        <v>2011</v>
      </c>
      <c r="H38" s="1482">
        <v>4</v>
      </c>
      <c r="I38" s="1482">
        <v>-0.2</v>
      </c>
      <c r="J38" s="1482">
        <v>0.04</v>
      </c>
      <c r="K38" s="1482">
        <v>-0.34</v>
      </c>
      <c r="L38" s="1483">
        <v>0.46</v>
      </c>
      <c r="N38" s="1484">
        <f t="shared" si="121"/>
        <v>-2E-3</v>
      </c>
      <c r="O38" s="1485">
        <f t="shared" si="121"/>
        <v>4.0000000000000002E-4</v>
      </c>
      <c r="P38" s="1485">
        <f t="shared" si="121"/>
        <v>-3.4000000000000002E-3</v>
      </c>
      <c r="Q38" s="1485">
        <f t="shared" si="121"/>
        <v>4.5999999999999999E-3</v>
      </c>
      <c r="R38" s="1474"/>
      <c r="S38" s="1475"/>
      <c r="T38" s="1476"/>
      <c r="U38" s="1476"/>
      <c r="V38" s="1476"/>
      <c r="X38" s="1476"/>
      <c r="Y38" s="1476"/>
      <c r="Z38" s="1476"/>
    </row>
    <row r="39" spans="1:26">
      <c r="A39" s="1461" t="s">
        <v>1167</v>
      </c>
      <c r="B39" s="1477">
        <f t="shared" ref="B39:C41" si="131">B38/(1+N38)</f>
        <v>275.55110220440883</v>
      </c>
      <c r="C39" s="1477">
        <f t="shared" si="131"/>
        <v>231.90723710515795</v>
      </c>
      <c r="D39" s="1477">
        <f t="shared" si="119"/>
        <v>231.90723710515795</v>
      </c>
      <c r="E39" s="1477">
        <f t="shared" ref="E39:F41" si="132">E38/(1+P38)</f>
        <v>377.28276138872161</v>
      </c>
      <c r="F39" s="1477">
        <f t="shared" si="132"/>
        <v>212.02468644236512</v>
      </c>
      <c r="G39" s="3280">
        <v>2011</v>
      </c>
      <c r="H39" s="1487">
        <v>3</v>
      </c>
      <c r="I39" s="1487">
        <v>0.13</v>
      </c>
      <c r="J39" s="1487">
        <v>0.75</v>
      </c>
      <c r="K39" s="1487">
        <v>-0.08</v>
      </c>
      <c r="L39" s="1488">
        <v>0.53</v>
      </c>
      <c r="N39" s="1472">
        <f t="shared" si="121"/>
        <v>1.2999999999999999E-3</v>
      </c>
      <c r="O39" s="1489">
        <f t="shared" si="121"/>
        <v>7.4999999999999997E-3</v>
      </c>
      <c r="P39" s="1489">
        <f t="shared" si="121"/>
        <v>-8.0000000000000004E-4</v>
      </c>
      <c r="Q39" s="1489">
        <f t="shared" si="121"/>
        <v>5.3E-3</v>
      </c>
      <c r="R39" s="1474"/>
      <c r="S39" s="1472"/>
      <c r="T39" s="1473"/>
      <c r="U39" s="1473"/>
      <c r="V39" s="1473"/>
    </row>
    <row r="40" spans="1:26">
      <c r="A40" s="1461" t="s">
        <v>1168</v>
      </c>
      <c r="B40" s="1477">
        <f t="shared" si="131"/>
        <v>275.19335084830601</v>
      </c>
      <c r="C40" s="1477">
        <f t="shared" si="131"/>
        <v>230.18088050139744</v>
      </c>
      <c r="D40" s="1477">
        <f t="shared" si="119"/>
        <v>230.18088050139744</v>
      </c>
      <c r="E40" s="1477">
        <f t="shared" si="132"/>
        <v>377.58482925212331</v>
      </c>
      <c r="F40" s="1477">
        <f t="shared" si="132"/>
        <v>210.90687997847917</v>
      </c>
      <c r="G40" s="3280">
        <v>2011</v>
      </c>
      <c r="H40" s="1465">
        <v>2</v>
      </c>
      <c r="I40" s="1465">
        <v>-0.4</v>
      </c>
      <c r="J40" s="1465">
        <v>0.17</v>
      </c>
      <c r="K40" s="1465">
        <v>-0.57999999999999996</v>
      </c>
      <c r="L40" s="1479">
        <v>-0.2</v>
      </c>
      <c r="N40" s="1472">
        <f t="shared" si="121"/>
        <v>-4.0000000000000001E-3</v>
      </c>
      <c r="O40" s="1489">
        <f t="shared" si="121"/>
        <v>1.7000000000000001E-3</v>
      </c>
      <c r="P40" s="1489">
        <f t="shared" si="121"/>
        <v>-5.7999999999999996E-3</v>
      </c>
      <c r="Q40" s="1489">
        <f t="shared" si="121"/>
        <v>-2E-3</v>
      </c>
      <c r="R40" s="1474"/>
      <c r="S40" s="1472"/>
      <c r="T40" s="1473"/>
      <c r="U40" s="1473"/>
      <c r="V40" s="1473"/>
    </row>
    <row r="41" spans="1:26" ht="13" thickBot="1">
      <c r="A41" s="1461" t="s">
        <v>1169</v>
      </c>
      <c r="B41" s="1477">
        <f t="shared" si="131"/>
        <v>276.29854502841971</v>
      </c>
      <c r="C41" s="1477">
        <f t="shared" si="131"/>
        <v>229.79023709833027</v>
      </c>
      <c r="D41" s="1477">
        <f t="shared" si="119"/>
        <v>229.79023709833027</v>
      </c>
      <c r="E41" s="1477">
        <f t="shared" si="132"/>
        <v>379.78759731655936</v>
      </c>
      <c r="F41" s="1477">
        <f t="shared" si="132"/>
        <v>211.32953905659235</v>
      </c>
      <c r="G41" s="3281">
        <v>2011</v>
      </c>
      <c r="H41" s="1464">
        <v>1</v>
      </c>
      <c r="I41" s="1464">
        <v>2.65</v>
      </c>
      <c r="J41" s="1464">
        <v>3.76</v>
      </c>
      <c r="K41" s="1464">
        <v>1.89</v>
      </c>
      <c r="L41" s="1478">
        <v>7.95</v>
      </c>
      <c r="N41" s="1480">
        <f t="shared" si="121"/>
        <v>2.6499999999999999E-2</v>
      </c>
      <c r="O41" s="1481">
        <f t="shared" si="121"/>
        <v>3.7599999999999995E-2</v>
      </c>
      <c r="P41" s="1481">
        <f t="shared" si="121"/>
        <v>1.89E-2</v>
      </c>
      <c r="Q41" s="1481">
        <f t="shared" si="121"/>
        <v>7.9500000000000001E-2</v>
      </c>
      <c r="R41" s="1474"/>
      <c r="S41" s="1480">
        <f>B41/B42-1</f>
        <v>2.713213765211786E-2</v>
      </c>
      <c r="T41" s="1481">
        <f>C41/C42-1</f>
        <v>3.9774828499231862E-2</v>
      </c>
      <c r="U41" s="1481">
        <f>E41/E42-1</f>
        <v>1.8197311840641772E-2</v>
      </c>
      <c r="V41" s="1481">
        <f>F41/F42-1</f>
        <v>7.8211933962205826E-2</v>
      </c>
      <c r="X41" s="1460"/>
      <c r="Y41" s="1460"/>
      <c r="Z41" s="1460"/>
    </row>
    <row r="42" spans="1:26" ht="13.5" thickBot="1">
      <c r="A42" s="1461" t="s">
        <v>1170</v>
      </c>
      <c r="B42" s="1469">
        <v>269</v>
      </c>
      <c r="C42" s="1469">
        <v>221</v>
      </c>
      <c r="D42" s="1469">
        <f t="shared" si="119"/>
        <v>221</v>
      </c>
      <c r="E42" s="1469">
        <v>373</v>
      </c>
      <c r="F42" s="1470">
        <v>196</v>
      </c>
      <c r="G42" s="3279">
        <v>2010</v>
      </c>
      <c r="H42" s="1482">
        <v>4</v>
      </c>
      <c r="I42" s="1482">
        <v>5.72</v>
      </c>
      <c r="J42" s="1482">
        <v>6.57</v>
      </c>
      <c r="K42" s="1482">
        <v>5.72</v>
      </c>
      <c r="L42" s="1483">
        <v>2.72</v>
      </c>
      <c r="N42" s="1472">
        <f t="shared" si="121"/>
        <v>5.7200000000000001E-2</v>
      </c>
      <c r="O42" s="1473">
        <f t="shared" si="121"/>
        <v>6.5700000000000008E-2</v>
      </c>
      <c r="P42" s="1473">
        <f t="shared" si="121"/>
        <v>5.7200000000000001E-2</v>
      </c>
      <c r="Q42" s="1473">
        <f t="shared" si="121"/>
        <v>2.7200000000000002E-2</v>
      </c>
      <c r="R42" s="1474"/>
      <c r="S42" s="1475"/>
      <c r="T42" s="1476"/>
      <c r="U42" s="1476"/>
      <c r="V42" s="1476"/>
      <c r="X42" s="1476"/>
      <c r="Y42" s="1476"/>
      <c r="Z42" s="1476"/>
    </row>
    <row r="43" spans="1:26">
      <c r="A43" s="1461" t="s">
        <v>1171</v>
      </c>
      <c r="B43" s="1477">
        <f t="shared" ref="B43:C45" si="133">B42/(1+N42)</f>
        <v>254.44570563753314</v>
      </c>
      <c r="C43" s="1477">
        <f t="shared" si="133"/>
        <v>207.37543398705074</v>
      </c>
      <c r="D43" s="1477">
        <f t="shared" si="119"/>
        <v>207.37543398705074</v>
      </c>
      <c r="E43" s="1477">
        <f t="shared" ref="E43:F45" si="134">E42/(1+P42)</f>
        <v>352.81876655315932</v>
      </c>
      <c r="F43" s="1477">
        <f t="shared" si="134"/>
        <v>190.809968847352</v>
      </c>
      <c r="G43" s="3280">
        <v>2010</v>
      </c>
      <c r="H43" s="1487">
        <v>3</v>
      </c>
      <c r="I43" s="1487">
        <v>4.7300000000000004</v>
      </c>
      <c r="J43" s="1487">
        <v>3.9</v>
      </c>
      <c r="K43" s="1487">
        <v>5.03</v>
      </c>
      <c r="L43" s="1488">
        <v>4.21</v>
      </c>
      <c r="N43" s="1472">
        <f t="shared" si="121"/>
        <v>4.7300000000000002E-2</v>
      </c>
      <c r="O43" s="1473">
        <f t="shared" si="121"/>
        <v>3.9E-2</v>
      </c>
      <c r="P43" s="1473">
        <f t="shared" si="121"/>
        <v>5.0300000000000004E-2</v>
      </c>
      <c r="Q43" s="1473">
        <f t="shared" si="121"/>
        <v>4.2099999999999999E-2</v>
      </c>
      <c r="R43" s="1474"/>
      <c r="S43" s="1472"/>
      <c r="T43" s="1473"/>
      <c r="U43" s="1473"/>
      <c r="V43" s="1473"/>
    </row>
    <row r="44" spans="1:26">
      <c r="A44" s="1461" t="s">
        <v>1172</v>
      </c>
      <c r="B44" s="1477">
        <f t="shared" si="133"/>
        <v>242.95398227588385</v>
      </c>
      <c r="C44" s="1477">
        <f t="shared" si="133"/>
        <v>199.59137053614126</v>
      </c>
      <c r="D44" s="1477">
        <f t="shared" si="119"/>
        <v>199.59137053614126</v>
      </c>
      <c r="E44" s="1477">
        <f t="shared" si="134"/>
        <v>335.92189522342125</v>
      </c>
      <c r="F44" s="1477">
        <f t="shared" si="134"/>
        <v>183.10139991109489</v>
      </c>
      <c r="G44" s="3280">
        <v>2010</v>
      </c>
      <c r="H44" s="1465">
        <v>2</v>
      </c>
      <c r="I44" s="1465">
        <v>4.6900000000000004</v>
      </c>
      <c r="J44" s="1465">
        <v>3.55</v>
      </c>
      <c r="K44" s="1465">
        <v>5.07</v>
      </c>
      <c r="L44" s="1479">
        <v>4.2300000000000004</v>
      </c>
      <c r="N44" s="1472">
        <f t="shared" si="121"/>
        <v>4.6900000000000004E-2</v>
      </c>
      <c r="O44" s="1473">
        <f t="shared" si="121"/>
        <v>3.5499999999999997E-2</v>
      </c>
      <c r="P44" s="1473">
        <f t="shared" si="121"/>
        <v>5.0700000000000002E-2</v>
      </c>
      <c r="Q44" s="1473">
        <f t="shared" si="121"/>
        <v>4.2300000000000004E-2</v>
      </c>
      <c r="R44" s="1474"/>
      <c r="S44" s="1472"/>
      <c r="T44" s="1473"/>
      <c r="U44" s="1473"/>
      <c r="V44" s="1473"/>
    </row>
    <row r="45" spans="1:26" ht="13" thickBot="1">
      <c r="A45" s="1461" t="s">
        <v>1173</v>
      </c>
      <c r="B45" s="1477">
        <f t="shared" si="133"/>
        <v>232.06990378821649</v>
      </c>
      <c r="C45" s="1477">
        <f t="shared" si="133"/>
        <v>192.74878854286936</v>
      </c>
      <c r="D45" s="1477">
        <f t="shared" si="119"/>
        <v>192.74878854286936</v>
      </c>
      <c r="E45" s="1477">
        <f t="shared" si="134"/>
        <v>319.71247284992984</v>
      </c>
      <c r="F45" s="1477">
        <f t="shared" si="134"/>
        <v>175.67053622862409</v>
      </c>
      <c r="G45" s="3281">
        <v>2010</v>
      </c>
      <c r="H45" s="1464">
        <v>1</v>
      </c>
      <c r="I45" s="1464">
        <v>5.4</v>
      </c>
      <c r="J45" s="1464">
        <v>3.2</v>
      </c>
      <c r="K45" s="1464">
        <v>6.16</v>
      </c>
      <c r="L45" s="1478">
        <v>4.51</v>
      </c>
      <c r="N45" s="1472">
        <f t="shared" si="121"/>
        <v>5.4000000000000006E-2</v>
      </c>
      <c r="O45" s="1473">
        <f t="shared" si="121"/>
        <v>3.2000000000000001E-2</v>
      </c>
      <c r="P45" s="1473">
        <f t="shared" si="121"/>
        <v>6.1600000000000002E-2</v>
      </c>
      <c r="Q45" s="1473">
        <f t="shared" si="121"/>
        <v>4.5100000000000001E-2</v>
      </c>
      <c r="R45" s="1474"/>
      <c r="S45" s="1480">
        <f>B45/B46-1</f>
        <v>5.4863199037347599E-2</v>
      </c>
      <c r="T45" s="1481">
        <f>C45/C46-1</f>
        <v>3.0742184721226584E-2</v>
      </c>
      <c r="U45" s="1481">
        <f>E45/E46-1</f>
        <v>6.2167683886810154E-2</v>
      </c>
      <c r="V45" s="1481">
        <f>F45/F46-1</f>
        <v>4.5657953741810031E-2</v>
      </c>
      <c r="X45" s="1460"/>
      <c r="Y45" s="1460"/>
      <c r="Z45" s="1460"/>
    </row>
    <row r="46" spans="1:26" ht="13.5" thickBot="1">
      <c r="A46" s="1461" t="s">
        <v>1174</v>
      </c>
      <c r="B46" s="1469">
        <v>220</v>
      </c>
      <c r="C46" s="1469">
        <v>187</v>
      </c>
      <c r="D46" s="1469">
        <f t="shared" si="119"/>
        <v>187</v>
      </c>
      <c r="E46" s="1469">
        <v>301</v>
      </c>
      <c r="F46" s="1470">
        <v>168</v>
      </c>
      <c r="G46" s="3279">
        <v>2009</v>
      </c>
      <c r="H46" s="1482">
        <v>4</v>
      </c>
      <c r="I46" s="1482">
        <v>2.2999999999999998</v>
      </c>
      <c r="J46" s="1482">
        <v>1.04</v>
      </c>
      <c r="K46" s="1482">
        <v>2.84</v>
      </c>
      <c r="L46" s="1483">
        <v>0.67</v>
      </c>
      <c r="N46" s="1484">
        <f t="shared" si="121"/>
        <v>2.3E-2</v>
      </c>
      <c r="O46" s="1485">
        <f t="shared" si="121"/>
        <v>1.04E-2</v>
      </c>
      <c r="P46" s="1485">
        <f t="shared" si="121"/>
        <v>2.8399999999999998E-2</v>
      </c>
      <c r="Q46" s="1485">
        <f t="shared" si="121"/>
        <v>6.7000000000000002E-3</v>
      </c>
      <c r="R46" s="1474"/>
      <c r="S46" s="1475"/>
      <c r="T46" s="1476"/>
      <c r="U46" s="1476"/>
      <c r="V46" s="1476"/>
      <c r="X46" s="1476"/>
      <c r="Y46" s="1476"/>
      <c r="Z46" s="1476"/>
    </row>
    <row r="47" spans="1:26">
      <c r="A47" s="1461" t="s">
        <v>1175</v>
      </c>
      <c r="B47" s="1477">
        <f t="shared" ref="B47:C49" si="135">B46/(1+N46)</f>
        <v>215.05376344086022</v>
      </c>
      <c r="C47" s="1477">
        <f t="shared" si="135"/>
        <v>185.0752177355503</v>
      </c>
      <c r="D47" s="1477">
        <f t="shared" si="119"/>
        <v>185.0752177355503</v>
      </c>
      <c r="E47" s="1477">
        <f t="shared" ref="E47:F49" si="136">E46/(1+P46)</f>
        <v>292.68767016725008</v>
      </c>
      <c r="F47" s="1477">
        <f t="shared" si="136"/>
        <v>166.88189132810174</v>
      </c>
      <c r="G47" s="3280">
        <v>2009</v>
      </c>
      <c r="H47" s="1487">
        <v>3</v>
      </c>
      <c r="I47" s="1487">
        <v>2.1</v>
      </c>
      <c r="J47" s="1487">
        <v>1.86</v>
      </c>
      <c r="K47" s="1487">
        <v>2.29</v>
      </c>
      <c r="L47" s="1488">
        <v>0.85</v>
      </c>
      <c r="N47" s="1472">
        <f t="shared" si="121"/>
        <v>2.1000000000000001E-2</v>
      </c>
      <c r="O47" s="1489">
        <f t="shared" si="121"/>
        <v>1.8600000000000002E-2</v>
      </c>
      <c r="P47" s="1489">
        <f t="shared" si="121"/>
        <v>2.29E-2</v>
      </c>
      <c r="Q47" s="1489">
        <f t="shared" si="121"/>
        <v>8.5000000000000006E-3</v>
      </c>
      <c r="R47" s="1474"/>
      <c r="S47" s="1472"/>
      <c r="T47" s="1473"/>
      <c r="U47" s="1473"/>
      <c r="V47" s="1473"/>
    </row>
    <row r="48" spans="1:26">
      <c r="A48" s="1461" t="s">
        <v>1176</v>
      </c>
      <c r="B48" s="1477">
        <f t="shared" si="135"/>
        <v>210.630522469011</v>
      </c>
      <c r="C48" s="1477">
        <f t="shared" si="135"/>
        <v>181.69567812247232</v>
      </c>
      <c r="D48" s="1477">
        <f t="shared" si="119"/>
        <v>181.69567812247232</v>
      </c>
      <c r="E48" s="1477">
        <f t="shared" si="136"/>
        <v>286.13517466736738</v>
      </c>
      <c r="F48" s="1477">
        <f t="shared" si="136"/>
        <v>165.47535084591149</v>
      </c>
      <c r="G48" s="3280">
        <v>2009</v>
      </c>
      <c r="H48" s="1465">
        <v>2</v>
      </c>
      <c r="I48" s="1465">
        <v>0.86</v>
      </c>
      <c r="J48" s="1465">
        <v>-1.1299999999999999</v>
      </c>
      <c r="K48" s="1465">
        <v>1.79</v>
      </c>
      <c r="L48" s="1479">
        <v>-2.0699999999999998</v>
      </c>
      <c r="N48" s="1472">
        <f t="shared" si="121"/>
        <v>8.6E-3</v>
      </c>
      <c r="O48" s="1489">
        <f t="shared" si="121"/>
        <v>-1.1299999999999999E-2</v>
      </c>
      <c r="P48" s="1489">
        <f t="shared" si="121"/>
        <v>1.7899999999999999E-2</v>
      </c>
      <c r="Q48" s="1489">
        <f t="shared" si="121"/>
        <v>-2.07E-2</v>
      </c>
      <c r="R48" s="1474"/>
      <c r="S48" s="1472"/>
      <c r="T48" s="1473"/>
      <c r="U48" s="1473"/>
      <c r="V48" s="1473"/>
    </row>
    <row r="49" spans="1:26">
      <c r="A49" s="1461" t="s">
        <v>1177</v>
      </c>
      <c r="B49" s="1477">
        <f t="shared" si="135"/>
        <v>208.83454537875372</v>
      </c>
      <c r="C49" s="1477">
        <f t="shared" si="135"/>
        <v>183.77230517090351</v>
      </c>
      <c r="D49" s="1477">
        <f t="shared" si="119"/>
        <v>183.77230517090351</v>
      </c>
      <c r="E49" s="1477">
        <f t="shared" si="136"/>
        <v>281.10342338870947</v>
      </c>
      <c r="F49" s="1477">
        <f t="shared" si="136"/>
        <v>168.97309388942256</v>
      </c>
      <c r="G49" s="3281">
        <v>2009</v>
      </c>
      <c r="H49" s="1464">
        <v>1</v>
      </c>
      <c r="I49" s="1464">
        <v>-2.64</v>
      </c>
      <c r="J49" s="1464">
        <v>-2.5299999999999998</v>
      </c>
      <c r="K49" s="1464">
        <v>-3.02</v>
      </c>
      <c r="L49" s="1478">
        <v>1.52</v>
      </c>
      <c r="N49" s="1480">
        <f t="shared" si="121"/>
        <v>-2.64E-2</v>
      </c>
      <c r="O49" s="1481">
        <f t="shared" si="121"/>
        <v>-2.53E-2</v>
      </c>
      <c r="P49" s="1481">
        <f t="shared" si="121"/>
        <v>-3.0200000000000001E-2</v>
      </c>
      <c r="Q49" s="1481">
        <f t="shared" si="121"/>
        <v>1.52E-2</v>
      </c>
      <c r="R49" s="1474"/>
      <c r="S49" s="1480">
        <f>B49/B50-1</f>
        <v>-2.4137638417038754E-2</v>
      </c>
      <c r="T49" s="1481">
        <f>C49/C50-1</f>
        <v>-2.248773845264096E-2</v>
      </c>
      <c r="U49" s="1481">
        <f>E49/E50-1</f>
        <v>-2.7323794502735366E-2</v>
      </c>
      <c r="V49" s="1481">
        <f>F49/F50-1</f>
        <v>1.7910204153148035E-2</v>
      </c>
      <c r="X49" s="1460"/>
      <c r="Y49" s="1460"/>
      <c r="Z49" s="1460"/>
    </row>
    <row r="50" spans="1:26" ht="13.5" thickBot="1">
      <c r="A50" s="1461" t="s">
        <v>1178</v>
      </c>
      <c r="B50" s="1511">
        <v>214</v>
      </c>
      <c r="C50" s="1511">
        <v>188</v>
      </c>
      <c r="D50" s="1511">
        <f t="shared" si="119"/>
        <v>188</v>
      </c>
      <c r="E50" s="1511">
        <v>289</v>
      </c>
      <c r="F50" s="1512">
        <v>166</v>
      </c>
      <c r="G50" s="3279">
        <v>2008</v>
      </c>
      <c r="H50" s="1482">
        <v>4</v>
      </c>
      <c r="I50" s="1482">
        <v>1.73</v>
      </c>
      <c r="J50" s="1482">
        <v>0.03</v>
      </c>
      <c r="K50" s="1482">
        <v>2.59</v>
      </c>
      <c r="L50" s="1483">
        <v>-1.66</v>
      </c>
      <c r="N50" s="1472">
        <f t="shared" si="121"/>
        <v>1.7299999999999999E-2</v>
      </c>
      <c r="O50" s="1473">
        <f t="shared" si="121"/>
        <v>2.9999999999999997E-4</v>
      </c>
      <c r="P50" s="1473">
        <f t="shared" si="121"/>
        <v>2.5899999999999999E-2</v>
      </c>
      <c r="Q50" s="1473">
        <f t="shared" si="121"/>
        <v>-1.66E-2</v>
      </c>
      <c r="R50" s="1474"/>
      <c r="S50" s="1475"/>
      <c r="T50" s="1476"/>
      <c r="U50" s="1476"/>
      <c r="V50" s="1476"/>
      <c r="X50" s="1476"/>
      <c r="Y50" s="1476"/>
      <c r="Z50" s="1476"/>
    </row>
    <row r="51" spans="1:26">
      <c r="A51" s="1461" t="s">
        <v>1179</v>
      </c>
      <c r="B51" s="1477">
        <f t="shared" ref="B51:C53" si="137">B50/(1+N50)</f>
        <v>210.36075887152265</v>
      </c>
      <c r="C51" s="1477">
        <f t="shared" si="137"/>
        <v>187.94361691492554</v>
      </c>
      <c r="D51" s="1477">
        <f t="shared" si="119"/>
        <v>187.94361691492554</v>
      </c>
      <c r="E51" s="1477">
        <f t="shared" ref="E51:F53" si="138">E50/(1+P50)</f>
        <v>281.70386977288234</v>
      </c>
      <c r="F51" s="1477">
        <f t="shared" si="138"/>
        <v>168.80211511083994</v>
      </c>
      <c r="G51" s="3280">
        <v>2008</v>
      </c>
      <c r="H51" s="1487">
        <v>3</v>
      </c>
      <c r="I51" s="1487">
        <v>1.96</v>
      </c>
      <c r="J51" s="1487">
        <v>2.36</v>
      </c>
      <c r="K51" s="1487">
        <v>1.82</v>
      </c>
      <c r="L51" s="1488">
        <v>2.2200000000000002</v>
      </c>
      <c r="N51" s="1472">
        <f t="shared" si="121"/>
        <v>1.9599999999999999E-2</v>
      </c>
      <c r="O51" s="1473">
        <f t="shared" si="121"/>
        <v>2.3599999999999999E-2</v>
      </c>
      <c r="P51" s="1473">
        <f t="shared" si="121"/>
        <v>1.8200000000000001E-2</v>
      </c>
      <c r="Q51" s="1473">
        <f t="shared" si="121"/>
        <v>2.2200000000000001E-2</v>
      </c>
      <c r="R51" s="1474"/>
      <c r="S51" s="1472"/>
      <c r="T51" s="1473"/>
      <c r="U51" s="1473"/>
      <c r="V51" s="1473"/>
    </row>
    <row r="52" spans="1:26">
      <c r="A52" s="1461" t="s">
        <v>1180</v>
      </c>
      <c r="B52" s="1477">
        <f t="shared" si="137"/>
        <v>206.31694671589116</v>
      </c>
      <c r="C52" s="1477">
        <f t="shared" si="137"/>
        <v>183.61041121036101</v>
      </c>
      <c r="D52" s="1477">
        <f t="shared" si="119"/>
        <v>183.61041121036101</v>
      </c>
      <c r="E52" s="1477">
        <f t="shared" si="138"/>
        <v>276.66850301795557</v>
      </c>
      <c r="F52" s="1477">
        <f t="shared" si="138"/>
        <v>165.1360938278614</v>
      </c>
      <c r="G52" s="3280">
        <v>2008</v>
      </c>
      <c r="H52" s="1465">
        <v>2</v>
      </c>
      <c r="I52" s="1465">
        <v>4.93</v>
      </c>
      <c r="J52" s="1465">
        <v>7.38</v>
      </c>
      <c r="K52" s="1465">
        <v>3.98</v>
      </c>
      <c r="L52" s="1479">
        <v>6.86</v>
      </c>
      <c r="N52" s="1472">
        <f t="shared" si="121"/>
        <v>4.9299999999999997E-2</v>
      </c>
      <c r="O52" s="1473">
        <f t="shared" si="121"/>
        <v>7.3800000000000004E-2</v>
      </c>
      <c r="P52" s="1473">
        <f t="shared" si="121"/>
        <v>3.9800000000000002E-2</v>
      </c>
      <c r="Q52" s="1473">
        <f t="shared" si="121"/>
        <v>6.8600000000000008E-2</v>
      </c>
      <c r="R52" s="1474"/>
      <c r="S52" s="1472"/>
      <c r="T52" s="1473"/>
      <c r="U52" s="1473"/>
      <c r="V52" s="1473"/>
    </row>
    <row r="53" spans="1:26" s="1517" customFormat="1" ht="13" thickBot="1">
      <c r="A53" s="1461" t="s">
        <v>1181</v>
      </c>
      <c r="B53" s="1514">
        <f t="shared" si="137"/>
        <v>196.62341248059772</v>
      </c>
      <c r="C53" s="1514">
        <f t="shared" si="137"/>
        <v>170.99125648199012</v>
      </c>
      <c r="D53" s="1514">
        <f t="shared" si="119"/>
        <v>170.99125648199012</v>
      </c>
      <c r="E53" s="1514">
        <f t="shared" si="138"/>
        <v>266.07857570490052</v>
      </c>
      <c r="F53" s="1514">
        <f t="shared" si="138"/>
        <v>154.53499328828505</v>
      </c>
      <c r="G53" s="3281">
        <v>2008</v>
      </c>
      <c r="H53" s="1515">
        <v>1</v>
      </c>
      <c r="I53" s="1515">
        <v>4.1399999999999997</v>
      </c>
      <c r="J53" s="1515">
        <v>3.45</v>
      </c>
      <c r="K53" s="1515">
        <v>4.95</v>
      </c>
      <c r="L53" s="1516">
        <v>4.82</v>
      </c>
      <c r="N53" s="1518">
        <f t="shared" si="121"/>
        <v>4.1399999999999999E-2</v>
      </c>
      <c r="O53" s="1519">
        <f t="shared" si="121"/>
        <v>3.4500000000000003E-2</v>
      </c>
      <c r="P53" s="1519">
        <f t="shared" si="121"/>
        <v>4.9500000000000002E-2</v>
      </c>
      <c r="Q53" s="1519">
        <f t="shared" si="121"/>
        <v>4.82E-2</v>
      </c>
      <c r="R53" s="1520"/>
      <c r="S53" s="1518">
        <f>B53/B54-1</f>
        <v>4.5869215322328349E-2</v>
      </c>
      <c r="T53" s="1519">
        <f>C53/C54-1</f>
        <v>3.6310645345394743E-2</v>
      </c>
      <c r="U53" s="1519">
        <f>E53/E54-1</f>
        <v>4.7553447657088688E-2</v>
      </c>
      <c r="V53" s="1519">
        <f>F53/F54-1</f>
        <v>4.4155360055980086E-2</v>
      </c>
      <c r="X53" s="1521"/>
      <c r="Y53" s="1521"/>
      <c r="Z53" s="1521"/>
    </row>
    <row r="54" spans="1:26" ht="13.5" thickBot="1">
      <c r="A54" s="1461" t="s">
        <v>1182</v>
      </c>
      <c r="B54" s="1469">
        <v>188</v>
      </c>
      <c r="C54" s="1469">
        <v>165</v>
      </c>
      <c r="D54" s="1469">
        <f t="shared" si="119"/>
        <v>165</v>
      </c>
      <c r="E54" s="1469">
        <v>254</v>
      </c>
      <c r="F54" s="1470">
        <v>148</v>
      </c>
      <c r="G54" s="3279">
        <v>2007</v>
      </c>
      <c r="H54" s="1522">
        <v>4</v>
      </c>
      <c r="I54" s="1522">
        <v>5.51</v>
      </c>
      <c r="J54" s="1522">
        <v>4.8899999999999997</v>
      </c>
      <c r="K54" s="1522">
        <v>6.43</v>
      </c>
      <c r="L54" s="1523">
        <v>5.36</v>
      </c>
      <c r="N54" s="1524">
        <f t="shared" ref="N54:O57" si="139">B54/B55-1</f>
        <v>4.1339718365245526E-2</v>
      </c>
      <c r="O54" s="1525">
        <f t="shared" si="139"/>
        <v>4.0324492593776018E-2</v>
      </c>
      <c r="P54" s="1525">
        <f t="shared" ref="P54:Q57" si="140">E54/E55-1</f>
        <v>6.1625555347990968E-2</v>
      </c>
      <c r="Q54" s="1525">
        <f t="shared" si="140"/>
        <v>4.6757569250590603E-2</v>
      </c>
      <c r="R54" s="1474"/>
      <c r="S54" s="1475"/>
      <c r="T54" s="1476"/>
      <c r="U54" s="1476"/>
      <c r="V54" s="1476"/>
      <c r="X54" s="1476"/>
      <c r="Y54" s="1476"/>
      <c r="Z54" s="1476"/>
    </row>
    <row r="55" spans="1:26">
      <c r="A55" s="1461" t="s">
        <v>1183</v>
      </c>
      <c r="B55" s="1477">
        <f t="shared" ref="B55:C57" si="141">B56+(B$54-B$58)*I55/SUM(I$54:I$57)</f>
        <v>180.5366651097618</v>
      </c>
      <c r="C55" s="1477">
        <f t="shared" si="141"/>
        <v>158.60435967302453</v>
      </c>
      <c r="D55" s="1477">
        <f t="shared" si="119"/>
        <v>158.60435967302453</v>
      </c>
      <c r="E55" s="1477">
        <f t="shared" ref="E55:F57" si="142">E56+(E$54-E$58)*K55/SUM(K$54:K$57)</f>
        <v>239.25573260785075</v>
      </c>
      <c r="F55" s="1477">
        <f t="shared" si="142"/>
        <v>141.38899430740037</v>
      </c>
      <c r="G55" s="3280">
        <v>2007</v>
      </c>
      <c r="H55" s="1487">
        <v>3</v>
      </c>
      <c r="I55" s="1487">
        <v>8.65</v>
      </c>
      <c r="J55" s="1487">
        <v>8.06</v>
      </c>
      <c r="K55" s="1487">
        <v>9.94</v>
      </c>
      <c r="L55" s="1488">
        <v>5.8</v>
      </c>
      <c r="N55" s="1524">
        <f t="shared" si="139"/>
        <v>6.940217571740015E-2</v>
      </c>
      <c r="O55" s="1525">
        <f t="shared" si="139"/>
        <v>7.1197482471153428E-2</v>
      </c>
      <c r="P55" s="1525">
        <f t="shared" si="140"/>
        <v>0.10529679922579582</v>
      </c>
      <c r="Q55" s="1525">
        <f t="shared" si="140"/>
        <v>5.3292245059512133E-2</v>
      </c>
      <c r="R55" s="1474"/>
      <c r="S55" s="1472"/>
      <c r="T55" s="1473"/>
      <c r="U55" s="1473"/>
      <c r="V55" s="1473"/>
      <c r="X55" s="1526"/>
      <c r="Y55" s="1526"/>
      <c r="Z55" s="1526"/>
    </row>
    <row r="56" spans="1:26">
      <c r="A56" s="1461" t="s">
        <v>1184</v>
      </c>
      <c r="B56" s="1477">
        <f t="shared" si="141"/>
        <v>168.82017748715555</v>
      </c>
      <c r="C56" s="1477">
        <f t="shared" si="141"/>
        <v>148.06267029972753</v>
      </c>
      <c r="D56" s="1477">
        <f t="shared" si="119"/>
        <v>148.06267029972753</v>
      </c>
      <c r="E56" s="1477">
        <f t="shared" si="142"/>
        <v>216.46288379323747</v>
      </c>
      <c r="F56" s="1477">
        <f t="shared" si="142"/>
        <v>134.23529411764704</v>
      </c>
      <c r="G56" s="3280">
        <v>2007</v>
      </c>
      <c r="H56" s="1465">
        <v>2</v>
      </c>
      <c r="I56" s="1465">
        <v>3.67</v>
      </c>
      <c r="J56" s="1465">
        <v>2.3199999999999998</v>
      </c>
      <c r="K56" s="1465">
        <v>5.0199999999999996</v>
      </c>
      <c r="L56" s="1479">
        <v>6.71</v>
      </c>
      <c r="N56" s="1524">
        <f t="shared" si="139"/>
        <v>3.0339138143848032E-2</v>
      </c>
      <c r="O56" s="1525">
        <f t="shared" si="139"/>
        <v>2.0922341588790472E-2</v>
      </c>
      <c r="P56" s="1525">
        <f t="shared" si="140"/>
        <v>5.6164796592717003E-2</v>
      </c>
      <c r="Q56" s="1525">
        <f t="shared" si="140"/>
        <v>6.5704536723887319E-2</v>
      </c>
      <c r="R56" s="1474"/>
      <c r="S56" s="1472"/>
      <c r="T56" s="1473"/>
      <c r="U56" s="1473"/>
      <c r="V56" s="1473"/>
      <c r="X56" s="1526"/>
      <c r="Y56" s="1526"/>
      <c r="Z56" s="1526"/>
    </row>
    <row r="57" spans="1:26">
      <c r="A57" s="1461" t="s">
        <v>1185</v>
      </c>
      <c r="B57" s="1477">
        <f t="shared" si="141"/>
        <v>163.84913591779542</v>
      </c>
      <c r="C57" s="1477">
        <f t="shared" si="141"/>
        <v>145.0283378746594</v>
      </c>
      <c r="D57" s="1477">
        <f t="shared" si="119"/>
        <v>145.0283378746594</v>
      </c>
      <c r="E57" s="1477">
        <f t="shared" si="142"/>
        <v>204.95180722891567</v>
      </c>
      <c r="F57" s="1477">
        <f t="shared" si="142"/>
        <v>125.95920303605313</v>
      </c>
      <c r="G57" s="3281">
        <v>2007</v>
      </c>
      <c r="H57" s="1464">
        <v>1</v>
      </c>
      <c r="I57" s="1464">
        <v>3.58</v>
      </c>
      <c r="J57" s="1464">
        <v>3.08</v>
      </c>
      <c r="K57" s="1464">
        <v>4.34</v>
      </c>
      <c r="L57" s="1478">
        <v>3.21</v>
      </c>
      <c r="N57" s="1527">
        <f t="shared" si="139"/>
        <v>3.0497710174814063E-2</v>
      </c>
      <c r="O57" s="1528">
        <f t="shared" si="139"/>
        <v>2.8569772160704998E-2</v>
      </c>
      <c r="P57" s="1528">
        <f t="shared" si="140"/>
        <v>5.1034908866234296E-2</v>
      </c>
      <c r="Q57" s="1528">
        <f t="shared" si="140"/>
        <v>3.245248390207478E-2</v>
      </c>
      <c r="R57" s="1474"/>
      <c r="S57" s="1480">
        <f>B57/B58-1</f>
        <v>3.0497710174814063E-2</v>
      </c>
      <c r="T57" s="1481">
        <f>C57/C58-1</f>
        <v>2.8569772160704998E-2</v>
      </c>
      <c r="U57" s="1481">
        <f>E57/E58-1</f>
        <v>5.1034908866234296E-2</v>
      </c>
      <c r="V57" s="1481">
        <f>F57/F58-1</f>
        <v>3.245248390207478E-2</v>
      </c>
      <c r="X57" s="1526"/>
      <c r="Y57" s="1526"/>
      <c r="Z57" s="1526"/>
    </row>
    <row r="58" spans="1:26" ht="13.5" thickBot="1">
      <c r="A58" s="1461" t="s">
        <v>1186</v>
      </c>
      <c r="B58" s="1490">
        <v>159</v>
      </c>
      <c r="C58" s="1490">
        <v>141</v>
      </c>
      <c r="D58" s="1490">
        <f t="shared" si="119"/>
        <v>141</v>
      </c>
      <c r="E58" s="1490">
        <v>195</v>
      </c>
      <c r="F58" s="1491">
        <v>122</v>
      </c>
      <c r="G58" s="3279">
        <v>2006</v>
      </c>
      <c r="H58" s="1482">
        <v>4</v>
      </c>
      <c r="I58" s="1482">
        <v>3.79</v>
      </c>
      <c r="J58" s="1482">
        <v>2.21</v>
      </c>
      <c r="K58" s="1482">
        <v>5.65</v>
      </c>
      <c r="L58" s="1483">
        <v>5.41</v>
      </c>
      <c r="N58" s="1524">
        <f t="shared" ref="N58:O61" si="143">I58/SUM(I$58:I$61)*(B$58/B$62-1)</f>
        <v>7.245466462748526E-2</v>
      </c>
      <c r="O58" s="1525">
        <f t="shared" si="143"/>
        <v>2.3237230038062766E-2</v>
      </c>
      <c r="P58" s="1525">
        <f t="shared" ref="P58:Q61" si="144">K58/SUM(K$58:K$61)*(E$58/E$62-1)</f>
        <v>0.16146893866323722</v>
      </c>
      <c r="Q58" s="1525">
        <f t="shared" si="144"/>
        <v>5.0755230321793784E-2</v>
      </c>
      <c r="R58" s="1474"/>
      <c r="S58" s="1475"/>
      <c r="T58" s="1476"/>
      <c r="U58" s="1476"/>
      <c r="V58" s="1476"/>
      <c r="X58" s="1526"/>
      <c r="Y58" s="1526"/>
      <c r="Z58" s="1526"/>
    </row>
    <row r="59" spans="1:26">
      <c r="A59" s="1461" t="s">
        <v>1187</v>
      </c>
      <c r="B59" s="1477">
        <f t="shared" ref="B59:C61" si="145">B60+(B$58-B$62)*I59/SUM(I$58:I$61)</f>
        <v>149.00125628140702</v>
      </c>
      <c r="C59" s="1477">
        <f t="shared" si="145"/>
        <v>137.95592286501378</v>
      </c>
      <c r="D59" s="1477">
        <f t="shared" si="119"/>
        <v>137.95592286501378</v>
      </c>
      <c r="E59" s="1477">
        <f t="shared" ref="E59:F61" si="146">E60+(E$58-E$62)*K59/SUM(K$58:K$61)</f>
        <v>169.97231450719823</v>
      </c>
      <c r="F59" s="1477">
        <f t="shared" si="146"/>
        <v>116.21390374331551</v>
      </c>
      <c r="G59" s="3280">
        <v>2006</v>
      </c>
      <c r="H59" s="1487">
        <v>3</v>
      </c>
      <c r="I59" s="1487">
        <v>0.92</v>
      </c>
      <c r="J59" s="1487">
        <v>1.08</v>
      </c>
      <c r="K59" s="1487">
        <v>0.73</v>
      </c>
      <c r="L59" s="1488">
        <v>1.08</v>
      </c>
      <c r="N59" s="1524">
        <f t="shared" si="143"/>
        <v>1.7587939698492462E-2</v>
      </c>
      <c r="O59" s="1525">
        <f t="shared" si="143"/>
        <v>1.1355750425840628E-2</v>
      </c>
      <c r="P59" s="1525">
        <f t="shared" si="144"/>
        <v>2.0862358446754544E-2</v>
      </c>
      <c r="Q59" s="1525">
        <f t="shared" si="144"/>
        <v>1.0132282578103011E-2</v>
      </c>
      <c r="R59" s="1474"/>
      <c r="S59" s="1472"/>
      <c r="T59" s="1473"/>
      <c r="U59" s="1473"/>
      <c r="V59" s="1473"/>
      <c r="X59" s="1526"/>
      <c r="Y59" s="1526"/>
      <c r="Z59" s="1526"/>
    </row>
    <row r="60" spans="1:26">
      <c r="A60" s="1461" t="s">
        <v>1188</v>
      </c>
      <c r="B60" s="1477">
        <f t="shared" si="145"/>
        <v>146.57412060301507</v>
      </c>
      <c r="C60" s="1477">
        <f t="shared" si="145"/>
        <v>136.46831955922866</v>
      </c>
      <c r="D60" s="1477">
        <f t="shared" si="119"/>
        <v>136.46831955922866</v>
      </c>
      <c r="E60" s="1477">
        <f t="shared" si="146"/>
        <v>166.73864894795128</v>
      </c>
      <c r="F60" s="1477">
        <f t="shared" si="146"/>
        <v>115.05882352941177</v>
      </c>
      <c r="G60" s="3280">
        <v>2006</v>
      </c>
      <c r="H60" s="1465">
        <v>2</v>
      </c>
      <c r="I60" s="1465">
        <v>0.96</v>
      </c>
      <c r="J60" s="1465">
        <v>0.25</v>
      </c>
      <c r="K60" s="1465">
        <v>1.9</v>
      </c>
      <c r="L60" s="1479">
        <v>0.95</v>
      </c>
      <c r="N60" s="1524">
        <f t="shared" si="143"/>
        <v>1.8352632728861701E-2</v>
      </c>
      <c r="O60" s="1525">
        <f t="shared" si="143"/>
        <v>2.6286459319075526E-3</v>
      </c>
      <c r="P60" s="1525">
        <f t="shared" si="144"/>
        <v>5.4299289107991269E-2</v>
      </c>
      <c r="Q60" s="1525">
        <f t="shared" si="144"/>
        <v>8.9126559714794995E-3</v>
      </c>
      <c r="R60" s="1474"/>
      <c r="S60" s="1472"/>
      <c r="T60" s="1473"/>
      <c r="U60" s="1473"/>
      <c r="V60" s="1473"/>
      <c r="X60" s="1526"/>
      <c r="Y60" s="1526"/>
      <c r="Z60" s="1526"/>
    </row>
    <row r="61" spans="1:26">
      <c r="A61" s="1461" t="s">
        <v>1189</v>
      </c>
      <c r="B61" s="1477">
        <f t="shared" si="145"/>
        <v>144.04145728643215</v>
      </c>
      <c r="C61" s="1477">
        <f t="shared" si="145"/>
        <v>136.12396694214877</v>
      </c>
      <c r="D61" s="1477">
        <f t="shared" si="119"/>
        <v>136.12396694214877</v>
      </c>
      <c r="E61" s="1477">
        <f t="shared" si="146"/>
        <v>158.32225913621264</v>
      </c>
      <c r="F61" s="1477">
        <f t="shared" si="146"/>
        <v>114.04278074866311</v>
      </c>
      <c r="G61" s="3281">
        <v>2006</v>
      </c>
      <c r="H61" s="1464">
        <v>1</v>
      </c>
      <c r="I61" s="1464">
        <v>2.29</v>
      </c>
      <c r="J61" s="1464">
        <v>3.72</v>
      </c>
      <c r="K61" s="1464">
        <v>0.75</v>
      </c>
      <c r="L61" s="1478">
        <v>0.04</v>
      </c>
      <c r="N61" s="1527">
        <f t="shared" si="143"/>
        <v>4.3778675988638847E-2</v>
      </c>
      <c r="O61" s="1528">
        <f t="shared" si="143"/>
        <v>3.9114251466784385E-2</v>
      </c>
      <c r="P61" s="1528">
        <f t="shared" si="144"/>
        <v>2.1433929911049188E-2</v>
      </c>
      <c r="Q61" s="1528">
        <f t="shared" si="144"/>
        <v>3.7526972511492629E-4</v>
      </c>
      <c r="R61" s="1474"/>
      <c r="S61" s="1480">
        <f>B61/B62-1</f>
        <v>4.3778675988638716E-2</v>
      </c>
      <c r="T61" s="1481">
        <f>C61/C62-1</f>
        <v>3.91142514667846E-2</v>
      </c>
      <c r="U61" s="1481">
        <f>E61/E62-1</f>
        <v>2.143392991104931E-2</v>
      </c>
      <c r="V61" s="1481">
        <f>F61/F62-1</f>
        <v>3.7526972511492396E-4</v>
      </c>
      <c r="X61" s="1526"/>
      <c r="Y61" s="1526"/>
      <c r="Z61" s="1526"/>
    </row>
    <row r="62" spans="1:26" ht="13.5" thickBot="1">
      <c r="A62" s="1461" t="s">
        <v>1190</v>
      </c>
      <c r="B62" s="1490">
        <v>138</v>
      </c>
      <c r="C62" s="1490">
        <v>131</v>
      </c>
      <c r="D62" s="1490">
        <f t="shared" si="119"/>
        <v>131</v>
      </c>
      <c r="E62" s="1490">
        <v>155</v>
      </c>
      <c r="F62" s="1491">
        <v>114</v>
      </c>
      <c r="G62" s="3279">
        <v>2005</v>
      </c>
      <c r="H62" s="1482">
        <v>4</v>
      </c>
      <c r="I62" s="1482">
        <v>3.29</v>
      </c>
      <c r="J62" s="1482">
        <v>1.44</v>
      </c>
      <c r="K62" s="1482">
        <v>0.66</v>
      </c>
      <c r="L62" s="1483">
        <v>7.78</v>
      </c>
      <c r="N62" s="1524">
        <f t="shared" ref="N62:O65" si="147">I62/SUM(I$62:I$65)*(B$62/B$66-1)</f>
        <v>9.9404603216919935E-2</v>
      </c>
      <c r="O62" s="1525">
        <f t="shared" si="147"/>
        <v>4.7636550760861554E-2</v>
      </c>
      <c r="P62" s="1525">
        <f t="shared" ref="P62:Q65" si="148">K62/SUM(K$62:K$65)*(E$62/E$66-1)</f>
        <v>8.3756345177664976E-2</v>
      </c>
      <c r="Q62" s="1525">
        <f t="shared" si="148"/>
        <v>5.2148766661559584E-2</v>
      </c>
      <c r="R62" s="1474"/>
      <c r="S62" s="1475"/>
      <c r="T62" s="1476"/>
      <c r="U62" s="1476"/>
      <c r="V62" s="1476"/>
      <c r="X62" s="1526"/>
      <c r="Y62" s="1526"/>
      <c r="Z62" s="1526"/>
    </row>
    <row r="63" spans="1:26">
      <c r="A63" s="1461" t="s">
        <v>1191</v>
      </c>
      <c r="B63" s="1477">
        <f t="shared" ref="B63:C65" si="149">B64+(B$62-B$66)*I63/SUM(I$62:I$65)</f>
        <v>125.9720430107527</v>
      </c>
      <c r="C63" s="1477">
        <f t="shared" si="149"/>
        <v>125.1883408071749</v>
      </c>
      <c r="D63" s="1477">
        <f t="shared" si="119"/>
        <v>125.1883408071749</v>
      </c>
      <c r="E63" s="1477">
        <f t="shared" ref="E63:F65" si="150">E64+(E$62-E$66)*K63/SUM(K$62:K$65)</f>
        <v>144.61421319796952</v>
      </c>
      <c r="F63" s="1477">
        <f t="shared" si="150"/>
        <v>108.42008196721311</v>
      </c>
      <c r="G63" s="3280">
        <v>2005</v>
      </c>
      <c r="H63" s="1487">
        <v>3</v>
      </c>
      <c r="I63" s="1487">
        <v>0.46</v>
      </c>
      <c r="J63" s="1487">
        <v>0.32</v>
      </c>
      <c r="K63" s="1487">
        <v>0.42</v>
      </c>
      <c r="L63" s="1488">
        <v>0.64</v>
      </c>
      <c r="N63" s="1524">
        <f t="shared" si="147"/>
        <v>1.3898515951301874E-2</v>
      </c>
      <c r="O63" s="1525">
        <f t="shared" si="147"/>
        <v>1.0585900169080346E-2</v>
      </c>
      <c r="P63" s="1525">
        <f t="shared" si="148"/>
        <v>5.3299492385786795E-2</v>
      </c>
      <c r="Q63" s="1525">
        <f t="shared" si="148"/>
        <v>4.2898728359123568E-3</v>
      </c>
      <c r="R63" s="1474"/>
      <c r="S63" s="1472"/>
      <c r="T63" s="1473"/>
      <c r="U63" s="1473"/>
      <c r="V63" s="1473"/>
      <c r="X63" s="1526"/>
      <c r="Y63" s="1526"/>
      <c r="Z63" s="1526"/>
    </row>
    <row r="64" spans="1:26">
      <c r="A64" s="1461" t="s">
        <v>1192</v>
      </c>
      <c r="B64" s="1477">
        <f t="shared" si="149"/>
        <v>124.29032258064517</v>
      </c>
      <c r="C64" s="1477">
        <f t="shared" si="149"/>
        <v>123.8968609865471</v>
      </c>
      <c r="D64" s="1477">
        <f t="shared" si="119"/>
        <v>123.8968609865471</v>
      </c>
      <c r="E64" s="1477">
        <f t="shared" si="150"/>
        <v>138.00507614213197</v>
      </c>
      <c r="F64" s="1477">
        <f t="shared" si="150"/>
        <v>107.96106557377048</v>
      </c>
      <c r="G64" s="3280">
        <v>2005</v>
      </c>
      <c r="H64" s="1465">
        <v>2</v>
      </c>
      <c r="I64" s="1465">
        <v>0.47</v>
      </c>
      <c r="J64" s="1465">
        <v>0.1</v>
      </c>
      <c r="K64" s="1465">
        <v>0.52</v>
      </c>
      <c r="L64" s="1479">
        <v>0.79</v>
      </c>
      <c r="N64" s="1524">
        <f t="shared" si="147"/>
        <v>1.420065760241713E-2</v>
      </c>
      <c r="O64" s="1525">
        <f t="shared" si="147"/>
        <v>3.3080938028376083E-3</v>
      </c>
      <c r="P64" s="1525">
        <f t="shared" si="148"/>
        <v>6.598984771573603E-2</v>
      </c>
      <c r="Q64" s="1525">
        <f t="shared" si="148"/>
        <v>5.2953117818293153E-3</v>
      </c>
      <c r="R64" s="1474"/>
      <c r="S64" s="1472"/>
      <c r="T64" s="1473"/>
      <c r="U64" s="1473"/>
      <c r="V64" s="1473"/>
      <c r="X64" s="1526"/>
      <c r="Y64" s="1526"/>
      <c r="Z64" s="1526"/>
    </row>
    <row r="65" spans="1:26">
      <c r="A65" s="1461" t="s">
        <v>1193</v>
      </c>
      <c r="B65" s="1477">
        <f t="shared" si="149"/>
        <v>122.57204301075269</v>
      </c>
      <c r="C65" s="1477">
        <f t="shared" si="149"/>
        <v>123.4932735426009</v>
      </c>
      <c r="D65" s="1477">
        <f t="shared" si="119"/>
        <v>123.4932735426009</v>
      </c>
      <c r="E65" s="1477">
        <f t="shared" si="150"/>
        <v>129.82233502538071</v>
      </c>
      <c r="F65" s="1477">
        <f t="shared" si="150"/>
        <v>107.39446721311475</v>
      </c>
      <c r="G65" s="3281">
        <v>2005</v>
      </c>
      <c r="H65" s="1464">
        <v>1</v>
      </c>
      <c r="I65" s="1464">
        <v>0.43</v>
      </c>
      <c r="J65" s="1464">
        <v>0.37</v>
      </c>
      <c r="K65" s="1464">
        <v>0.37</v>
      </c>
      <c r="L65" s="1478">
        <v>0.55000000000000004</v>
      </c>
      <c r="N65" s="1527">
        <f t="shared" si="147"/>
        <v>1.2992090997956099E-2</v>
      </c>
      <c r="O65" s="1528">
        <f t="shared" si="147"/>
        <v>1.2239947070499151E-2</v>
      </c>
      <c r="P65" s="1528">
        <f t="shared" si="148"/>
        <v>4.6954314720812178E-2</v>
      </c>
      <c r="Q65" s="1528">
        <f t="shared" si="148"/>
        <v>3.6866094683621815E-3</v>
      </c>
      <c r="R65" s="1474"/>
      <c r="S65" s="1480">
        <f>B65/B66-1</f>
        <v>1.2992090997956174E-2</v>
      </c>
      <c r="T65" s="1481">
        <f>C65/C66-1</f>
        <v>1.2239947070499246E-2</v>
      </c>
      <c r="U65" s="1481">
        <f>E65/E66-1</f>
        <v>4.695431472081224E-2</v>
      </c>
      <c r="V65" s="1481">
        <f>F65/F66-1</f>
        <v>3.6866094683620787E-3</v>
      </c>
      <c r="X65" s="1526"/>
      <c r="Y65" s="1526"/>
      <c r="Z65" s="1526"/>
    </row>
    <row r="66" spans="1:26" ht="13.5" thickBot="1">
      <c r="A66" s="1461" t="s">
        <v>1194</v>
      </c>
      <c r="B66" s="1511">
        <v>121</v>
      </c>
      <c r="C66" s="1511">
        <v>122</v>
      </c>
      <c r="D66" s="1511">
        <f t="shared" si="119"/>
        <v>122</v>
      </c>
      <c r="E66" s="1511">
        <v>124</v>
      </c>
      <c r="F66" s="1512">
        <v>107</v>
      </c>
      <c r="G66" s="3279">
        <v>2004</v>
      </c>
      <c r="H66" s="1482">
        <v>4</v>
      </c>
      <c r="I66" s="1482">
        <v>0.33</v>
      </c>
      <c r="J66" s="1482">
        <v>0.5</v>
      </c>
      <c r="K66" s="1482">
        <v>0.5</v>
      </c>
      <c r="L66" s="1483">
        <v>0</v>
      </c>
      <c r="N66" s="1524">
        <f t="shared" ref="N66:O69" si="151">I66/SUM(I$66:I$69)*(B$66/B$70-1)</f>
        <v>1.3391770148526898E-2</v>
      </c>
      <c r="O66" s="1525">
        <f t="shared" si="151"/>
        <v>1.063264221158958E-2</v>
      </c>
      <c r="P66" s="1525">
        <f t="shared" ref="P66:Q69" si="152">K66/SUM(K$66:K$69)*(E$66/E$70-1)</f>
        <v>2.2244466688911134E-2</v>
      </c>
      <c r="Q66" s="1525">
        <f t="shared" si="152"/>
        <v>0</v>
      </c>
      <c r="R66" s="1474"/>
      <c r="S66" s="1475"/>
      <c r="T66" s="1476"/>
      <c r="U66" s="1476"/>
      <c r="V66" s="1476"/>
      <c r="X66" s="1526"/>
      <c r="Y66" s="1526"/>
      <c r="Z66" s="1526"/>
    </row>
    <row r="67" spans="1:26">
      <c r="A67" s="1461" t="s">
        <v>1195</v>
      </c>
      <c r="B67" s="1477">
        <f t="shared" ref="B67:C69" si="153">B68+(B$66-B$70)*I67/SUM(I$66:I$69)</f>
        <v>119.51351351351352</v>
      </c>
      <c r="C67" s="1477">
        <f t="shared" si="153"/>
        <v>120.7878787878788</v>
      </c>
      <c r="D67" s="1477">
        <f t="shared" si="119"/>
        <v>120.7878787878788</v>
      </c>
      <c r="E67" s="1477">
        <f t="shared" ref="E67:F69" si="154">E68+(E$66-E$70)*K67/SUM(K$66:K$69)</f>
        <v>121.5975975975976</v>
      </c>
      <c r="F67" s="1477">
        <f t="shared" si="154"/>
        <v>107</v>
      </c>
      <c r="G67" s="3280">
        <v>2004</v>
      </c>
      <c r="H67" s="1487">
        <v>3</v>
      </c>
      <c r="I67" s="1487">
        <v>0.56000000000000005</v>
      </c>
      <c r="J67" s="1487">
        <v>0.8</v>
      </c>
      <c r="K67" s="1487">
        <v>0.83</v>
      </c>
      <c r="L67" s="1488">
        <v>0.06</v>
      </c>
      <c r="N67" s="1524">
        <f t="shared" si="151"/>
        <v>2.2725428130833527E-2</v>
      </c>
      <c r="O67" s="1525">
        <f t="shared" si="151"/>
        <v>1.7012227538543329E-2</v>
      </c>
      <c r="P67" s="1525">
        <f t="shared" si="152"/>
        <v>3.6925814703592477E-2</v>
      </c>
      <c r="Q67" s="1525">
        <f t="shared" si="152"/>
        <v>2.8846153846153744E-2</v>
      </c>
      <c r="R67" s="1474"/>
      <c r="S67" s="1472"/>
      <c r="T67" s="1473"/>
      <c r="U67" s="1473"/>
      <c r="V67" s="1473"/>
      <c r="X67" s="1526"/>
      <c r="Y67" s="1526"/>
      <c r="Z67" s="1526"/>
    </row>
    <row r="68" spans="1:26">
      <c r="A68" s="1461" t="s">
        <v>1196</v>
      </c>
      <c r="B68" s="1477">
        <f t="shared" si="153"/>
        <v>116.99099099099099</v>
      </c>
      <c r="C68" s="1477">
        <f t="shared" si="153"/>
        <v>118.84848484848486</v>
      </c>
      <c r="D68" s="1477">
        <f t="shared" si="119"/>
        <v>118.84848484848486</v>
      </c>
      <c r="E68" s="1477">
        <f t="shared" si="154"/>
        <v>117.60960960960961</v>
      </c>
      <c r="F68" s="1477">
        <f t="shared" si="154"/>
        <v>104</v>
      </c>
      <c r="G68" s="3280">
        <v>2004</v>
      </c>
      <c r="H68" s="1465">
        <v>2</v>
      </c>
      <c r="I68" s="1465">
        <v>1</v>
      </c>
      <c r="J68" s="1465">
        <v>1.5</v>
      </c>
      <c r="K68" s="1465">
        <v>1.5</v>
      </c>
      <c r="L68" s="1479">
        <v>0</v>
      </c>
      <c r="N68" s="1524">
        <f t="shared" si="151"/>
        <v>4.0581121662202721E-2</v>
      </c>
      <c r="O68" s="1525">
        <f t="shared" si="151"/>
        <v>3.1897926634768738E-2</v>
      </c>
      <c r="P68" s="1525">
        <f t="shared" si="152"/>
        <v>6.6733400066733395E-2</v>
      </c>
      <c r="Q68" s="1525">
        <f t="shared" si="152"/>
        <v>0</v>
      </c>
      <c r="R68" s="1474"/>
      <c r="S68" s="1472"/>
      <c r="T68" s="1473"/>
      <c r="U68" s="1473"/>
      <c r="V68" s="1473"/>
      <c r="X68" s="1526"/>
      <c r="Y68" s="1526"/>
      <c r="Z68" s="1526"/>
    </row>
    <row r="69" spans="1:26" s="1517" customFormat="1" ht="13" thickBot="1">
      <c r="A69" s="1461" t="s">
        <v>1197</v>
      </c>
      <c r="B69" s="1514">
        <f t="shared" si="153"/>
        <v>112.48648648648648</v>
      </c>
      <c r="C69" s="1514">
        <f t="shared" si="153"/>
        <v>115.21212121212122</v>
      </c>
      <c r="D69" s="1514">
        <f t="shared" si="119"/>
        <v>115.21212121212122</v>
      </c>
      <c r="E69" s="1514">
        <f t="shared" si="154"/>
        <v>110.4024024024024</v>
      </c>
      <c r="F69" s="1514">
        <f t="shared" si="154"/>
        <v>104</v>
      </c>
      <c r="G69" s="3281">
        <v>2004</v>
      </c>
      <c r="H69" s="1515">
        <v>1</v>
      </c>
      <c r="I69" s="1515">
        <v>0.33</v>
      </c>
      <c r="J69" s="1515">
        <v>0.5</v>
      </c>
      <c r="K69" s="1515">
        <v>0.5</v>
      </c>
      <c r="L69" s="1516">
        <v>0</v>
      </c>
      <c r="N69" s="1529">
        <f t="shared" si="151"/>
        <v>1.3391770148526898E-2</v>
      </c>
      <c r="O69" s="1530">
        <f t="shared" si="151"/>
        <v>1.063264221158958E-2</v>
      </c>
      <c r="P69" s="1530">
        <f t="shared" si="152"/>
        <v>2.2244466688911134E-2</v>
      </c>
      <c r="Q69" s="1530">
        <f t="shared" si="152"/>
        <v>0</v>
      </c>
      <c r="R69" s="1520"/>
      <c r="S69" s="1518">
        <f>B69/B70-1</f>
        <v>1.3391770148526883E-2</v>
      </c>
      <c r="T69" s="1519">
        <f>C69/C70-1</f>
        <v>1.063264221158966E-2</v>
      </c>
      <c r="U69" s="1519">
        <f>E69/E70-1</f>
        <v>2.2244466688911224E-2</v>
      </c>
      <c r="V69" s="1519">
        <f>F69/F70-1</f>
        <v>0</v>
      </c>
      <c r="X69" s="1531"/>
      <c r="Y69" s="1531"/>
      <c r="Z69" s="1531"/>
    </row>
    <row r="70" spans="1:26" ht="13.5" thickBot="1">
      <c r="A70" s="1461" t="s">
        <v>1198</v>
      </c>
      <c r="B70" s="1532">
        <v>111</v>
      </c>
      <c r="C70" s="1532">
        <v>114</v>
      </c>
      <c r="D70" s="1532">
        <f t="shared" si="119"/>
        <v>114</v>
      </c>
      <c r="E70" s="1532">
        <v>108</v>
      </c>
      <c r="F70" s="1533">
        <v>104</v>
      </c>
      <c r="G70" s="3279">
        <v>2003</v>
      </c>
      <c r="H70" s="1522">
        <v>4</v>
      </c>
      <c r="I70" s="1534"/>
      <c r="J70" s="1534"/>
      <c r="K70" s="1534"/>
      <c r="L70" s="1534"/>
      <c r="N70" s="1535"/>
      <c r="O70" s="1534"/>
      <c r="P70" s="1534"/>
      <c r="Q70" s="1534"/>
      <c r="S70" s="1535"/>
      <c r="T70" s="1534"/>
      <c r="U70" s="1534"/>
      <c r="V70" s="1534"/>
      <c r="X70" s="1526"/>
      <c r="Y70" s="1526"/>
      <c r="Z70" s="1526"/>
    </row>
    <row r="71" spans="1:26">
      <c r="A71" s="1461" t="s">
        <v>1199</v>
      </c>
      <c r="B71" s="1536">
        <f t="shared" ref="B71:C73" si="155">B72+(B$70-B$74)/4</f>
        <v>109.75</v>
      </c>
      <c r="C71" s="1536">
        <f t="shared" si="155"/>
        <v>112.25</v>
      </c>
      <c r="D71" s="1536">
        <f t="shared" si="119"/>
        <v>112.25</v>
      </c>
      <c r="E71" s="1536">
        <f t="shared" ref="E71:F73" si="156">E72+(E$70-E$74)/4</f>
        <v>107.25</v>
      </c>
      <c r="F71" s="1536">
        <f t="shared" si="156"/>
        <v>103.5</v>
      </c>
      <c r="G71" s="3280">
        <v>2003</v>
      </c>
      <c r="H71" s="1487">
        <v>3</v>
      </c>
      <c r="I71" s="1534"/>
      <c r="J71" s="1534"/>
      <c r="K71" s="1534"/>
      <c r="L71" s="1534"/>
      <c r="X71" s="1526"/>
      <c r="Y71" s="1526"/>
      <c r="Z71" s="1526"/>
    </row>
    <row r="72" spans="1:26">
      <c r="A72" s="1461" t="s">
        <v>1200</v>
      </c>
      <c r="B72" s="1536">
        <f t="shared" si="155"/>
        <v>108.5</v>
      </c>
      <c r="C72" s="1536">
        <f t="shared" si="155"/>
        <v>110.5</v>
      </c>
      <c r="D72" s="1536">
        <f t="shared" si="119"/>
        <v>110.5</v>
      </c>
      <c r="E72" s="1536">
        <f t="shared" si="156"/>
        <v>106.5</v>
      </c>
      <c r="F72" s="1536">
        <f t="shared" si="156"/>
        <v>103</v>
      </c>
      <c r="G72" s="3280">
        <v>2003</v>
      </c>
      <c r="H72" s="1465">
        <v>2</v>
      </c>
      <c r="I72" s="1534"/>
      <c r="J72" s="1534"/>
      <c r="K72" s="1534"/>
      <c r="L72" s="1534"/>
      <c r="X72" s="1526"/>
      <c r="Y72" s="1526"/>
      <c r="Z72" s="1526"/>
    </row>
    <row r="73" spans="1:26" ht="13" thickBot="1">
      <c r="A73" s="1461" t="s">
        <v>1201</v>
      </c>
      <c r="B73" s="1536">
        <f t="shared" si="155"/>
        <v>107.25</v>
      </c>
      <c r="C73" s="1536">
        <f t="shared" si="155"/>
        <v>108.75</v>
      </c>
      <c r="D73" s="1536">
        <f t="shared" si="119"/>
        <v>108.75</v>
      </c>
      <c r="E73" s="1536">
        <f t="shared" si="156"/>
        <v>105.75</v>
      </c>
      <c r="F73" s="1536">
        <f t="shared" si="156"/>
        <v>102.5</v>
      </c>
      <c r="G73" s="3281">
        <v>2003</v>
      </c>
      <c r="H73" s="1537">
        <v>1</v>
      </c>
      <c r="I73" s="1534"/>
      <c r="J73" s="1534"/>
      <c r="K73" s="1534"/>
      <c r="L73" s="1534"/>
      <c r="S73" s="1472"/>
      <c r="T73" s="1473"/>
      <c r="U73" s="1473"/>
      <c r="X73" s="1526"/>
      <c r="Y73" s="1526"/>
      <c r="Z73" s="1526"/>
    </row>
    <row r="74" spans="1:26" ht="13.5" thickBot="1">
      <c r="A74" s="1461" t="s">
        <v>1202</v>
      </c>
      <c r="B74" s="1538">
        <v>106</v>
      </c>
      <c r="C74" s="1538">
        <v>107</v>
      </c>
      <c r="D74" s="1538">
        <f t="shared" si="119"/>
        <v>107</v>
      </c>
      <c r="E74" s="1538">
        <v>105</v>
      </c>
      <c r="F74" s="1539">
        <v>102</v>
      </c>
      <c r="G74" s="3279">
        <v>2002</v>
      </c>
      <c r="H74" s="1482">
        <v>4</v>
      </c>
      <c r="I74" s="1534"/>
      <c r="J74" s="1534"/>
      <c r="K74" s="1534"/>
      <c r="L74" s="1534"/>
      <c r="N74" s="1535"/>
      <c r="O74" s="1534"/>
      <c r="P74" s="1534"/>
      <c r="Q74" s="1534"/>
      <c r="S74" s="1535"/>
      <c r="T74" s="1534"/>
      <c r="U74" s="1534"/>
      <c r="V74" s="1534"/>
      <c r="X74" s="1526"/>
      <c r="Y74" s="1526"/>
      <c r="Z74" s="1526"/>
    </row>
    <row r="75" spans="1:26">
      <c r="A75" s="1461" t="s">
        <v>1203</v>
      </c>
      <c r="B75" s="1536">
        <f t="shared" ref="B75:C77" si="157">B76+(B$74-B$78)/4</f>
        <v>105</v>
      </c>
      <c r="C75" s="1536">
        <f t="shared" si="157"/>
        <v>106</v>
      </c>
      <c r="D75" s="1536">
        <f t="shared" si="119"/>
        <v>106</v>
      </c>
      <c r="E75" s="1536">
        <f t="shared" ref="E75:F77" si="158">E76+(E$74-E$78)/4</f>
        <v>104.5</v>
      </c>
      <c r="F75" s="1536">
        <f t="shared" si="158"/>
        <v>101.5</v>
      </c>
      <c r="G75" s="3280">
        <v>2002</v>
      </c>
      <c r="H75" s="1487">
        <v>3</v>
      </c>
      <c r="I75" s="1534"/>
      <c r="J75" s="1534"/>
      <c r="K75" s="1534"/>
      <c r="L75" s="1534"/>
      <c r="X75" s="1526"/>
      <c r="Y75" s="1526"/>
      <c r="Z75" s="1526"/>
    </row>
    <row r="76" spans="1:26">
      <c r="A76" s="1461" t="s">
        <v>1204</v>
      </c>
      <c r="B76" s="1536">
        <f t="shared" si="157"/>
        <v>104</v>
      </c>
      <c r="C76" s="1536">
        <f t="shared" si="157"/>
        <v>105</v>
      </c>
      <c r="D76" s="1536">
        <f t="shared" si="119"/>
        <v>105</v>
      </c>
      <c r="E76" s="1536">
        <f t="shared" si="158"/>
        <v>104</v>
      </c>
      <c r="F76" s="1536">
        <f t="shared" si="158"/>
        <v>101</v>
      </c>
      <c r="G76" s="3280">
        <v>2002</v>
      </c>
      <c r="H76" s="1465">
        <v>2</v>
      </c>
      <c r="I76" s="1534"/>
      <c r="J76" s="1534"/>
      <c r="K76" s="1534"/>
      <c r="L76" s="1534"/>
      <c r="X76" s="1526"/>
      <c r="Y76" s="1526"/>
      <c r="Z76" s="1526"/>
    </row>
    <row r="77" spans="1:26" s="1498" customFormat="1" ht="13" thickBot="1">
      <c r="A77" s="1494" t="s">
        <v>1205</v>
      </c>
      <c r="B77" s="1540">
        <f t="shared" si="157"/>
        <v>103</v>
      </c>
      <c r="C77" s="1540">
        <f t="shared" si="157"/>
        <v>104</v>
      </c>
      <c r="D77" s="1540">
        <f t="shared" si="119"/>
        <v>104</v>
      </c>
      <c r="E77" s="1540">
        <f t="shared" si="158"/>
        <v>103.5</v>
      </c>
      <c r="F77" s="1540">
        <f t="shared" si="158"/>
        <v>100.5</v>
      </c>
      <c r="G77" s="3281">
        <v>2002</v>
      </c>
      <c r="H77" s="1541">
        <v>1</v>
      </c>
      <c r="I77" s="1542"/>
      <c r="J77" s="1542"/>
      <c r="K77" s="1542"/>
      <c r="L77" s="1542"/>
      <c r="N77" s="1543"/>
      <c r="S77" s="1543"/>
      <c r="X77" s="1544"/>
      <c r="Y77" s="1544"/>
      <c r="Z77" s="1544"/>
    </row>
    <row r="78" spans="1:26" ht="13.5" thickBot="1">
      <c r="B78" s="1545">
        <v>102</v>
      </c>
      <c r="C78" s="1546">
        <v>103</v>
      </c>
      <c r="D78" s="1546">
        <f t="shared" si="119"/>
        <v>103</v>
      </c>
      <c r="E78" s="1546">
        <v>103</v>
      </c>
      <c r="F78" s="1547">
        <v>100</v>
      </c>
      <c r="I78" s="1534"/>
      <c r="J78" s="1534"/>
      <c r="K78" s="1534"/>
      <c r="L78" s="1534"/>
      <c r="N78" s="1535"/>
      <c r="O78" s="1534"/>
      <c r="P78" s="1534"/>
      <c r="Q78" s="1534"/>
      <c r="S78" s="1535"/>
      <c r="T78" s="1534"/>
      <c r="U78" s="1534"/>
      <c r="V78" s="1534"/>
      <c r="X78" s="1476"/>
      <c r="Y78" s="1476"/>
      <c r="Z78" s="1476"/>
    </row>
    <row r="80" spans="1:26" s="1549" customFormat="1" ht="13">
      <c r="A80" s="1548" t="s">
        <v>1206</v>
      </c>
      <c r="G80" s="1550"/>
      <c r="N80" s="1550"/>
      <c r="S80" s="1550"/>
    </row>
    <row r="81" spans="1:22" s="1549" customFormat="1" ht="13">
      <c r="A81" s="1549" t="s">
        <v>1207</v>
      </c>
      <c r="G81" s="1550"/>
      <c r="N81" s="1550"/>
      <c r="S81" s="1550"/>
    </row>
    <row r="82" spans="1:22" s="1549" customFormat="1" ht="13">
      <c r="A82" s="1549" t="s">
        <v>1208</v>
      </c>
      <c r="G82" s="1550"/>
      <c r="I82" s="1551"/>
      <c r="J82" s="1551"/>
      <c r="K82" s="1551"/>
      <c r="L82" s="1551"/>
      <c r="N82" s="1552"/>
      <c r="O82" s="1551"/>
      <c r="P82" s="1551"/>
      <c r="Q82" s="1551"/>
      <c r="S82" s="1552"/>
      <c r="T82" s="1551"/>
      <c r="U82" s="1551"/>
      <c r="V82" s="1551"/>
    </row>
    <row r="83" spans="1:22" s="1549" customFormat="1" ht="13">
      <c r="A83" s="1549" t="s">
        <v>1209</v>
      </c>
      <c r="G83" s="1550"/>
      <c r="N83" s="1550"/>
      <c r="S83" s="1550"/>
    </row>
    <row r="90" spans="1:22" ht="13" thickBot="1"/>
    <row r="91" spans="1:22" ht="13">
      <c r="G91" s="1471"/>
      <c r="S91" s="1553" t="s">
        <v>1210</v>
      </c>
      <c r="T91" s="1554" t="s">
        <v>1211</v>
      </c>
      <c r="U91" s="1554" t="s">
        <v>1212</v>
      </c>
      <c r="V91" s="1554" t="s">
        <v>1213</v>
      </c>
    </row>
    <row r="92" spans="1:22">
      <c r="G92" s="1471"/>
      <c r="N92" s="1475"/>
      <c r="O92" s="1476"/>
      <c r="P92" s="1476"/>
      <c r="Q92" s="1476"/>
      <c r="S92" s="1555">
        <v>2006</v>
      </c>
      <c r="T92" s="1556">
        <v>15.1</v>
      </c>
      <c r="U92" s="1556">
        <v>7.43</v>
      </c>
      <c r="V92" s="1556">
        <v>26.26</v>
      </c>
    </row>
    <row r="93" spans="1:22">
      <c r="G93" s="1471"/>
      <c r="N93" s="1475"/>
      <c r="O93" s="1476"/>
      <c r="P93" s="1476"/>
      <c r="Q93" s="1476"/>
      <c r="S93" s="1557">
        <v>2005</v>
      </c>
      <c r="T93" s="1558">
        <v>13.9</v>
      </c>
      <c r="U93" s="1558">
        <v>7.49</v>
      </c>
      <c r="V93" s="1558">
        <v>24.92</v>
      </c>
    </row>
    <row r="94" spans="1:22">
      <c r="G94" s="1471"/>
      <c r="N94" s="1475"/>
      <c r="O94" s="1476"/>
      <c r="P94" s="1476"/>
      <c r="Q94" s="1476"/>
      <c r="S94" s="1555">
        <v>2004</v>
      </c>
      <c r="T94" s="1556">
        <v>9.48</v>
      </c>
      <c r="U94" s="1556">
        <v>7.2</v>
      </c>
      <c r="V94" s="1556">
        <v>14.68</v>
      </c>
    </row>
    <row r="95" spans="1:22">
      <c r="G95" s="1471"/>
      <c r="N95" s="1475"/>
      <c r="O95" s="1476"/>
      <c r="P95" s="1476"/>
      <c r="Q95" s="1476"/>
      <c r="S95" s="1557">
        <v>2003</v>
      </c>
      <c r="T95" s="1558">
        <v>4.5</v>
      </c>
      <c r="U95" s="1558">
        <v>6.12</v>
      </c>
      <c r="V95" s="1558">
        <v>2.34</v>
      </c>
    </row>
    <row r="96" spans="1:22" ht="13" thickBot="1">
      <c r="G96" s="1471"/>
      <c r="N96" s="1475"/>
      <c r="O96" s="1476"/>
      <c r="P96" s="1476"/>
      <c r="Q96" s="1476"/>
      <c r="S96" s="1559">
        <v>2002</v>
      </c>
      <c r="T96" s="1560">
        <v>3.59</v>
      </c>
      <c r="U96" s="1560">
        <v>4.54</v>
      </c>
      <c r="V96" s="1560">
        <v>2.5499999999999998</v>
      </c>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row r="112" spans="7:19">
      <c r="G112" s="1471"/>
      <c r="N112" s="1475"/>
      <c r="O112" s="1476"/>
      <c r="P112" s="1476"/>
      <c r="Q112" s="1476"/>
      <c r="S112" s="1471"/>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3B01D-1689-4AF2-B4CE-6DA29B1B2E8E}">
  <sheetPr>
    <tabColor rgb="FF92D050"/>
  </sheetPr>
  <dimension ref="A1:I20"/>
  <sheetViews>
    <sheetView workbookViewId="0">
      <selection activeCell="H7" sqref="H7"/>
    </sheetView>
  </sheetViews>
  <sheetFormatPr defaultRowHeight="14"/>
  <cols>
    <col min="2" max="2" width="21.81640625" customWidth="1"/>
  </cols>
  <sheetData>
    <row r="1" spans="1:9">
      <c r="C1" s="2970" t="s">
        <v>3057</v>
      </c>
      <c r="H1" s="2970" t="s">
        <v>3113</v>
      </c>
    </row>
    <row r="2" spans="1:9">
      <c r="A2">
        <v>1</v>
      </c>
      <c r="B2" s="2970" t="s">
        <v>3056</v>
      </c>
      <c r="C2">
        <v>161.47</v>
      </c>
      <c r="E2" s="2970" t="s">
        <v>3076</v>
      </c>
      <c r="F2">
        <f>C2+C3</f>
        <v>322.94</v>
      </c>
      <c r="G2">
        <v>1</v>
      </c>
      <c r="H2" s="2970">
        <f>10*1.5</f>
        <v>15</v>
      </c>
      <c r="I2">
        <f>H2*F2</f>
        <v>4844.1000000000004</v>
      </c>
    </row>
    <row r="3" spans="1:9">
      <c r="A3">
        <v>2</v>
      </c>
      <c r="B3" s="2970" t="s">
        <v>3058</v>
      </c>
      <c r="C3">
        <v>161.47</v>
      </c>
      <c r="E3" s="2970" t="s">
        <v>3078</v>
      </c>
      <c r="F3">
        <f>SUM(C4:C19)</f>
        <v>2677.7900000000004</v>
      </c>
      <c r="G3">
        <v>0.7</v>
      </c>
      <c r="H3">
        <f>H2*G3</f>
        <v>10.5</v>
      </c>
      <c r="I3">
        <f>H3*F3</f>
        <v>28116.795000000006</v>
      </c>
    </row>
    <row r="4" spans="1:9">
      <c r="A4">
        <v>3</v>
      </c>
      <c r="B4" s="2970" t="s">
        <v>3059</v>
      </c>
      <c r="C4">
        <v>175.58</v>
      </c>
      <c r="F4">
        <f>SUM(F2:F3)</f>
        <v>3000.7300000000005</v>
      </c>
      <c r="H4">
        <f>I4/F4</f>
        <v>10.984292155575476</v>
      </c>
      <c r="I4">
        <f>SUM(I2:I3)</f>
        <v>32960.895000000004</v>
      </c>
    </row>
    <row r="5" spans="1:9">
      <c r="A5">
        <v>4</v>
      </c>
      <c r="B5" s="2970" t="s">
        <v>3060</v>
      </c>
      <c r="C5">
        <v>177.24</v>
      </c>
    </row>
    <row r="6" spans="1:9">
      <c r="A6">
        <v>5</v>
      </c>
      <c r="B6" s="2970" t="s">
        <v>3061</v>
      </c>
      <c r="C6">
        <v>180.55</v>
      </c>
      <c r="H6" s="2970" t="s">
        <v>3114</v>
      </c>
    </row>
    <row r="7" spans="1:9">
      <c r="A7">
        <v>6</v>
      </c>
      <c r="B7" s="2970" t="s">
        <v>3062</v>
      </c>
      <c r="C7">
        <v>179.19</v>
      </c>
      <c r="E7" s="2970"/>
      <c r="H7" s="2970">
        <f>6*2</f>
        <v>12</v>
      </c>
    </row>
    <row r="8" spans="1:9">
      <c r="A8">
        <v>7</v>
      </c>
      <c r="B8" s="2970" t="s">
        <v>3063</v>
      </c>
      <c r="C8">
        <v>172.93</v>
      </c>
      <c r="E8" s="2970"/>
    </row>
    <row r="9" spans="1:9">
      <c r="A9">
        <v>8</v>
      </c>
      <c r="B9" s="2970" t="s">
        <v>3064</v>
      </c>
      <c r="C9" s="2970">
        <v>172.93</v>
      </c>
    </row>
    <row r="10" spans="1:9">
      <c r="A10">
        <v>9</v>
      </c>
      <c r="B10" s="2970" t="s">
        <v>3065</v>
      </c>
      <c r="C10" s="2970">
        <v>177.79</v>
      </c>
    </row>
    <row r="11" spans="1:9">
      <c r="A11">
        <v>10</v>
      </c>
      <c r="B11" s="2970" t="s">
        <v>3066</v>
      </c>
      <c r="C11" s="2970">
        <v>162.53</v>
      </c>
    </row>
    <row r="12" spans="1:9">
      <c r="A12">
        <v>11</v>
      </c>
      <c r="B12" s="2970" t="s">
        <v>3067</v>
      </c>
      <c r="C12" s="2970">
        <v>160.08000000000001</v>
      </c>
    </row>
    <row r="13" spans="1:9">
      <c r="A13">
        <v>12</v>
      </c>
      <c r="B13" s="2970" t="s">
        <v>3068</v>
      </c>
      <c r="C13" s="2970">
        <v>157.41999999999999</v>
      </c>
    </row>
    <row r="14" spans="1:9">
      <c r="A14">
        <v>13</v>
      </c>
      <c r="B14" s="2970" t="s">
        <v>3069</v>
      </c>
      <c r="C14" s="2970">
        <v>157.41999999999999</v>
      </c>
    </row>
    <row r="15" spans="1:9">
      <c r="A15">
        <v>14</v>
      </c>
      <c r="B15" s="2970" t="s">
        <v>3070</v>
      </c>
      <c r="C15" s="2970">
        <v>162.82</v>
      </c>
    </row>
    <row r="16" spans="1:9">
      <c r="A16">
        <v>15</v>
      </c>
      <c r="B16" s="2970" t="s">
        <v>3071</v>
      </c>
      <c r="C16" s="2970">
        <v>163.13</v>
      </c>
    </row>
    <row r="17" spans="1:3">
      <c r="A17">
        <v>16</v>
      </c>
      <c r="B17" s="2970" t="s">
        <v>3072</v>
      </c>
      <c r="C17" s="2970">
        <v>157.41999999999999</v>
      </c>
    </row>
    <row r="18" spans="1:3">
      <c r="A18">
        <v>17</v>
      </c>
      <c r="B18" s="2970" t="s">
        <v>3073</v>
      </c>
      <c r="C18" s="2970">
        <v>157.41999999999999</v>
      </c>
    </row>
    <row r="19" spans="1:3">
      <c r="A19">
        <v>18</v>
      </c>
      <c r="B19" s="2970" t="s">
        <v>3074</v>
      </c>
      <c r="C19" s="2970">
        <v>163.34</v>
      </c>
    </row>
    <row r="20" spans="1:3">
      <c r="C20">
        <f>SUM(C2:C19)</f>
        <v>3000.7300000000005</v>
      </c>
    </row>
  </sheetData>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BC966-0C0F-43D8-9B29-05C6B64E5681}">
  <dimension ref="A1"/>
  <sheetViews>
    <sheetView workbookViewId="0">
      <selection activeCell="B129" sqref="B129"/>
    </sheetView>
  </sheetViews>
  <sheetFormatPr defaultRowHeight="14"/>
  <sheetData/>
  <phoneticPr fontId="14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959" customWidth="1"/>
    <col min="2" max="2" width="37.1796875" style="1959" customWidth="1"/>
    <col min="3" max="3" width="11.36328125" style="1959" customWidth="1"/>
    <col min="4" max="4" width="31.81640625" style="1959" customWidth="1"/>
    <col min="5" max="5" width="0.453125" style="1959" customWidth="1"/>
    <col min="6" max="7" width="13" style="1959" customWidth="1"/>
    <col min="8" max="16384" width="9" style="1959"/>
  </cols>
  <sheetData>
    <row r="1" spans="1:5" ht="18">
      <c r="A1" s="1957" t="s">
        <v>1615</v>
      </c>
      <c r="B1" s="1958"/>
      <c r="C1" s="1958"/>
      <c r="D1" s="1958"/>
      <c r="E1" s="1958"/>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8.5" thickBot="1">
      <c r="A4" s="1960"/>
      <c r="B4" s="2994" t="s">
        <v>1624</v>
      </c>
      <c r="C4" s="2994"/>
      <c r="D4" s="2994"/>
      <c r="E4" s="1960"/>
    </row>
    <row r="5" spans="1:5" ht="16" thickTop="1">
      <c r="A5" s="1958"/>
      <c r="B5" s="2992" t="s">
        <v>1616</v>
      </c>
      <c r="C5" s="1961" t="s">
        <v>1617</v>
      </c>
      <c r="D5" s="1040">
        <f ca="1">结果表!H101</f>
        <v>22407</v>
      </c>
      <c r="E5" s="1958"/>
    </row>
    <row r="6" spans="1:5" ht="15.5">
      <c r="A6" s="1958"/>
      <c r="B6" s="2992"/>
      <c r="C6" s="1961" t="s">
        <v>1618</v>
      </c>
      <c r="D6" s="1040" t="str">
        <f ca="1">NUMBERSTRING(INT(D5*10000),2)&amp;"元整"</f>
        <v>贰亿贰仟肆佰零柒万元整</v>
      </c>
      <c r="E6" s="1958"/>
    </row>
    <row r="7" spans="1:5" ht="15.5">
      <c r="A7" s="1958"/>
      <c r="B7" s="2997"/>
      <c r="C7" s="1962" t="s">
        <v>1619</v>
      </c>
      <c r="D7" s="1041">
        <f ca="1">结果表!H102</f>
        <v>74672</v>
      </c>
      <c r="E7" s="1958"/>
    </row>
    <row r="8" spans="1:5" ht="15.5">
      <c r="A8" s="1958"/>
      <c r="B8" s="2998" t="str">
        <f>结果表!E103</f>
        <v>2.估价师知悉的法定优先受偿款</v>
      </c>
      <c r="C8" s="1963" t="s">
        <v>1620</v>
      </c>
      <c r="D8" s="1041">
        <f>结果表!H103</f>
        <v>0</v>
      </c>
      <c r="E8" s="1958"/>
    </row>
    <row r="9" spans="1:5" ht="15.5">
      <c r="A9" s="1958"/>
      <c r="B9" s="3000"/>
      <c r="C9" s="1961" t="s">
        <v>1618</v>
      </c>
      <c r="D9" s="1040" t="str">
        <f>NUMBERSTRING(INT(D8*10000),2)&amp;"元整"</f>
        <v>零元整</v>
      </c>
      <c r="E9" s="1958"/>
    </row>
    <row r="10" spans="1:5" ht="16">
      <c r="A10" s="1958"/>
      <c r="B10" s="1964" t="s">
        <v>1623</v>
      </c>
      <c r="C10" s="1965" t="s">
        <v>1621</v>
      </c>
      <c r="D10" s="1042">
        <f>结果表!H104</f>
        <v>0</v>
      </c>
      <c r="E10" s="1958"/>
    </row>
    <row r="11" spans="1:5" ht="16">
      <c r="A11" s="1958"/>
      <c r="B11" s="1964" t="s">
        <v>1625</v>
      </c>
      <c r="C11" s="1965" t="s">
        <v>1626</v>
      </c>
      <c r="D11" s="1042">
        <f>结果表!H105</f>
        <v>0</v>
      </c>
      <c r="E11" s="1958"/>
    </row>
    <row r="12" spans="1:5" ht="16">
      <c r="A12" s="1958"/>
      <c r="B12" s="1964" t="s">
        <v>1627</v>
      </c>
      <c r="C12" s="1965" t="s">
        <v>1626</v>
      </c>
      <c r="D12" s="1042">
        <f>结果表!H106</f>
        <v>0</v>
      </c>
      <c r="E12" s="1958"/>
    </row>
    <row r="13" spans="1:5" ht="15.5">
      <c r="A13" s="1958"/>
      <c r="B13" s="2991" t="str">
        <f>结果表!E107</f>
        <v>3.房地产抵押价值</v>
      </c>
      <c r="C13" s="1966" t="s">
        <v>1617</v>
      </c>
      <c r="D13" s="1043">
        <f ca="1">结果表!H107</f>
        <v>22407</v>
      </c>
      <c r="E13" s="1958"/>
    </row>
    <row r="14" spans="1:5" ht="15.5">
      <c r="A14" s="1958"/>
      <c r="B14" s="2992"/>
      <c r="C14" s="1961" t="s">
        <v>1618</v>
      </c>
      <c r="D14" s="1040" t="str">
        <f ca="1">NUMBERSTRING(INT(D13*10000),2)&amp;"元整"</f>
        <v>贰亿贰仟肆佰零柒万元整</v>
      </c>
      <c r="E14" s="1958"/>
    </row>
    <row r="15" spans="1:5" ht="15.5">
      <c r="A15" s="1958"/>
      <c r="B15" s="2997"/>
      <c r="C15" s="1962" t="s">
        <v>1628</v>
      </c>
      <c r="D15" s="1052">
        <f ca="1">结果表!H108</f>
        <v>74672</v>
      </c>
      <c r="E15" s="1958"/>
    </row>
    <row r="16" spans="1:5" ht="15">
      <c r="A16" s="1958"/>
      <c r="B16" s="2998" t="str">
        <f>结果表!E109</f>
        <v>——</v>
      </c>
      <c r="C16" s="1966" t="s">
        <v>1629</v>
      </c>
      <c r="D16" s="1967" t="str">
        <f>结果表!H109</f>
        <v>——</v>
      </c>
      <c r="E16" s="1958"/>
    </row>
    <row r="17" spans="1:5" ht="15.5">
      <c r="A17" s="1958"/>
      <c r="B17" s="2999"/>
      <c r="C17" s="1961" t="s">
        <v>1630</v>
      </c>
      <c r="D17" s="1040" t="e">
        <f>NUMBERSTRING(INT(D16*10000),2)&amp;"元整"</f>
        <v>#VALUE!</v>
      </c>
      <c r="E17" s="1958"/>
    </row>
    <row r="18" spans="1:5" ht="15.5">
      <c r="A18" s="1958"/>
      <c r="B18" s="3000"/>
      <c r="C18" s="1962" t="s">
        <v>1619</v>
      </c>
      <c r="D18" s="1052" t="str">
        <f>结果表!H110</f>
        <v>——</v>
      </c>
      <c r="E18" s="1958"/>
    </row>
    <row r="19" spans="1:5" ht="15.5">
      <c r="A19" s="1958"/>
      <c r="B19" s="2991" t="str">
        <f>结果表!E111</f>
        <v>——</v>
      </c>
      <c r="C19" s="1966" t="s">
        <v>1617</v>
      </c>
      <c r="D19" s="1041" t="str">
        <f>结果表!H111</f>
        <v>——</v>
      </c>
      <c r="E19" s="1958"/>
    </row>
    <row r="20" spans="1:5" ht="15.5">
      <c r="A20" s="1958"/>
      <c r="B20" s="2992"/>
      <c r="C20" s="1961" t="s">
        <v>1630</v>
      </c>
      <c r="D20" s="1040" t="e">
        <f>NUMBERSTRING(INT(D19*10000),2)&amp;"元整"</f>
        <v>#VALUE!</v>
      </c>
      <c r="E20" s="1958"/>
    </row>
    <row r="21" spans="1:5" ht="16" thickBot="1">
      <c r="A21" s="1958"/>
      <c r="B21" s="2993"/>
      <c r="C21" s="1968" t="s">
        <v>1628</v>
      </c>
      <c r="D21" s="1053" t="str">
        <f>结果表!H112</f>
        <v>——</v>
      </c>
      <c r="E21" s="1958"/>
    </row>
    <row r="22" spans="1:5" ht="14.5" thickTop="1">
      <c r="A22" s="1958"/>
      <c r="B22" s="1969" t="s">
        <v>1631</v>
      </c>
      <c r="C22" s="1958"/>
      <c r="D22" s="1958"/>
      <c r="E22" s="1958"/>
    </row>
    <row r="23" spans="1:5">
      <c r="A23" s="1958"/>
      <c r="B23" s="1958"/>
      <c r="C23" s="1958"/>
      <c r="D23" s="1958"/>
      <c r="E23" s="1958"/>
    </row>
    <row r="24" spans="1:5" ht="1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workbookViewId="0">
      <selection activeCell="B1" sqref="B1"/>
    </sheetView>
  </sheetViews>
  <sheetFormatPr defaultColWidth="8.36328125" defaultRowHeight="12.5"/>
  <cols>
    <col min="1" max="1" width="10.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254" width="9" style="295" customWidth="1"/>
    <col min="255" max="16384" width="8.36328125" style="295"/>
  </cols>
  <sheetData>
    <row r="1" spans="1:9" s="244" customFormat="1" ht="21">
      <c r="A1" s="240" t="s">
        <v>2325</v>
      </c>
      <c r="B1" s="1936"/>
      <c r="C1" s="242"/>
      <c r="D1" s="242"/>
      <c r="E1" s="242"/>
      <c r="F1" s="242"/>
      <c r="G1" s="1379">
        <f>MATCH(B1,'数据-取费表'!A6:A16,0)+5</f>
        <v>7</v>
      </c>
    </row>
    <row r="2" spans="1:9" s="244" customFormat="1" ht="18" customHeight="1">
      <c r="A2" s="245" t="s">
        <v>2326</v>
      </c>
      <c r="B2" s="246">
        <f ca="1">IF(D2="——",C52,C52-E2)</f>
        <v>23301</v>
      </c>
      <c r="C2" s="243" t="s">
        <v>2327</v>
      </c>
      <c r="D2" s="2549" t="s">
        <v>70</v>
      </c>
      <c r="E2" s="1440"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77651</v>
      </c>
      <c r="C3" s="243" t="s">
        <v>2329</v>
      </c>
      <c r="D3" s="243"/>
      <c r="E3" s="243"/>
      <c r="F3" s="243"/>
      <c r="G3" s="243"/>
    </row>
    <row r="4" spans="1:9" s="252" customFormat="1" ht="16">
      <c r="A4" s="249" t="s">
        <v>2330</v>
      </c>
      <c r="B4" s="250"/>
      <c r="C4" s="250"/>
      <c r="D4" s="250"/>
      <c r="E4" s="250"/>
      <c r="F4" s="250"/>
      <c r="G4" s="251"/>
    </row>
    <row r="5" spans="1:9" s="258" customFormat="1" ht="13.5" customHeight="1">
      <c r="A5" s="299" t="s">
        <v>2331</v>
      </c>
      <c r="B5" s="254" t="s">
        <v>2332</v>
      </c>
      <c r="C5" s="255">
        <f ca="1">C6+C7+C8</f>
        <v>15642</v>
      </c>
      <c r="D5" s="255" t="s">
        <v>2333</v>
      </c>
      <c r="E5" s="256" t="s">
        <v>2334</v>
      </c>
      <c r="F5" s="256" t="s">
        <v>2335</v>
      </c>
      <c r="G5" s="257"/>
    </row>
    <row r="6" spans="1:9" s="258" customFormat="1" ht="13.5" customHeight="1">
      <c r="A6" s="949" t="s">
        <v>2336</v>
      </c>
      <c r="B6" s="259" t="s">
        <v>2337</v>
      </c>
      <c r="C6" s="260">
        <f ca="1">基准地价修正!V2+基准地价修正!V3</f>
        <v>15121</v>
      </c>
      <c r="D6" s="261"/>
      <c r="E6" s="262"/>
      <c r="F6" s="262"/>
      <c r="G6" s="263"/>
    </row>
    <row r="7" spans="1:9" s="258" customFormat="1" ht="13.5" customHeight="1">
      <c r="A7" s="949" t="s">
        <v>2338</v>
      </c>
      <c r="B7" s="259" t="s">
        <v>2339</v>
      </c>
      <c r="C7" s="264">
        <f ca="1">ROUND(C6*F7,0)</f>
        <v>461</v>
      </c>
      <c r="D7" s="264"/>
      <c r="E7" s="262"/>
      <c r="F7" s="265">
        <f>IF(项目基本情况!B8="出让",0,'数据-取费表'!B48+'数据-取费表'!B49)</f>
        <v>3.0499999999999999E-2</v>
      </c>
      <c r="G7" s="263"/>
    </row>
    <row r="8" spans="1:9" s="267" customFormat="1" ht="13">
      <c r="A8" s="949" t="s">
        <v>2340</v>
      </c>
      <c r="B8" s="259" t="s">
        <v>2341</v>
      </c>
      <c r="C8" s="264">
        <f ca="1">IF(G8="已包含在土地购买价格中","0",IF(B1="",'数据-取费表'!B29,IF(G9="全部缴纳",C9+C10,H9)))</f>
        <v>60</v>
      </c>
      <c r="D8" s="266"/>
      <c r="E8" s="264"/>
      <c r="F8" s="265"/>
      <c r="G8" s="2552" t="s">
        <v>3102</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3" t="s">
        <v>3103</v>
      </c>
      <c r="H9" s="1390"/>
      <c r="I9" s="2554" t="s">
        <v>2343</v>
      </c>
    </row>
    <row r="10" spans="1:9" s="258" customFormat="1" ht="13.5" customHeight="1">
      <c r="A10" s="950" t="s">
        <v>801</v>
      </c>
      <c r="B10" s="268" t="s">
        <v>2344</v>
      </c>
      <c r="C10" s="269">
        <f ca="1">ROUND(D10*E10/10000,0)</f>
        <v>60</v>
      </c>
      <c r="D10" s="1032">
        <f ca="1">IF(B1="",'数据-汇总表'!E6,IF(INDIRECT("'数据-取费表'!c"&amp;$G$1)="住宅",INDIRECT("'数据-取费表'!s"&amp;$G$1),INDIRECT("'数据-取费表'!k"&amp;$G$1)+INDIRECT("'数据-取费表'!s"&amp;$G$1)))</f>
        <v>3000.7300000000005</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3000.7300000000005</v>
      </c>
      <c r="E19" s="255">
        <f>'数据-取费表'!B31</f>
        <v>200</v>
      </c>
      <c r="F19" s="275"/>
      <c r="G19" s="2552" t="s">
        <v>3104</v>
      </c>
    </row>
    <row r="20" spans="1:7" s="258" customFormat="1" ht="13.5" customHeight="1">
      <c r="A20" s="299" t="s">
        <v>2357</v>
      </c>
      <c r="B20" s="254" t="s">
        <v>2358</v>
      </c>
      <c r="C20" s="276">
        <f ca="1">ROUND((C5+C19)*F20,0)</f>
        <v>313</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1536</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1521</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6">
      <c r="A25" s="951" t="s">
        <v>2372</v>
      </c>
      <c r="B25" s="259" t="s">
        <v>2373</v>
      </c>
      <c r="C25" s="1355">
        <f ca="1">ROUND(IF('数据-取费表'!B22&lt;=1,C20*F22*'数据-取费表'!B23/2,C20*(POWER((1+F22),'数据-取费表'!B23/2)-1)),0)</f>
        <v>15</v>
      </c>
      <c r="D25" s="282"/>
      <c r="E25" s="285"/>
      <c r="F25" s="283"/>
      <c r="G25" s="286" t="s">
        <v>2374</v>
      </c>
    </row>
    <row r="26" spans="1:7" s="258" customFormat="1" ht="13">
      <c r="A26" s="951" t="s">
        <v>795</v>
      </c>
      <c r="B26" s="259" t="s">
        <v>2375</v>
      </c>
      <c r="C26" s="282">
        <f ca="1">ROUND(IF('数据-取费表'!B22&lt;=1,F21*F22*'数据-取费表'!B23/2,F21*(POWER((1+F22),'数据-取费表'!B23/2)-1)),4)</f>
        <v>1E-3</v>
      </c>
      <c r="D26" s="282"/>
      <c r="E26" s="285"/>
      <c r="F26" s="283"/>
      <c r="G26" s="287"/>
    </row>
    <row r="27" spans="1:7" s="258" customFormat="1" ht="27">
      <c r="A27" s="299" t="s">
        <v>2376</v>
      </c>
      <c r="B27" s="288" t="s">
        <v>2377</v>
      </c>
      <c r="C27" s="289">
        <f ca="1">C28</f>
        <v>2393</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2393</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21550</v>
      </c>
      <c r="D31" s="274"/>
      <c r="E31" s="255"/>
      <c r="F31" s="294"/>
      <c r="G31" s="278" t="s">
        <v>2386</v>
      </c>
    </row>
    <row r="32" spans="1:7" s="252" customFormat="1" ht="16">
      <c r="A32" s="296" t="s">
        <v>2387</v>
      </c>
      <c r="B32" s="297"/>
      <c r="C32" s="297"/>
      <c r="D32" s="297"/>
      <c r="E32" s="297"/>
      <c r="F32" s="297"/>
      <c r="G32" s="298"/>
    </row>
    <row r="33" spans="1:7" s="258" customFormat="1" ht="13.5" customHeight="1">
      <c r="A33" s="299" t="s">
        <v>782</v>
      </c>
      <c r="B33" s="254" t="s">
        <v>2388</v>
      </c>
      <c r="C33" s="300">
        <f ca="1">SUM(C34:C38)</f>
        <v>1471</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1350</v>
      </c>
      <c r="D34" s="261"/>
      <c r="E34" s="264"/>
      <c r="F34" s="301">
        <f ca="1">IF('数据-取费表'!B24=0,1,IF(B1="",'数据-取费表'!N16,INDIRECT("'数据-取费表'!n"&amp;$G$1)))</f>
        <v>1</v>
      </c>
      <c r="G34" s="263" t="s">
        <v>2390</v>
      </c>
    </row>
    <row r="35" spans="1:7" ht="13.5" customHeight="1">
      <c r="A35" s="951" t="s">
        <v>796</v>
      </c>
      <c r="B35" s="259" t="s">
        <v>2391</v>
      </c>
      <c r="C35" s="264">
        <f ca="1">ROUND(C34*F35,0)</f>
        <v>41</v>
      </c>
      <c r="D35" s="264"/>
      <c r="E35" s="264"/>
      <c r="F35" s="303">
        <f>'数据-取费表'!B33</f>
        <v>0.03</v>
      </c>
      <c r="G35" s="263" t="s">
        <v>2392</v>
      </c>
    </row>
    <row r="36" spans="1:7" ht="26">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60</v>
      </c>
      <c r="D37" s="261">
        <f ca="1">D19</f>
        <v>3000.7300000000005</v>
      </c>
      <c r="E37" s="293">
        <f>'数据-取费表'!B35</f>
        <v>200</v>
      </c>
      <c r="F37" s="303"/>
      <c r="G37" s="305" t="s">
        <v>2396</v>
      </c>
    </row>
    <row r="38" spans="1:7" ht="13.5" customHeight="1">
      <c r="A38" s="951" t="s">
        <v>799</v>
      </c>
      <c r="B38" s="259" t="s">
        <v>2397</v>
      </c>
      <c r="C38" s="264">
        <f ca="1">ROUND(C34*F38,0)</f>
        <v>20</v>
      </c>
      <c r="D38" s="264"/>
      <c r="E38" s="264"/>
      <c r="F38" s="303">
        <f>'数据-取费表'!B36</f>
        <v>1.4999999999999999E-2</v>
      </c>
      <c r="G38" s="263" t="s">
        <v>2392</v>
      </c>
    </row>
    <row r="39" spans="1:7" s="258" customFormat="1" ht="13.5" customHeight="1">
      <c r="A39" s="299" t="s">
        <v>2398</v>
      </c>
      <c r="B39" s="254" t="s">
        <v>2399</v>
      </c>
      <c r="C39" s="276">
        <f ca="1">ROUND(C33*F20,0)</f>
        <v>29</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71</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70</v>
      </c>
      <c r="D42" s="282"/>
      <c r="E42" s="282"/>
      <c r="F42" s="283"/>
      <c r="G42" s="3176" t="s">
        <v>2408</v>
      </c>
    </row>
    <row r="43" spans="1:7" ht="13.5" customHeight="1">
      <c r="A43" s="951" t="s">
        <v>792</v>
      </c>
      <c r="B43" s="259" t="s">
        <v>2409</v>
      </c>
      <c r="C43" s="282">
        <f ca="1">ROUND(IF('数据-取费表'!B22&lt;=1,C39*F22*'数据-取费表'!B21/2,C39*(POWER((1+F22),'数据-取费表'!B21/2)-1)),0)</f>
        <v>1</v>
      </c>
      <c r="D43" s="282"/>
      <c r="E43" s="282"/>
      <c r="F43" s="283"/>
      <c r="G43" s="3177"/>
    </row>
    <row r="44" spans="1:7" ht="13.5" customHeight="1">
      <c r="A44" s="951" t="s">
        <v>793</v>
      </c>
      <c r="B44" s="259" t="s">
        <v>2410</v>
      </c>
      <c r="C44" s="282">
        <f ca="1">ROUND(IF('数据-取费表'!B22&lt;=1,C40*F22*'数据-取费表'!B21/2,C40*(POWER((1+F22),'数据-取费表'!B21/2)-1)),4)</f>
        <v>1E-3</v>
      </c>
      <c r="D44" s="282"/>
      <c r="E44" s="282"/>
      <c r="F44" s="283"/>
      <c r="G44" s="3178"/>
    </row>
    <row r="45" spans="1:7" s="258" customFormat="1" ht="13.5" customHeight="1">
      <c r="A45" s="299" t="s">
        <v>2411</v>
      </c>
      <c r="B45" s="288" t="s">
        <v>2377</v>
      </c>
      <c r="C45" s="289">
        <f ca="1">C46</f>
        <v>225</v>
      </c>
      <c r="D45" s="279">
        <f ca="1">C47</f>
        <v>3.0000000000000001E-3</v>
      </c>
      <c r="E45" s="280" t="s">
        <v>2403</v>
      </c>
      <c r="F45" s="290"/>
      <c r="G45" s="291" t="s">
        <v>2412</v>
      </c>
    </row>
    <row r="46" spans="1:7" s="258" customFormat="1" ht="13.5" customHeight="1">
      <c r="A46" s="951" t="s">
        <v>791</v>
      </c>
      <c r="B46" s="292" t="s">
        <v>2413</v>
      </c>
      <c r="C46" s="293">
        <f ca="1">ROUND((C33+C39)*F27,0)</f>
        <v>225</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1946</v>
      </c>
      <c r="D49" s="276"/>
      <c r="E49" s="276"/>
      <c r="F49" s="308"/>
      <c r="G49" s="278" t="s">
        <v>2418</v>
      </c>
    </row>
    <row r="50" spans="1:7" s="302" customFormat="1" ht="26">
      <c r="A50" s="299" t="s">
        <v>2419</v>
      </c>
      <c r="B50" s="254" t="s">
        <v>2420</v>
      </c>
      <c r="C50" s="276"/>
      <c r="D50" s="276"/>
      <c r="E50" s="276"/>
      <c r="F50" s="308">
        <f>IF('数据-取费表'!B24=0,'数据-取费表'!N16,1)</f>
        <v>0.9</v>
      </c>
      <c r="G50" s="291" t="s">
        <v>2421</v>
      </c>
    </row>
    <row r="51" spans="1:7" ht="16.5" customHeight="1">
      <c r="A51" s="299" t="s">
        <v>2422</v>
      </c>
      <c r="B51" s="254" t="s">
        <v>2423</v>
      </c>
      <c r="C51" s="276">
        <f ca="1">ROUND(C49*F50,0)</f>
        <v>1751</v>
      </c>
      <c r="D51" s="276"/>
      <c r="E51" s="276"/>
      <c r="F51" s="308"/>
      <c r="G51" s="278" t="s">
        <v>2424</v>
      </c>
    </row>
    <row r="52" spans="1:7" s="252" customFormat="1" ht="16.5" thickBot="1">
      <c r="A52" s="309" t="s">
        <v>2425</v>
      </c>
      <c r="B52" s="310"/>
      <c r="C52" s="311">
        <f ca="1">C31+C51</f>
        <v>23301</v>
      </c>
      <c r="D52" s="310"/>
      <c r="E52" s="310"/>
      <c r="F52" s="310"/>
      <c r="G52" s="312"/>
    </row>
    <row r="55" spans="1:7" ht="15.5">
      <c r="B55" s="314" t="s">
        <v>2426</v>
      </c>
      <c r="C55" s="315"/>
    </row>
    <row r="56" spans="1:7" ht="13">
      <c r="B56" s="317" t="s">
        <v>1507</v>
      </c>
      <c r="C56" s="319">
        <f ca="1">1-C57</f>
        <v>0.92500000000000004</v>
      </c>
    </row>
    <row r="57" spans="1:7" ht="13">
      <c r="B57" s="317" t="s">
        <v>1508</v>
      </c>
      <c r="C57" s="318">
        <f ca="1">ROUND(C51/C52,3)</f>
        <v>7.4999999999999997E-2</v>
      </c>
    </row>
  </sheetData>
  <sheetProtection password="C66D" sheet="1" objects="1" scenarios="1" formatCells="0"/>
  <mergeCells count="1">
    <mergeCell ref="G42:G44"/>
  </mergeCells>
  <phoneticPr fontId="14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zoomScale="80" zoomScaleNormal="80" zoomScaleSheetLayoutView="96" workbookViewId="0">
      <selection activeCell="E3" sqref="E3"/>
    </sheetView>
  </sheetViews>
  <sheetFormatPr defaultColWidth="12" defaultRowHeight="12.5"/>
  <cols>
    <col min="1" max="1" width="9.81640625" style="2790" customWidth="1"/>
    <col min="2" max="2" width="19.1796875" style="2896" customWidth="1"/>
    <col min="3" max="4" width="12" style="2722"/>
    <col min="5" max="5" width="14.6328125" style="2722" customWidth="1"/>
    <col min="6" max="8" width="12" style="2722"/>
    <col min="9" max="9" width="12.1796875" style="2722" bestFit="1" customWidth="1"/>
    <col min="10" max="10" width="12" style="2722"/>
    <col min="11" max="11" width="8.08984375" style="2785" customWidth="1"/>
    <col min="12" max="12" width="12" style="2722"/>
    <col min="13" max="13" width="8.453125" style="2722" customWidth="1"/>
    <col min="14" max="14" width="9.81640625" style="2722" customWidth="1"/>
    <col min="15" max="25" width="12" style="2722"/>
    <col min="26" max="26" width="9.36328125" style="2790" customWidth="1"/>
    <col min="27" max="32" width="9.36328125" style="1372" customWidth="1"/>
    <col min="33" max="36" width="9.36328125" style="2790" customWidth="1"/>
    <col min="37" max="38" width="9.36328125" style="2722" customWidth="1"/>
    <col min="39" max="16384" width="12" style="2722"/>
  </cols>
  <sheetData>
    <row r="1" spans="1:36" ht="30">
      <c r="A1" s="240" t="s">
        <v>2803</v>
      </c>
      <c r="B1" s="241"/>
      <c r="C1" s="245" t="s">
        <v>2804</v>
      </c>
      <c r="D1" s="388">
        <f>SUM(D29:D30,D33:D39)</f>
        <v>0</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5">
      <c r="A2" s="245" t="s">
        <v>2811</v>
      </c>
      <c r="B2" s="248">
        <f ca="1">C26</f>
        <v>0</v>
      </c>
      <c r="C2" s="2723" t="s">
        <v>2812</v>
      </c>
      <c r="D2" s="2724" t="s">
        <v>2813</v>
      </c>
      <c r="E2" s="2725" t="s">
        <v>1372</v>
      </c>
      <c r="F2" s="2724" t="s">
        <v>2814</v>
      </c>
      <c r="G2" s="2726" t="str">
        <f>IF(E2="商业",项目基本情况!B37,IF(E2="办公",项目基本情况!C37,IF(E2="住宅",项目基本情况!D37,项目基本情况!E37)))</f>
        <v>二级</v>
      </c>
      <c r="H2" s="2724" t="s">
        <v>2815</v>
      </c>
      <c r="I2" s="2726" t="str">
        <f>IF(E2="商业",项目基本情况!B38,IF(E2="办公",项目基本情况!C38,IF(E2="住宅",项目基本情况!D38,项目基本情况!E38)))</f>
        <v>Ⅱ—12</v>
      </c>
      <c r="J2" s="2727"/>
      <c r="K2" s="1370"/>
      <c r="L2" s="2728" t="s">
        <v>2816</v>
      </c>
      <c r="M2" s="1081">
        <f>SUMPRODUCT((区片价!B10:B28=I2)*(区片价!C3:F3=E2)*(区片价!C10:F28))</f>
        <v>24720</v>
      </c>
      <c r="N2" s="1083">
        <f>SUMPRODUCT((因素修正幅度!B10:B28=I2)*(因素修正幅度!C3:F3=E2)*(因素修正幅度!C10:F28))</f>
        <v>6.6000000000000003E-2</v>
      </c>
      <c r="O2" s="1370"/>
      <c r="P2" s="1370"/>
      <c r="Q2" s="1370"/>
      <c r="R2" s="1602">
        <v>1</v>
      </c>
      <c r="S2" s="1602">
        <f>ROUND(IF(G3&gt;1,IF(R2&lt;7,SUMPRODUCT((B93:B98=R2)*(C92:N92=G2)*(C93:N98)),SUMIF(C92:N92,G2,C100:N100)),IF(R2&lt;7,SUMPRODUCT((B102:B107=R2)*(C92:N92=G2)*(C102:N107)),SUMIF(C92:N92,G2,C109:N109))),4)</f>
        <v>1.9361999999999999</v>
      </c>
      <c r="T2" s="1602">
        <f ca="1">ROUND($C$5*$C$18*$C$19*$C$20*S2*$C$24,0)</f>
        <v>66128</v>
      </c>
      <c r="U2" s="1603">
        <f>Sheet1!F2</f>
        <v>322.94</v>
      </c>
      <c r="V2" s="1602">
        <f ca="1">ROUND(T2*U2/10000,0)</f>
        <v>2136</v>
      </c>
      <c r="W2" s="1606"/>
      <c r="X2" s="1606"/>
      <c r="Y2" s="1606"/>
      <c r="Z2" s="1606"/>
      <c r="AA2" s="1606"/>
      <c r="AB2" s="1606"/>
      <c r="AC2" s="1607"/>
      <c r="AD2" s="1608"/>
      <c r="AE2" s="1608"/>
      <c r="AF2" s="1608"/>
      <c r="AG2" s="1608"/>
      <c r="AH2" s="1608"/>
      <c r="AI2" s="1608"/>
      <c r="AJ2" s="1609"/>
    </row>
    <row r="3" spans="1:36" ht="25">
      <c r="A3" s="247" t="s">
        <v>2817</v>
      </c>
      <c r="B3" s="248" t="e">
        <f ca="1">ROUND(B2*10000/D1,0)</f>
        <v>#DIV/0!</v>
      </c>
      <c r="C3" s="2723" t="s">
        <v>2818</v>
      </c>
      <c r="D3" s="2724" t="s">
        <v>2819</v>
      </c>
      <c r="E3" s="2729" t="s">
        <v>3106</v>
      </c>
      <c r="F3" s="2730" t="s">
        <v>3088</v>
      </c>
      <c r="G3" s="916">
        <f>IF(F3="宗地容积率",'数据-汇总表'!I4,IF(F3="估价对象容积率",'数据-汇总表'!I6,'数据-汇总表'!I7))</f>
        <v>2.5</v>
      </c>
      <c r="H3" s="198" t="s">
        <v>2820</v>
      </c>
      <c r="I3" s="944">
        <v>2</v>
      </c>
      <c r="J3" s="2727" t="s">
        <v>2821</v>
      </c>
      <c r="K3" s="1370"/>
      <c r="L3" s="2728"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48491</v>
      </c>
      <c r="U3" s="1603">
        <f>Sheet1!F3</f>
        <v>2677.7900000000004</v>
      </c>
      <c r="V3" s="1602">
        <f t="shared" ref="V3:V16" ca="1" si="1">ROUND(T3*U3/10000,0)</f>
        <v>12985</v>
      </c>
      <c r="W3" s="1606"/>
      <c r="X3" s="1606"/>
      <c r="Y3" s="1606"/>
      <c r="Z3" s="1606"/>
      <c r="AA3" s="1606"/>
      <c r="AB3" s="1606"/>
      <c r="AC3" s="1607"/>
      <c r="AD3" s="1608"/>
      <c r="AE3" s="1608"/>
      <c r="AF3" s="1608"/>
      <c r="AG3" s="1608"/>
      <c r="AH3" s="1608"/>
      <c r="AI3" s="1608"/>
      <c r="AJ3" s="1609"/>
    </row>
    <row r="4" spans="1:36" ht="15.5">
      <c r="A4" s="3304"/>
      <c r="B4" s="3305"/>
      <c r="C4" s="3305"/>
      <c r="D4" s="3306"/>
      <c r="E4" s="3306"/>
      <c r="F4" s="3306"/>
      <c r="G4" s="3306"/>
      <c r="H4" s="3306"/>
      <c r="I4" s="3306"/>
      <c r="J4" s="3307"/>
      <c r="K4" s="1370"/>
      <c r="L4" s="2728"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39598</v>
      </c>
      <c r="U4" s="1603"/>
      <c r="V4" s="1602">
        <f t="shared" ca="1" si="1"/>
        <v>0</v>
      </c>
      <c r="W4" s="1606"/>
      <c r="X4" s="1606"/>
      <c r="Y4" s="1606"/>
      <c r="Z4" s="1606"/>
      <c r="AA4" s="1606"/>
      <c r="AB4" s="1606"/>
      <c r="AC4" s="1607"/>
      <c r="AD4" s="1608"/>
      <c r="AE4" s="1608"/>
      <c r="AF4" s="1608"/>
      <c r="AG4" s="1608"/>
      <c r="AH4" s="1608"/>
      <c r="AI4" s="1608"/>
      <c r="AJ4" s="1609"/>
    </row>
    <row r="5" spans="1:36" s="2740" customFormat="1" ht="16" thickBot="1">
      <c r="A5" s="2731" t="s">
        <v>807</v>
      </c>
      <c r="B5" s="2732" t="s">
        <v>2824</v>
      </c>
      <c r="C5" s="917">
        <f>ROUND(IF(E2="商业",C6*C7+C16,(IF(E2="住宅",C6*C12+C16,C6+C16))),0)</f>
        <v>24720</v>
      </c>
      <c r="D5" s="1787">
        <f>ROUND(C6+C16,0)</f>
        <v>24720</v>
      </c>
      <c r="E5" s="1787"/>
      <c r="F5" s="2733"/>
      <c r="G5" s="2734"/>
      <c r="H5" s="2734"/>
      <c r="I5" s="2734"/>
      <c r="J5" s="2735"/>
      <c r="K5" s="2736"/>
      <c r="L5" s="2728"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32863</v>
      </c>
      <c r="U5" s="1603"/>
      <c r="V5" s="1602">
        <f t="shared" ca="1" si="1"/>
        <v>0</v>
      </c>
      <c r="W5" s="1606"/>
      <c r="X5" s="1606"/>
      <c r="Y5" s="1606"/>
      <c r="Z5" s="1606"/>
      <c r="AA5" s="1606"/>
      <c r="AB5" s="1606"/>
      <c r="AC5" s="2737"/>
      <c r="AD5" s="2738"/>
      <c r="AE5" s="2738"/>
      <c r="AF5" s="2738"/>
      <c r="AG5" s="2738"/>
      <c r="AH5" s="2738"/>
      <c r="AI5" s="2738"/>
      <c r="AJ5" s="2739"/>
    </row>
    <row r="6" spans="1:36" ht="16" thickBot="1">
      <c r="A6" s="2741" t="s">
        <v>2826</v>
      </c>
      <c r="B6" s="2742" t="s">
        <v>2827</v>
      </c>
      <c r="C6" s="918">
        <f>SUMIF(L1:L12,G2,M1:M12)</f>
        <v>24720</v>
      </c>
      <c r="D6" s="2743" t="s">
        <v>2828</v>
      </c>
      <c r="E6" s="2744"/>
      <c r="F6" s="2744"/>
      <c r="G6" s="2745"/>
      <c r="H6" s="2745"/>
      <c r="I6" s="2745"/>
      <c r="J6" s="2746"/>
      <c r="K6" s="1842"/>
      <c r="L6" s="2728"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28747</v>
      </c>
      <c r="U6" s="1603"/>
      <c r="V6" s="1602">
        <f t="shared" ca="1" si="1"/>
        <v>0</v>
      </c>
      <c r="W6" s="1606"/>
      <c r="X6" s="1606"/>
      <c r="Y6" s="1606"/>
      <c r="Z6" s="1606"/>
      <c r="AA6" s="1606"/>
      <c r="AB6" s="1606"/>
      <c r="AC6" s="2737"/>
      <c r="AD6" s="2738"/>
      <c r="AE6" s="2738"/>
      <c r="AF6" s="2738"/>
      <c r="AG6" s="2738"/>
      <c r="AH6" s="2738"/>
      <c r="AI6" s="2738"/>
      <c r="AJ6" s="2739"/>
    </row>
    <row r="7" spans="1:36" ht="26">
      <c r="A7" s="3288" t="str">
        <f>IF(E2="商业",IF(C8="不临58条商业街","",2),"")</f>
        <v/>
      </c>
      <c r="B7" s="2747" t="s">
        <v>2830</v>
      </c>
      <c r="C7" s="919">
        <f>IF(C8="不临58条商业街",1,ROUND(1+(1.6*E8+1.2*E9+0.8*E10+0.4*E11)*C9,4))</f>
        <v>1</v>
      </c>
      <c r="D7" s="2748" t="s">
        <v>2831</v>
      </c>
      <c r="E7" s="945"/>
      <c r="F7" s="2749"/>
      <c r="G7" s="2750"/>
      <c r="H7" s="2750"/>
      <c r="I7" s="2750"/>
      <c r="J7" s="2751"/>
      <c r="K7" s="1842"/>
      <c r="L7" s="2728"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25984</v>
      </c>
      <c r="U7" s="1603"/>
      <c r="V7" s="1602">
        <f t="shared" ca="1" si="1"/>
        <v>0</v>
      </c>
      <c r="W7" s="1816" t="s">
        <v>2833</v>
      </c>
      <c r="X7" s="1604" t="str">
        <f>G2</f>
        <v>二级</v>
      </c>
      <c r="Y7" s="1604" t="s">
        <v>2834</v>
      </c>
      <c r="Z7" s="1605">
        <f>G3</f>
        <v>2.5</v>
      </c>
      <c r="AA7" s="1606"/>
      <c r="AB7" s="1606"/>
      <c r="AC7" s="1607"/>
      <c r="AD7" s="1608"/>
      <c r="AE7" s="1608"/>
      <c r="AF7" s="1608"/>
      <c r="AG7" s="1608"/>
      <c r="AH7" s="1608"/>
      <c r="AI7" s="1608"/>
      <c r="AJ7" s="1609"/>
    </row>
    <row r="8" spans="1:36" ht="25">
      <c r="A8" s="3308"/>
      <c r="B8" s="198" t="s">
        <v>2835</v>
      </c>
      <c r="C8" s="2752" t="s">
        <v>3089</v>
      </c>
      <c r="D8" s="920" t="s">
        <v>139</v>
      </c>
      <c r="E8" s="921" t="e">
        <f>ROUND(C11/E7,4)</f>
        <v>#DIV/0!</v>
      </c>
      <c r="F8" s="2753" t="s">
        <v>2836</v>
      </c>
      <c r="G8" s="2754"/>
      <c r="H8" s="2754"/>
      <c r="I8" s="2754"/>
      <c r="J8" s="2755"/>
      <c r="K8" s="1370"/>
      <c r="L8" s="2728"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01" t="s">
        <v>2838</v>
      </c>
      <c r="X8" s="3302"/>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5">
      <c r="A9" s="3308"/>
      <c r="B9" s="198" t="s">
        <v>2851</v>
      </c>
      <c r="C9" s="922">
        <f>SUMIF(修正!C59:C119,C8,修正!E59:E119)</f>
        <v>0</v>
      </c>
      <c r="D9" s="200" t="s">
        <v>140</v>
      </c>
      <c r="E9" s="200" t="e">
        <f>ROUND(C11/E7,4)</f>
        <v>#DIV/0!</v>
      </c>
      <c r="F9" s="2753" t="s">
        <v>2852</v>
      </c>
      <c r="G9" s="2754"/>
      <c r="H9" s="2754"/>
      <c r="I9" s="2754"/>
      <c r="J9" s="2755"/>
      <c r="K9" s="1370"/>
      <c r="L9" s="2728"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03"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5">
      <c r="A10" s="3308"/>
      <c r="B10" s="198" t="s">
        <v>2856</v>
      </c>
      <c r="C10" s="200">
        <f>SUMIF(修正!C59:C119,C8,修正!F59:F119)</f>
        <v>0</v>
      </c>
      <c r="D10" s="200" t="s">
        <v>141</v>
      </c>
      <c r="E10" s="200" t="e">
        <f>ROUND(C11/E7,4)</f>
        <v>#DIV/0!</v>
      </c>
      <c r="F10" s="2753" t="s">
        <v>2857</v>
      </c>
      <c r="G10" s="2754"/>
      <c r="H10" s="2754"/>
      <c r="I10" s="2754"/>
      <c r="J10" s="2755"/>
      <c r="K10" s="1370"/>
      <c r="L10" s="2728"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0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6" thickBot="1">
      <c r="A11" s="3308"/>
      <c r="B11" s="2756" t="s">
        <v>2859</v>
      </c>
      <c r="C11" s="923">
        <f>C10/4</f>
        <v>0</v>
      </c>
      <c r="D11" s="923" t="s">
        <v>142</v>
      </c>
      <c r="E11" s="923" t="e">
        <f>ROUND(C11/E7,4)</f>
        <v>#DIV/0!</v>
      </c>
      <c r="F11" s="2757" t="s">
        <v>2860</v>
      </c>
      <c r="G11" s="2758"/>
      <c r="H11" s="2758"/>
      <c r="I11" s="2758"/>
      <c r="J11" s="2759"/>
      <c r="K11" s="1370"/>
      <c r="L11" s="2728"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03" t="s">
        <v>2862</v>
      </c>
      <c r="X11" s="1614" t="s">
        <v>2863</v>
      </c>
      <c r="Y11" s="1615">
        <f>$G$3</f>
        <v>2.5</v>
      </c>
      <c r="Z11" s="1615">
        <f t="shared" ref="Z11:AJ11" si="3">$G$3</f>
        <v>2.5</v>
      </c>
      <c r="AA11" s="1615">
        <f t="shared" si="3"/>
        <v>2.5</v>
      </c>
      <c r="AB11" s="1615">
        <f t="shared" si="3"/>
        <v>2.5</v>
      </c>
      <c r="AC11" s="1615">
        <f t="shared" si="3"/>
        <v>2.5</v>
      </c>
      <c r="AD11" s="1615">
        <f t="shared" si="3"/>
        <v>2.5</v>
      </c>
      <c r="AE11" s="1615">
        <f t="shared" si="3"/>
        <v>2.5</v>
      </c>
      <c r="AF11" s="1615">
        <f t="shared" si="3"/>
        <v>2.5</v>
      </c>
      <c r="AG11" s="1615">
        <f t="shared" si="3"/>
        <v>2.5</v>
      </c>
      <c r="AH11" s="1615">
        <f t="shared" si="3"/>
        <v>2.5</v>
      </c>
      <c r="AI11" s="1615">
        <f t="shared" si="3"/>
        <v>2.5</v>
      </c>
      <c r="AJ11" s="1615">
        <f t="shared" si="3"/>
        <v>2.5</v>
      </c>
    </row>
    <row r="12" spans="1:36" ht="26.5" thickBot="1">
      <c r="A12" s="3288" t="s">
        <v>2864</v>
      </c>
      <c r="B12" s="2760" t="s">
        <v>2865</v>
      </c>
      <c r="C12" s="919">
        <f>ROUND(C15*D15*E15*F15*G15*H15*I15*J15,4)</f>
        <v>1</v>
      </c>
      <c r="D12" s="2761" t="s">
        <v>2866</v>
      </c>
      <c r="E12" s="2762"/>
      <c r="F12" s="2762"/>
      <c r="G12" s="2763"/>
      <c r="H12" s="2763"/>
      <c r="I12" s="2763"/>
      <c r="J12" s="2764"/>
      <c r="K12" s="1370"/>
      <c r="L12" s="2765"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03"/>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6">
      <c r="A13" s="3309"/>
      <c r="B13" s="2766" t="s">
        <v>2869</v>
      </c>
      <c r="C13" s="2767" t="s">
        <v>2870</v>
      </c>
      <c r="D13" s="1808" t="s">
        <v>2871</v>
      </c>
      <c r="E13" s="1808" t="s">
        <v>2872</v>
      </c>
      <c r="F13" s="30" t="s">
        <v>2873</v>
      </c>
      <c r="G13" s="2768" t="s">
        <v>2874</v>
      </c>
      <c r="H13" s="2768" t="s">
        <v>2874</v>
      </c>
      <c r="I13" s="2768" t="s">
        <v>2874</v>
      </c>
      <c r="J13" s="2769" t="s">
        <v>2874</v>
      </c>
      <c r="K13" s="1370"/>
      <c r="L13" s="1370"/>
      <c r="M13" s="1370"/>
      <c r="N13" s="1370"/>
      <c r="O13" s="1370"/>
      <c r="P13" s="1370"/>
      <c r="Q13" s="1370"/>
      <c r="R13" s="1602">
        <v>12</v>
      </c>
      <c r="S13" s="1603"/>
      <c r="T13" s="1602">
        <f t="shared" ca="1" si="0"/>
        <v>0</v>
      </c>
      <c r="U13" s="1603"/>
      <c r="V13" s="1602">
        <f t="shared" ca="1" si="1"/>
        <v>0</v>
      </c>
      <c r="W13" s="3303"/>
      <c r="X13" s="1616"/>
      <c r="Y13" s="1613">
        <f>(-0.163*(Y12^2)-0.59*Y12+7617)*(10^(-4))/Y11</f>
        <v>0.30468000000000001</v>
      </c>
      <c r="Z13" s="1613">
        <f t="shared" ref="Z13:AJ13" si="5">(-0.163*(Z12^2)-0.59*Z12+7617)*(10^(-4))/Z11</f>
        <v>0.30468000000000001</v>
      </c>
      <c r="AA13" s="1613">
        <f t="shared" si="5"/>
        <v>0.30468000000000001</v>
      </c>
      <c r="AB13" s="1613">
        <f t="shared" si="5"/>
        <v>0.30468000000000001</v>
      </c>
      <c r="AC13" s="1613">
        <f t="shared" si="5"/>
        <v>0.30468000000000001</v>
      </c>
      <c r="AD13" s="1613">
        <f t="shared" si="5"/>
        <v>0.30468000000000001</v>
      </c>
      <c r="AE13" s="1613">
        <f t="shared" si="5"/>
        <v>0.30468000000000001</v>
      </c>
      <c r="AF13" s="1613">
        <f t="shared" si="5"/>
        <v>0.30468000000000001</v>
      </c>
      <c r="AG13" s="1613">
        <f t="shared" si="5"/>
        <v>0.30468000000000001</v>
      </c>
      <c r="AH13" s="1613">
        <f t="shared" si="5"/>
        <v>0.30468000000000001</v>
      </c>
      <c r="AI13" s="1613">
        <f t="shared" si="5"/>
        <v>0.30468000000000001</v>
      </c>
      <c r="AJ13" s="1613">
        <f t="shared" si="5"/>
        <v>0.30468000000000001</v>
      </c>
    </row>
    <row r="14" spans="1:36" ht="15.5">
      <c r="A14" s="3309"/>
      <c r="B14" s="2770"/>
      <c r="C14" s="2771"/>
      <c r="D14" s="2772"/>
      <c r="E14" s="2772"/>
      <c r="F14" s="2773"/>
      <c r="G14" s="2774" t="s">
        <v>2875</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6" thickBot="1">
      <c r="A15" s="3310"/>
      <c r="B15" s="2778"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5" customHeight="1">
      <c r="A16" s="3288" t="s">
        <v>2881</v>
      </c>
      <c r="B16" s="2747" t="s">
        <v>2882</v>
      </c>
      <c r="C16" s="2934">
        <f>ROUND(IF(F17="与级别开发程度一致",0,(G17-E17)/C17),0)</f>
        <v>0</v>
      </c>
      <c r="D16" s="3299" t="s">
        <v>2886</v>
      </c>
      <c r="E16" s="3300"/>
      <c r="F16" s="3299" t="s">
        <v>2883</v>
      </c>
      <c r="G16" s="3300"/>
      <c r="H16" s="2781" t="s">
        <v>3090</v>
      </c>
      <c r="I16" s="2781" t="s">
        <v>3091</v>
      </c>
      <c r="J16" s="2938" t="s">
        <v>3092</v>
      </c>
      <c r="K16" s="2781" t="s">
        <v>3093</v>
      </c>
      <c r="L16" s="2781" t="s">
        <v>3094</v>
      </c>
      <c r="M16" s="2781" t="s">
        <v>3095</v>
      </c>
      <c r="N16" s="2781" t="s">
        <v>3096</v>
      </c>
      <c r="O16" s="2782" t="s">
        <v>3096</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5.5" thickBot="1">
      <c r="A17" s="3289"/>
      <c r="B17" s="2945" t="s">
        <v>2885</v>
      </c>
      <c r="C17" s="2946">
        <f>SUMPRODUCT((修正!A2:A5=E2)*(修正!B1:M1=G2)*(修正!B2:M5))</f>
        <v>3.5</v>
      </c>
      <c r="D17" s="229" t="str">
        <f>IF(OR(G2="八级",G2="九级",G2="十级",G2="十一级",G2="十二级"),"五通一平","七通一平")</f>
        <v>七通一平</v>
      </c>
      <c r="E17" s="2935">
        <f>SUMPRODUCT((修正!B1:M1=G2)*(修正!B15:M15))</f>
        <v>375</v>
      </c>
      <c r="F17" s="2936" t="s">
        <v>3097</v>
      </c>
      <c r="G17" s="2937">
        <f>SUM(H17:O17)</f>
        <v>345</v>
      </c>
      <c r="H17" s="2946">
        <f>SUMPRODUCT((七通一平=H16)*(修正!B1:M1=G2)*(修正!B6:M14))</f>
        <v>80</v>
      </c>
      <c r="I17" s="2946">
        <f>SUMPRODUCT((七通一平=I16)*(修正!B1:M1=G2)*(修正!B6:M14))</f>
        <v>70</v>
      </c>
      <c r="J17" s="2947">
        <f>SUMPRODUCT((七通一平=J16)*(修正!B1:M1=G2)*(修正!B6:M14))</f>
        <v>20</v>
      </c>
      <c r="K17" s="2946">
        <f>SUMPRODUCT((七通一平=K16)*(修正!B1:M1=G2)*(修正!B6:M14))</f>
        <v>30</v>
      </c>
      <c r="L17" s="2946">
        <f>SUMPRODUCT((七通一平=L16)*(修正!B1:M1=G2)*(修正!B6:M14))</f>
        <v>45</v>
      </c>
      <c r="M17" s="2946">
        <f>SUMPRODUCT((七通一平=M16)*(修正!B1:M1=G2)*(修正!B6:M14))</f>
        <v>60</v>
      </c>
      <c r="N17" s="2946">
        <f>SUMPRODUCT((七通一平=N16)*(修正!B1:M1=G2)*(修正!B6:M14))</f>
        <v>20</v>
      </c>
      <c r="O17" s="2948">
        <f>SUMPRODUCT((七通一平=O16)*(修正!B1:M1=G2)*(修正!B6:M14))</f>
        <v>20</v>
      </c>
      <c r="Q17" s="1370"/>
      <c r="R17" s="1370"/>
      <c r="S17" s="1370"/>
      <c r="T17" s="1370"/>
      <c r="U17" s="1370"/>
      <c r="V17" s="1370"/>
      <c r="W17" s="1370"/>
      <c r="X17" s="1370"/>
      <c r="Y17" s="1370"/>
      <c r="Z17" s="1371"/>
      <c r="AE17" s="2785"/>
      <c r="AF17" s="2785"/>
      <c r="AG17" s="2722"/>
      <c r="AH17" s="2722"/>
      <c r="AI17" s="2722"/>
      <c r="AJ17" s="2722"/>
    </row>
    <row r="18" spans="1:37" s="2740" customFormat="1" ht="14.5" thickBot="1">
      <c r="A18" s="2939" t="s">
        <v>808</v>
      </c>
      <c r="B18" s="2940" t="s">
        <v>2888</v>
      </c>
      <c r="C18" s="2941">
        <f>SUMIF(修正!C18:C39,E3,修正!E18:E39)</f>
        <v>1.1000000000000001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8.5" thickBot="1">
      <c r="A19" s="2786" t="s">
        <v>809</v>
      </c>
      <c r="B19" s="2787" t="s">
        <v>2889</v>
      </c>
      <c r="C19" s="924">
        <f>ROUND(IF(H19="按公示增长率计算",SUMPRODUCT((地价!A3:A29=YEAR(G19)&amp;"-"&amp;ROUNDUP(MONTH(G19)/3,0))*(地价!X2:AB2=E2)*(地价!X3:AB29)),IF(H19="地价指数",M20/M19,(1+I19)^O19)),4)</f>
        <v>1.3633</v>
      </c>
      <c r="D19" s="2791" t="s">
        <v>2890</v>
      </c>
      <c r="E19" s="925">
        <v>41640</v>
      </c>
      <c r="F19" s="2791" t="s">
        <v>2891</v>
      </c>
      <c r="G19" s="926">
        <f>'数据-取费表'!B2</f>
        <v>43872</v>
      </c>
      <c r="H19" s="2792" t="s">
        <v>3098</v>
      </c>
      <c r="I19" s="927" t="str">
        <f>IF(H19="季度增幅（自定义）",SUMIF(N21:N24,E2,O21:O24),"")</f>
        <v/>
      </c>
      <c r="J19" s="2789"/>
      <c r="K19" s="1377"/>
      <c r="L19" s="2793" t="s">
        <v>2892</v>
      </c>
      <c r="M19" s="1734">
        <f>ROUND(SUMIF(地价!B2:F2,E2,地价!B29:F29),0)</f>
        <v>258</v>
      </c>
      <c r="N19" s="2794" t="s">
        <v>2893</v>
      </c>
      <c r="O19" s="928">
        <f>ROUNDDOWN(DATEDIF(E19,G19,"M")/3,0)</f>
        <v>24</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8.5" thickBot="1">
      <c r="A20" s="2798" t="s">
        <v>810</v>
      </c>
      <c r="B20" s="2799" t="s">
        <v>2894</v>
      </c>
      <c r="C20" s="929">
        <f ca="1">ROUND(POWER(1+G20,J20-I20)*(POWER(1+G20,I20)-1)/(POWER(1+G20,J20)-1),4)</f>
        <v>0.8911</v>
      </c>
      <c r="D20" s="2800" t="s">
        <v>2895</v>
      </c>
      <c r="E20" s="1768">
        <f ca="1">存贷款利率!D4/100</f>
        <v>4.3499999999999997E-2</v>
      </c>
      <c r="F20" s="2800" t="s">
        <v>2887</v>
      </c>
      <c r="G20" s="934">
        <f ca="1">SUMIF(M26:P26,E2,M28:P28)</f>
        <v>5.3999999999999999E-2</v>
      </c>
      <c r="H20" s="2800" t="s">
        <v>2896</v>
      </c>
      <c r="I20" s="935">
        <f>SUMIF('数据-取费表'!C6:C15,E2,'数据-取费表'!F6:F15)/COUNTIF('数据-取费表'!C6:C15,E2)</f>
        <v>29</v>
      </c>
      <c r="J20" s="936">
        <f>IF(E2="住宅",70,IF(E2="商业",40,50))</f>
        <v>40</v>
      </c>
      <c r="K20" s="1377"/>
      <c r="L20" s="2801" t="s">
        <v>2897</v>
      </c>
      <c r="M20" s="1735">
        <f>ROUND(SUMPRODUCT((地价!A4:A29=YEAR(G19)&amp;"-"&amp;ROUNDUP(MONTH(G19)/3,0))*(地价!B2:F2=E2)*(地价!B4:F29)),0)</f>
        <v>351</v>
      </c>
      <c r="N20" s="2802" t="s">
        <v>2898</v>
      </c>
      <c r="O20" s="2803" t="s">
        <v>2899</v>
      </c>
      <c r="P20" s="2804" t="s">
        <v>2900</v>
      </c>
      <c r="R20" s="1376"/>
      <c r="S20" s="1376"/>
      <c r="T20" s="1371"/>
      <c r="U20" s="1371"/>
      <c r="V20" s="1371"/>
      <c r="W20" s="1370"/>
      <c r="X20" s="1370"/>
      <c r="Y20" s="1370"/>
      <c r="Z20" s="1377"/>
      <c r="AA20" s="1378"/>
      <c r="AB20" s="1378"/>
      <c r="AC20" s="1378"/>
      <c r="AD20" s="1378"/>
      <c r="AE20" s="1378"/>
      <c r="AF20" s="1378"/>
    </row>
    <row r="21" spans="1:37" s="2740" customFormat="1" ht="14">
      <c r="A21" s="2805" t="s">
        <v>811</v>
      </c>
      <c r="B21" s="2806" t="s">
        <v>2901</v>
      </c>
      <c r="C21" s="937">
        <f>IF(B21="容积率修正",IF(G3&lt;=10,D22,J22),C23)</f>
        <v>1.4198</v>
      </c>
      <c r="D21" s="2807"/>
      <c r="E21" s="2807"/>
      <c r="F21" s="2807"/>
      <c r="G21" s="2807"/>
      <c r="H21" s="2807"/>
      <c r="I21" s="2807"/>
      <c r="J21" s="2808"/>
      <c r="K21" s="1377"/>
      <c r="N21" s="2809" t="s">
        <v>2902</v>
      </c>
      <c r="O21" s="1561"/>
      <c r="P21" s="1562">
        <f>SUMPRODUCT((地价!A3:A29=YEAR(G19)&amp;"-"&amp;ROUNDUP(MONTH(G19)/3,0))*(地价!AD2:AH2=N21)*(地价!AD3:AH29))</f>
        <v>1.34E-2</v>
      </c>
      <c r="R21" s="1376"/>
      <c r="S21" s="1376"/>
      <c r="T21" s="1371"/>
      <c r="U21" s="1371"/>
      <c r="V21" s="1371"/>
      <c r="W21" s="1370"/>
      <c r="X21" s="1370"/>
      <c r="Y21" s="1370"/>
      <c r="Z21" s="1377"/>
      <c r="AA21" s="1378"/>
      <c r="AB21" s="1378"/>
      <c r="AC21" s="1378"/>
      <c r="AD21" s="1378"/>
      <c r="AE21" s="1378"/>
      <c r="AF21" s="1378"/>
    </row>
    <row r="22" spans="1:37" s="2740" customFormat="1" ht="14.5">
      <c r="A22" s="2666" t="s">
        <v>2903</v>
      </c>
      <c r="B22" s="2810" t="s">
        <v>2904</v>
      </c>
      <c r="C22" s="1810" t="s">
        <v>2905</v>
      </c>
      <c r="D22" s="1810">
        <f>IF(E22=G22,F22,IF(G3&lt;=10,ROUND(F22+(H22-F22)*(G3-E22)/(G22-E22),4),"——"))</f>
        <v>1.0975999999999999</v>
      </c>
      <c r="E22" s="916">
        <f>ROUNDDOWN(G3,1)</f>
        <v>2.5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1.0975999999999999</v>
      </c>
      <c r="G22" s="916">
        <f>ROUNDUP(G3,1)</f>
        <v>2.5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1.0975999999999999</v>
      </c>
      <c r="I22" s="1810" t="s">
        <v>155</v>
      </c>
      <c r="J22" s="938" t="str">
        <f>IF(G3&gt;10,D113,"——")</f>
        <v>——</v>
      </c>
      <c r="K22" s="1377"/>
      <c r="N22" s="2809" t="s">
        <v>2906</v>
      </c>
      <c r="O22" s="1561"/>
      <c r="P22" s="1562">
        <f>SUMPRODUCT((地价!A3:A29=YEAR(G19)&amp;"-"&amp;ROUNDUP(MONTH(G19)/3,0))*(地价!AD2:AH2=N22)*(地价!AD3:AH29))</f>
        <v>1.34E-2</v>
      </c>
      <c r="R22" s="1376"/>
      <c r="S22" s="1376"/>
      <c r="T22" s="1371"/>
      <c r="U22" s="1371"/>
      <c r="V22" s="1371"/>
      <c r="W22" s="1370"/>
      <c r="X22" s="1370"/>
      <c r="Y22" s="1370"/>
      <c r="Z22" s="1377"/>
      <c r="AA22" s="1378"/>
      <c r="AB22" s="1378"/>
      <c r="AC22" s="1378"/>
      <c r="AD22" s="1378"/>
      <c r="AE22" s="1378"/>
      <c r="AF22" s="1378"/>
    </row>
    <row r="23" spans="1:37" ht="28.5" thickBot="1">
      <c r="A23" s="2666" t="s">
        <v>2907</v>
      </c>
      <c r="B23" s="2811" t="s">
        <v>2908</v>
      </c>
      <c r="C23" s="1013">
        <f>ROUND(IF(G3&gt;1,IF(I3&lt;7,SUMPRODUCT((B93:B98=I3)*(C92:N92=G2)*(C93:N98)),SUMIF(C92:N92,G2,C100:N100)),IF(I3&lt;7,SUMPRODUCT((B102:B107=I3)*(C92:N92=G2)*(C102:N107)),SUMIF(C92:N92,G2,C109:N109))),4)</f>
        <v>1.4198</v>
      </c>
      <c r="D23" s="2775"/>
      <c r="E23" s="2775"/>
      <c r="F23" s="2812"/>
      <c r="G23" s="2813"/>
      <c r="H23" s="2814"/>
      <c r="I23" s="2815"/>
      <c r="J23" s="2816"/>
      <c r="K23" s="1370"/>
      <c r="N23" s="2809" t="s">
        <v>2909</v>
      </c>
      <c r="O23" s="1561"/>
      <c r="P23" s="1562">
        <f>SUMPRODUCT((地价!A3:A29=YEAR(G19)&amp;"-"&amp;ROUNDUP(MONTH(G19)/3,0))*(地价!AD2:AH2=N23)*(地价!AD3:AH29))</f>
        <v>2.1000000000000001E-2</v>
      </c>
      <c r="R23" s="1376"/>
      <c r="S23" s="1376"/>
      <c r="T23" s="1371"/>
      <c r="U23" s="1371"/>
      <c r="V23" s="1371"/>
      <c r="W23" s="1370"/>
      <c r="X23" s="1370"/>
      <c r="Y23" s="1370"/>
      <c r="Z23" s="1377"/>
      <c r="AA23" s="1378"/>
      <c r="AB23" s="1378"/>
      <c r="AC23" s="1378"/>
      <c r="AD23" s="1378"/>
      <c r="AK23" s="2790"/>
    </row>
    <row r="24" spans="1:37" s="2740" customFormat="1" ht="14.5" thickBot="1">
      <c r="A24" s="2798" t="s">
        <v>812</v>
      </c>
      <c r="B24" s="2787" t="s">
        <v>2910</v>
      </c>
      <c r="C24" s="924">
        <f>SUMIF(A45:A88,E2,B45:B88)</f>
        <v>1.0339</v>
      </c>
      <c r="D24" s="2788"/>
      <c r="E24" s="2817"/>
      <c r="F24" s="2817"/>
      <c r="G24" s="2817"/>
      <c r="H24" s="2817"/>
      <c r="I24" s="2817"/>
      <c r="J24" s="2818"/>
      <c r="K24" s="1377"/>
      <c r="N24" s="2819" t="s">
        <v>2911</v>
      </c>
      <c r="O24" s="1563"/>
      <c r="P24" s="1564">
        <f>SUMPRODUCT((地价!A3:A29=YEAR(G19)&amp;"-"&amp;ROUNDUP(MONTH(G19)/3,0))*(地价!AD2:AH2=N24)*(地价!AD3:AH29))</f>
        <v>1.35E-2</v>
      </c>
      <c r="R24" s="1376"/>
      <c r="S24" s="1376"/>
      <c r="T24" s="1371"/>
      <c r="U24" s="1371"/>
      <c r="V24" s="1371"/>
      <c r="W24" s="1370"/>
      <c r="X24" s="1370"/>
      <c r="Y24" s="1370"/>
      <c r="Z24" s="1377"/>
      <c r="AA24" s="1378"/>
      <c r="AB24" s="1378"/>
      <c r="AC24" s="1378"/>
      <c r="AD24" s="1378"/>
      <c r="AE24" s="1378"/>
      <c r="AF24" s="1378"/>
    </row>
    <row r="25" spans="1:37" ht="14.5" thickBot="1">
      <c r="A25" s="2798" t="s">
        <v>813</v>
      </c>
      <c r="B25" s="2820" t="s">
        <v>2912</v>
      </c>
      <c r="C25" s="930"/>
      <c r="D25" s="2750"/>
      <c r="E25" s="2750"/>
      <c r="F25" s="2821"/>
      <c r="G25" s="2750"/>
      <c r="H25" s="2750"/>
      <c r="I25" s="2750"/>
      <c r="J25" s="2751"/>
      <c r="K25" s="1370"/>
      <c r="N25" s="2822" t="s">
        <v>2913</v>
      </c>
      <c r="O25" s="1565"/>
      <c r="P25" s="1564">
        <f>SUMPRODUCT((地价!A3:A29=YEAR(G19)&amp;"-"&amp;ROUNDUP(MONTH(G19)/3,0))*(地价!AD2:AH2=N25)*(地价!AD3:AH29))</f>
        <v>1.9199999999999998E-2</v>
      </c>
      <c r="R25" s="1376"/>
      <c r="S25" s="1376"/>
      <c r="T25" s="1371"/>
      <c r="U25" s="1371"/>
      <c r="V25" s="1371"/>
      <c r="W25" s="1370"/>
      <c r="X25" s="1370"/>
      <c r="Y25" s="1370"/>
      <c r="Z25" s="1377"/>
      <c r="AA25" s="1378"/>
      <c r="AB25" s="1378"/>
      <c r="AC25" s="1378"/>
      <c r="AD25" s="1378"/>
    </row>
    <row r="26" spans="1:37" ht="14">
      <c r="A26" s="2823"/>
      <c r="B26" s="2810" t="s">
        <v>2914</v>
      </c>
      <c r="C26" s="206">
        <f ca="1">E29+SUM(E33:E39)</f>
        <v>0</v>
      </c>
      <c r="D26" s="2824"/>
      <c r="E26" s="2775"/>
      <c r="F26" s="2825"/>
      <c r="G26" s="2775"/>
      <c r="H26" s="2775"/>
      <c r="I26" s="2775"/>
      <c r="J26" s="2826"/>
      <c r="K26" s="1370"/>
      <c r="L26" s="2779" t="s">
        <v>2813</v>
      </c>
      <c r="M26" s="920" t="s">
        <v>2877</v>
      </c>
      <c r="N26" s="920" t="s">
        <v>2878</v>
      </c>
      <c r="O26" s="920" t="s">
        <v>2879</v>
      </c>
      <c r="P26" s="2780" t="s">
        <v>2880</v>
      </c>
      <c r="R26" s="1376"/>
      <c r="S26" s="1376"/>
      <c r="T26" s="1371"/>
      <c r="U26" s="1371"/>
      <c r="V26" s="1371"/>
      <c r="W26" s="1370"/>
      <c r="X26" s="1370"/>
      <c r="Y26" s="1370"/>
      <c r="Z26" s="1377"/>
      <c r="AA26" s="1378"/>
      <c r="AB26" s="1378"/>
      <c r="AC26" s="1378"/>
      <c r="AD26" s="1378"/>
    </row>
    <row r="27" spans="1:37" ht="14.5" thickBot="1">
      <c r="A27" s="2823"/>
      <c r="B27" s="2827" t="s">
        <v>2915</v>
      </c>
      <c r="C27" s="931">
        <f ca="1">E30+SUM(I33:I39)</f>
        <v>0</v>
      </c>
      <c r="D27" s="2828"/>
      <c r="E27" s="2829"/>
      <c r="F27" s="2830"/>
      <c r="G27" s="2829"/>
      <c r="H27" s="2829"/>
      <c r="I27" s="2829"/>
      <c r="J27" s="2831"/>
      <c r="K27" s="1370"/>
      <c r="L27" s="2783"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4.5" thickBot="1">
      <c r="A28" s="2832"/>
      <c r="B28" s="2833" t="s">
        <v>2916</v>
      </c>
      <c r="C28" s="2834" t="s">
        <v>2917</v>
      </c>
      <c r="D28" s="2834" t="s">
        <v>2918</v>
      </c>
      <c r="E28" s="2835" t="s">
        <v>2919</v>
      </c>
      <c r="F28" s="2836"/>
      <c r="G28" s="2763"/>
      <c r="H28" s="2763"/>
      <c r="I28" s="2763"/>
      <c r="J28" s="2764"/>
      <c r="K28" s="1370"/>
      <c r="L28" s="2784"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2920</v>
      </c>
      <c r="C29" s="206">
        <f ca="1">ROUND(C5*C18*C19*C20*C21*C24,0)</f>
        <v>48491</v>
      </c>
      <c r="D29" s="2839"/>
      <c r="E29" s="942">
        <f ca="1">ROUND(C29*D29/10000,0)</f>
        <v>0</v>
      </c>
      <c r="F29" s="2840" t="s">
        <v>2921</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6.5" thickBot="1">
      <c r="A30" s="2843"/>
      <c r="B30" s="2844" t="s">
        <v>2922</v>
      </c>
      <c r="C30" s="229">
        <f ca="1">ROUND(IF(E2="工业",C29*M39,C29*M38),0)</f>
        <v>12123</v>
      </c>
      <c r="D30" s="2845"/>
      <c r="E30" s="942">
        <f ca="1">ROUND(C30*D30/10000,0)</f>
        <v>0</v>
      </c>
      <c r="F30" s="2846" t="s">
        <v>2923</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
      <c r="A31" s="2849"/>
      <c r="B31" s="2850" t="s">
        <v>2924</v>
      </c>
      <c r="C31" s="2851" t="s">
        <v>2925</v>
      </c>
      <c r="D31" s="2763"/>
      <c r="E31" s="2851"/>
      <c r="F31" s="2851"/>
      <c r="G31" s="2761" t="s">
        <v>2926</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6">
      <c r="A32" s="2837"/>
      <c r="B32" s="2853"/>
      <c r="C32" s="501" t="s">
        <v>2917</v>
      </c>
      <c r="D32" s="498" t="s">
        <v>2918</v>
      </c>
      <c r="E32" s="498" t="s">
        <v>2919</v>
      </c>
      <c r="F32" s="388" t="s">
        <v>2927</v>
      </c>
      <c r="G32" s="2854" t="s">
        <v>2917</v>
      </c>
      <c r="H32" s="2854" t="s">
        <v>2918</v>
      </c>
      <c r="I32" s="2854"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96" t="s">
        <v>2928</v>
      </c>
      <c r="B33" s="2855" t="s">
        <v>2929</v>
      </c>
      <c r="C33" s="206">
        <f ca="1">ROUND(D5*C19*C20*C24*F33,0)</f>
        <v>24839</v>
      </c>
      <c r="D33" s="2839"/>
      <c r="E33" s="200">
        <f ca="1">ROUND(C33*D33/10000,0)</f>
        <v>0</v>
      </c>
      <c r="F33" s="200">
        <f>SUMIF(修正!A45:A56,G2,修正!B45:B56)</f>
        <v>0.8</v>
      </c>
      <c r="G33" s="200">
        <f t="shared" ref="G33" ca="1" si="6">ROUND(IF(E2="工业",C33*$M$39,C33*$M$38),0)</f>
        <v>6210</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
      <c r="A34" s="3297"/>
      <c r="B34" s="2767" t="s">
        <v>2930</v>
      </c>
      <c r="C34" s="206">
        <f ca="1">ROUND(D5*C19*C20*C24*F34,0)</f>
        <v>15524</v>
      </c>
      <c r="D34" s="2839"/>
      <c r="E34" s="200">
        <f t="shared" ref="E34:E39" ca="1" si="7">ROUND(C34*D34/10000,0)</f>
        <v>0</v>
      </c>
      <c r="F34" s="200">
        <f>SUMIF(修正!A45:A56,G2,修正!C45:C56)</f>
        <v>0.5</v>
      </c>
      <c r="G34" s="200">
        <f ca="1">ROUND(IF(E2="工业",C34*$M$39,C34*$M$38),0)</f>
        <v>3881</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ht="13">
      <c r="A35" s="3297"/>
      <c r="B35" s="2767" t="s">
        <v>2931</v>
      </c>
      <c r="C35" s="206">
        <f ca="1">ROUND(D5*C19*C20*C24*F35,0)</f>
        <v>11178</v>
      </c>
      <c r="D35" s="2839"/>
      <c r="E35" s="200">
        <f t="shared" ca="1" si="7"/>
        <v>0</v>
      </c>
      <c r="F35" s="200">
        <f>SUMIF(修正!A45:A56,G2,修正!D45:D56)</f>
        <v>0.36</v>
      </c>
      <c r="G35" s="200">
        <f ca="1">ROUND(IF(E2="工业",C35*$M$39,C35*$M$38),0)</f>
        <v>2795</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298"/>
      <c r="B36" s="2767" t="s">
        <v>2932</v>
      </c>
      <c r="C36" s="206">
        <f ca="1">ROUND(D5*C19*C20*C24*F36,0)</f>
        <v>9315</v>
      </c>
      <c r="D36" s="2839"/>
      <c r="E36" s="200">
        <f t="shared" ca="1" si="7"/>
        <v>0</v>
      </c>
      <c r="F36" s="200">
        <f>SUMIF(修正!A45:A56,G2,修正!E45:E56)</f>
        <v>0.3</v>
      </c>
      <c r="G36" s="200">
        <f ca="1">ROUND(IF(E2="工业",C36*$M$39,C36*$M$38),0)</f>
        <v>2329</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ht="13">
      <c r="A37" s="2857"/>
      <c r="B37" s="2767" t="s">
        <v>2933</v>
      </c>
      <c r="C37" s="200">
        <f ca="1">ROUND(D5*C19*C20*C24*F37,0)</f>
        <v>9315</v>
      </c>
      <c r="D37" s="2839"/>
      <c r="E37" s="200">
        <f t="shared" ca="1" si="7"/>
        <v>0</v>
      </c>
      <c r="F37" s="206">
        <f>SUMIF(修正!A45:A56,G2,修正!F45:F56)</f>
        <v>0.3</v>
      </c>
      <c r="G37" s="200">
        <f ca="1">ROUND(IF(E2="工业",C37*$M$39,C37*$M$38),0)</f>
        <v>2329</v>
      </c>
      <c r="H37" s="200">
        <f t="shared" si="8"/>
        <v>0</v>
      </c>
      <c r="I37" s="200">
        <f t="shared" ca="1" si="9"/>
        <v>0</v>
      </c>
      <c r="J37" s="2856"/>
      <c r="K37" s="1370"/>
      <c r="L37" s="2858" t="s">
        <v>2934</v>
      </c>
      <c r="M37" s="2859"/>
      <c r="N37" s="1370"/>
      <c r="O37" s="1370"/>
      <c r="P37" s="1370"/>
      <c r="Q37" s="1370"/>
      <c r="R37" s="1370"/>
      <c r="S37" s="1370"/>
      <c r="T37" s="1370"/>
      <c r="U37" s="1370"/>
      <c r="V37" s="1370"/>
      <c r="W37" s="1370"/>
      <c r="X37" s="1370"/>
      <c r="Y37" s="1370"/>
      <c r="Z37" s="1371"/>
    </row>
    <row r="38" spans="1:37" ht="13">
      <c r="A38" s="2857"/>
      <c r="B38" s="2767" t="s">
        <v>2935</v>
      </c>
      <c r="C38" s="200">
        <f ca="1">ROUND(D5*C19*C41*C24*F38,0)</f>
        <v>8814</v>
      </c>
      <c r="D38" s="2839"/>
      <c r="E38" s="200">
        <f t="shared" ca="1" si="7"/>
        <v>0</v>
      </c>
      <c r="F38" s="206">
        <f>SUMIF(修正!A45:A56,G2,修正!G45:G56)</f>
        <v>0.3</v>
      </c>
      <c r="G38" s="200">
        <f ca="1">ROUND(IF(E2="工业",C38*$M$39,C38*$M$38),0)</f>
        <v>2204</v>
      </c>
      <c r="H38" s="200">
        <f t="shared" si="8"/>
        <v>0</v>
      </c>
      <c r="I38" s="200">
        <f t="shared" ca="1" si="9"/>
        <v>0</v>
      </c>
      <c r="J38" s="2856"/>
      <c r="K38" s="1370"/>
      <c r="L38" s="1887" t="s">
        <v>2936</v>
      </c>
      <c r="M38" s="2860">
        <v>0.25</v>
      </c>
      <c r="N38" s="1370"/>
      <c r="O38" s="1370"/>
      <c r="P38" s="1370"/>
      <c r="Q38" s="1370"/>
      <c r="R38" s="1370"/>
      <c r="S38" s="1370"/>
      <c r="T38" s="1370"/>
      <c r="U38" s="1370"/>
      <c r="V38" s="1370"/>
      <c r="W38" s="1370"/>
      <c r="X38" s="1370"/>
      <c r="Y38" s="1370"/>
      <c r="Z38" s="1371"/>
    </row>
    <row r="39" spans="1:37" ht="13.5" thickBot="1">
      <c r="A39" s="2843"/>
      <c r="B39" s="2861" t="s">
        <v>2937</v>
      </c>
      <c r="C39" s="229">
        <f ca="1">ROUND(D5*C19*C41*C24*F39,0)</f>
        <v>7345</v>
      </c>
      <c r="D39" s="2845"/>
      <c r="E39" s="229">
        <f t="shared" ca="1" si="7"/>
        <v>0</v>
      </c>
      <c r="F39" s="932">
        <f>SUMIF(修正!A45:A56,G2,修正!H45:H56)</f>
        <v>0.25</v>
      </c>
      <c r="G39" s="229">
        <f ca="1">ROUND(IF(E2="工业",C39*$M$39,C39*$M$38),0)</f>
        <v>1836</v>
      </c>
      <c r="H39" s="229">
        <f t="shared" si="8"/>
        <v>0</v>
      </c>
      <c r="I39" s="229">
        <f t="shared" ca="1" si="9"/>
        <v>0</v>
      </c>
      <c r="J39" s="2862"/>
      <c r="K39" s="1370"/>
      <c r="L39" s="2863" t="s">
        <v>2880</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6">
      <c r="A41" s="1371"/>
      <c r="B41" s="2932" t="s">
        <v>3043</v>
      </c>
      <c r="C41" s="388">
        <f ca="1">ROUND(POWER(1+E41,H41-G41)*(POWER(1+E41,G41)-1)/(POWER(1+E41,H41)-1),4)</f>
        <v>0.84319999999999995</v>
      </c>
      <c r="D41" s="200" t="s">
        <v>2887</v>
      </c>
      <c r="E41" s="2931">
        <f ca="1">G20</f>
        <v>5.3999999999999999E-2</v>
      </c>
      <c r="F41" s="200" t="s">
        <v>2896</v>
      </c>
      <c r="G41" s="218">
        <f>项目基本情况!E15</f>
        <v>29</v>
      </c>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4.5" thickBot="1">
      <c r="A45" s="2866" t="s">
        <v>2938</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4">
      <c r="A46" s="2868" t="s">
        <v>2939</v>
      </c>
      <c r="B46" s="2869">
        <f>1+E48</f>
        <v>1.0339</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6">
      <c r="A47" s="2872" t="s">
        <v>2940</v>
      </c>
      <c r="B47" s="1809" t="s">
        <v>2941</v>
      </c>
      <c r="C47" s="1809" t="s">
        <v>2942</v>
      </c>
      <c r="D47" s="1809" t="s">
        <v>2943</v>
      </c>
      <c r="E47" s="819" t="s">
        <v>2944</v>
      </c>
      <c r="F47" s="2873" t="s">
        <v>2945</v>
      </c>
      <c r="G47" s="1809" t="s">
        <v>754</v>
      </c>
      <c r="H47" s="2874" t="s">
        <v>2946</v>
      </c>
      <c r="I47" s="1809" t="s">
        <v>2947</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50">
      <c r="A48" s="2872" t="s">
        <v>2948</v>
      </c>
      <c r="B48" s="2875" t="str">
        <f>估价对象房地状况!C4</f>
        <v>估价对象位于XX商圈，周边商业氛围成熟，人流量大，商业繁华度好</v>
      </c>
      <c r="C48" s="2772" t="s">
        <v>3099</v>
      </c>
      <c r="D48" s="1286">
        <f t="shared" ref="D48:D56" si="10">SUMIF($J$47:$N$47,C48,J48:N48)</f>
        <v>1.0800000000000001E-2</v>
      </c>
      <c r="E48" s="821">
        <f>ROUND(SUM(D48:D56),4)</f>
        <v>3.39E-2</v>
      </c>
      <c r="F48" s="2503">
        <f>IF(E2="商业",SUMIF(L1:L12,G2,N1:N12),"——")</f>
        <v>6.6000000000000003E-2</v>
      </c>
      <c r="G48" s="1284">
        <f>H48</f>
        <v>1.0800000000000001E-2</v>
      </c>
      <c r="H48" s="1288">
        <f t="shared" ref="H48:H56" si="11">IFERROR(ROUNDDOWN($F$48*I48/2,4),"——")</f>
        <v>1.0800000000000001E-2</v>
      </c>
      <c r="I48" s="820">
        <v>0.33</v>
      </c>
      <c r="J48" s="1285">
        <f t="shared" ref="J48:J56" si="12">K48+$G48</f>
        <v>2.1600000000000001E-2</v>
      </c>
      <c r="K48" s="1285">
        <f t="shared" ref="K48:K56" si="13">$L48+$G48</f>
        <v>1.0800000000000001E-2</v>
      </c>
      <c r="L48" s="1285">
        <v>0</v>
      </c>
      <c r="M48" s="1285">
        <f t="shared" ref="M48:N56" si="14">L48-$G48</f>
        <v>-1.0800000000000001E-2</v>
      </c>
      <c r="N48" s="1285">
        <f t="shared" si="14"/>
        <v>-2.1600000000000001E-2</v>
      </c>
      <c r="AA48" s="1371"/>
      <c r="AB48" s="1371"/>
      <c r="AC48" s="1371"/>
      <c r="AD48" s="1371"/>
      <c r="AE48" s="1371"/>
      <c r="AF48" s="1371"/>
      <c r="AG48" s="1371"/>
      <c r="AH48" s="1371"/>
      <c r="AI48" s="1371"/>
      <c r="AJ48" s="1371"/>
      <c r="AK48" s="1371"/>
    </row>
    <row r="49" spans="1:37" s="1370" customFormat="1" ht="50">
      <c r="A49" s="2872" t="s">
        <v>2949</v>
      </c>
      <c r="B49" s="2876" t="str">
        <f>估价对象房地状况!C18</f>
        <v>估价对象周边道路状况、公共交通通达情况、停车便捷程度，综合评价交通便捷度较好</v>
      </c>
      <c r="C49" s="2772" t="s">
        <v>3099</v>
      </c>
      <c r="D49" s="1286">
        <f t="shared" si="10"/>
        <v>8.2000000000000007E-3</v>
      </c>
      <c r="E49" s="822"/>
      <c r="F49" s="2503"/>
      <c r="G49" s="1284">
        <f t="shared" ref="G49:G56" si="15">H49</f>
        <v>8.2000000000000007E-3</v>
      </c>
      <c r="H49" s="1288">
        <f t="shared" si="11"/>
        <v>8.2000000000000007E-3</v>
      </c>
      <c r="I49" s="820">
        <v>0.25</v>
      </c>
      <c r="J49" s="1285">
        <f t="shared" si="12"/>
        <v>1.6400000000000001E-2</v>
      </c>
      <c r="K49" s="1285">
        <f t="shared" si="13"/>
        <v>8.2000000000000007E-3</v>
      </c>
      <c r="L49" s="1285">
        <v>0</v>
      </c>
      <c r="M49" s="1285">
        <f t="shared" si="14"/>
        <v>-8.2000000000000007E-3</v>
      </c>
      <c r="N49" s="1285">
        <f t="shared" si="14"/>
        <v>-1.6400000000000001E-2</v>
      </c>
      <c r="AA49" s="1371"/>
      <c r="AB49" s="1371"/>
      <c r="AC49" s="1371"/>
      <c r="AD49" s="1371"/>
      <c r="AE49" s="1371"/>
      <c r="AF49" s="1371"/>
      <c r="AG49" s="1371"/>
      <c r="AH49" s="1371"/>
      <c r="AI49" s="1371"/>
      <c r="AJ49" s="1371"/>
      <c r="AK49" s="1371"/>
    </row>
    <row r="50" spans="1:37" s="1370" customFormat="1" ht="26">
      <c r="A50" s="2872" t="s">
        <v>2950</v>
      </c>
      <c r="B50" s="2876">
        <f>估价对象房地状况!C19</f>
        <v>0</v>
      </c>
      <c r="C50" s="2772" t="s">
        <v>3099</v>
      </c>
      <c r="D50" s="1286">
        <f t="shared" si="10"/>
        <v>1.6000000000000001E-3</v>
      </c>
      <c r="E50" s="822"/>
      <c r="F50" s="2503"/>
      <c r="G50" s="1284">
        <f t="shared" si="15"/>
        <v>1.6000000000000001E-3</v>
      </c>
      <c r="H50" s="1288">
        <f t="shared" si="11"/>
        <v>1.6000000000000001E-3</v>
      </c>
      <c r="I50" s="820">
        <v>0.05</v>
      </c>
      <c r="J50" s="1285">
        <f t="shared" si="12"/>
        <v>3.2000000000000002E-3</v>
      </c>
      <c r="K50" s="1285">
        <f t="shared" si="13"/>
        <v>1.6000000000000001E-3</v>
      </c>
      <c r="L50" s="1285">
        <v>0</v>
      </c>
      <c r="M50" s="1285">
        <f t="shared" si="14"/>
        <v>-1.6000000000000001E-3</v>
      </c>
      <c r="N50" s="1285">
        <f t="shared" si="14"/>
        <v>-3.2000000000000002E-3</v>
      </c>
      <c r="AA50" s="1371"/>
      <c r="AB50" s="1371"/>
      <c r="AC50" s="1371"/>
      <c r="AD50" s="1371"/>
      <c r="AE50" s="1371"/>
      <c r="AF50" s="1371"/>
      <c r="AG50" s="1371"/>
      <c r="AH50" s="1371"/>
      <c r="AI50" s="1371"/>
      <c r="AJ50" s="1371"/>
      <c r="AK50" s="1371"/>
    </row>
    <row r="51" spans="1:37" s="1370" customFormat="1" ht="52">
      <c r="A51" s="2872" t="s">
        <v>2951</v>
      </c>
      <c r="B51" s="2877" t="s">
        <v>2952</v>
      </c>
      <c r="C51" s="2772" t="s">
        <v>3099</v>
      </c>
      <c r="D51" s="1286">
        <f t="shared" si="10"/>
        <v>1.6000000000000001E-3</v>
      </c>
      <c r="E51" s="822"/>
      <c r="F51" s="2503"/>
      <c r="G51" s="1284">
        <f t="shared" si="15"/>
        <v>1.6000000000000001E-3</v>
      </c>
      <c r="H51" s="1288">
        <f t="shared" si="11"/>
        <v>1.6000000000000001E-3</v>
      </c>
      <c r="I51" s="820">
        <v>0.05</v>
      </c>
      <c r="J51" s="1285">
        <f t="shared" si="12"/>
        <v>3.2000000000000002E-3</v>
      </c>
      <c r="K51" s="1285">
        <f t="shared" si="13"/>
        <v>1.6000000000000001E-3</v>
      </c>
      <c r="L51" s="1285">
        <v>0</v>
      </c>
      <c r="M51" s="1285">
        <f t="shared" si="14"/>
        <v>-1.6000000000000001E-3</v>
      </c>
      <c r="N51" s="1285">
        <f t="shared" si="14"/>
        <v>-3.2000000000000002E-3</v>
      </c>
      <c r="AA51" s="1371"/>
      <c r="AB51" s="1371"/>
      <c r="AC51" s="1371"/>
      <c r="AD51" s="1371"/>
      <c r="AE51" s="1371"/>
      <c r="AF51" s="1371"/>
      <c r="AG51" s="1371"/>
      <c r="AH51" s="1371"/>
      <c r="AI51" s="1371"/>
      <c r="AJ51" s="1371"/>
      <c r="AK51" s="1371"/>
    </row>
    <row r="52" spans="1:37" s="1370" customFormat="1" ht="26">
      <c r="A52" s="2872" t="s">
        <v>2953</v>
      </c>
      <c r="B52" s="2876">
        <f>估价对象房地状况!C24</f>
        <v>0</v>
      </c>
      <c r="C52" s="2772" t="s">
        <v>3099</v>
      </c>
      <c r="D52" s="1286">
        <f t="shared" si="10"/>
        <v>2.5999999999999999E-3</v>
      </c>
      <c r="E52" s="822"/>
      <c r="F52" s="2503"/>
      <c r="G52" s="1284">
        <f t="shared" si="15"/>
        <v>2.5999999999999999E-3</v>
      </c>
      <c r="H52" s="1288">
        <f t="shared" si="11"/>
        <v>2.5999999999999999E-3</v>
      </c>
      <c r="I52" s="820">
        <v>0.08</v>
      </c>
      <c r="J52" s="1285">
        <f t="shared" si="12"/>
        <v>5.1999999999999998E-3</v>
      </c>
      <c r="K52" s="1285">
        <f t="shared" si="13"/>
        <v>2.5999999999999999E-3</v>
      </c>
      <c r="L52" s="1285">
        <v>0</v>
      </c>
      <c r="M52" s="1285">
        <f t="shared" si="14"/>
        <v>-2.5999999999999999E-3</v>
      </c>
      <c r="N52" s="1285">
        <f t="shared" si="14"/>
        <v>-5.1999999999999998E-3</v>
      </c>
      <c r="AA52" s="1371"/>
      <c r="AB52" s="1371"/>
      <c r="AC52" s="1371"/>
      <c r="AD52" s="1371"/>
      <c r="AE52" s="1371"/>
      <c r="AF52" s="1371"/>
      <c r="AG52" s="1371"/>
      <c r="AH52" s="1371"/>
      <c r="AI52" s="1371"/>
      <c r="AJ52" s="1371"/>
      <c r="AK52" s="1371"/>
    </row>
    <row r="53" spans="1:37" s="1370" customFormat="1" ht="26">
      <c r="A53" s="2872" t="s">
        <v>2954</v>
      </c>
      <c r="B53" s="2878" t="s">
        <v>2955</v>
      </c>
      <c r="C53" s="2772" t="s">
        <v>3099</v>
      </c>
      <c r="D53" s="1286">
        <f t="shared" si="10"/>
        <v>8.9999999999999998E-4</v>
      </c>
      <c r="E53" s="822"/>
      <c r="F53" s="2503"/>
      <c r="G53" s="1284">
        <f t="shared" si="15"/>
        <v>8.9999999999999998E-4</v>
      </c>
      <c r="H53" s="1288">
        <f t="shared" si="11"/>
        <v>8.9999999999999998E-4</v>
      </c>
      <c r="I53" s="820">
        <v>0.03</v>
      </c>
      <c r="J53" s="1285">
        <f t="shared" si="12"/>
        <v>1.8E-3</v>
      </c>
      <c r="K53" s="1285">
        <f t="shared" si="13"/>
        <v>8.9999999999999998E-4</v>
      </c>
      <c r="L53" s="1285">
        <v>0</v>
      </c>
      <c r="M53" s="1285">
        <f t="shared" si="14"/>
        <v>-8.9999999999999998E-4</v>
      </c>
      <c r="N53" s="1285">
        <f t="shared" si="14"/>
        <v>-1.8E-3</v>
      </c>
      <c r="AA53" s="1371"/>
      <c r="AB53" s="1371"/>
      <c r="AC53" s="1371"/>
      <c r="AD53" s="1371"/>
      <c r="AE53" s="1371"/>
      <c r="AF53" s="1371"/>
      <c r="AG53" s="1371"/>
      <c r="AH53" s="1371"/>
      <c r="AI53" s="1371"/>
      <c r="AJ53" s="1371"/>
      <c r="AK53" s="1371"/>
    </row>
    <row r="54" spans="1:37" s="1370" customFormat="1" ht="26">
      <c r="A54" s="2879" t="s">
        <v>2956</v>
      </c>
      <c r="B54" s="1725" t="str">
        <f>估价对象房地状况!C21</f>
        <v>估价对象所在区域公共配套设施齐备情况</v>
      </c>
      <c r="C54" s="2772" t="s">
        <v>3099</v>
      </c>
      <c r="D54" s="1286">
        <f t="shared" si="10"/>
        <v>1.6000000000000001E-3</v>
      </c>
      <c r="E54" s="822"/>
      <c r="F54" s="2503"/>
      <c r="G54" s="1284">
        <f t="shared" si="15"/>
        <v>1.6000000000000001E-3</v>
      </c>
      <c r="H54" s="1288">
        <f t="shared" si="11"/>
        <v>1.6000000000000001E-3</v>
      </c>
      <c r="I54" s="820">
        <v>0.05</v>
      </c>
      <c r="J54" s="1285">
        <f t="shared" si="12"/>
        <v>3.2000000000000002E-3</v>
      </c>
      <c r="K54" s="1285">
        <f t="shared" si="13"/>
        <v>1.6000000000000001E-3</v>
      </c>
      <c r="L54" s="1285">
        <v>0</v>
      </c>
      <c r="M54" s="1285">
        <f t="shared" si="14"/>
        <v>-1.6000000000000001E-3</v>
      </c>
      <c r="N54" s="1285">
        <f t="shared" si="14"/>
        <v>-3.2000000000000002E-3</v>
      </c>
      <c r="AA54" s="1371"/>
      <c r="AB54" s="1371"/>
      <c r="AC54" s="1371"/>
      <c r="AD54" s="1371"/>
      <c r="AE54" s="1371"/>
      <c r="AF54" s="1371"/>
      <c r="AG54" s="1371"/>
      <c r="AH54" s="1371"/>
      <c r="AI54" s="1371"/>
      <c r="AJ54" s="1371"/>
      <c r="AK54" s="1371"/>
    </row>
    <row r="55" spans="1:37" s="1370" customFormat="1" ht="26">
      <c r="A55" s="2879" t="s">
        <v>2957</v>
      </c>
      <c r="B55" s="2876" t="str">
        <f>估价对象房地状况!C22</f>
        <v>估价对象所在区域基础设施水平</v>
      </c>
      <c r="C55" s="2772" t="s">
        <v>3100</v>
      </c>
      <c r="D55" s="1286">
        <f t="shared" si="10"/>
        <v>6.6E-3</v>
      </c>
      <c r="E55" s="822"/>
      <c r="F55" s="2503"/>
      <c r="G55" s="1284">
        <f t="shared" si="15"/>
        <v>3.3E-3</v>
      </c>
      <c r="H55" s="1288">
        <f t="shared" si="11"/>
        <v>3.3E-3</v>
      </c>
      <c r="I55" s="820">
        <v>0.1</v>
      </c>
      <c r="J55" s="1285">
        <f t="shared" si="12"/>
        <v>6.6E-3</v>
      </c>
      <c r="K55" s="1285">
        <f t="shared" si="13"/>
        <v>3.3E-3</v>
      </c>
      <c r="L55" s="1285">
        <v>0</v>
      </c>
      <c r="M55" s="1285">
        <f t="shared" si="14"/>
        <v>-3.3E-3</v>
      </c>
      <c r="N55" s="1285">
        <f t="shared" si="14"/>
        <v>-6.6E-3</v>
      </c>
      <c r="AA55" s="1371"/>
      <c r="AB55" s="1371"/>
      <c r="AC55" s="1371"/>
      <c r="AD55" s="1371"/>
      <c r="AE55" s="1371"/>
      <c r="AF55" s="1371"/>
      <c r="AG55" s="1371"/>
      <c r="AH55" s="1371"/>
      <c r="AI55" s="1371"/>
      <c r="AJ55" s="1371"/>
      <c r="AK55" s="1371"/>
    </row>
    <row r="56" spans="1:37" s="1370" customFormat="1" ht="38" thickBot="1">
      <c r="A56" s="2880" t="s">
        <v>2958</v>
      </c>
      <c r="B56" s="2881" t="str">
        <f>估价对象房地状况!C20</f>
        <v>区域自然环境：；人文环境；综合评价环境状况一般</v>
      </c>
      <c r="C56" s="2772" t="s">
        <v>3101</v>
      </c>
      <c r="D56" s="1286">
        <f t="shared" si="10"/>
        <v>0</v>
      </c>
      <c r="E56" s="825"/>
      <c r="F56" s="2503"/>
      <c r="G56" s="1284">
        <f t="shared" si="15"/>
        <v>1.9E-3</v>
      </c>
      <c r="H56" s="1288">
        <f t="shared" si="11"/>
        <v>1.9E-3</v>
      </c>
      <c r="I56" s="824">
        <v>0.06</v>
      </c>
      <c r="J56" s="1285">
        <f t="shared" si="12"/>
        <v>3.8E-3</v>
      </c>
      <c r="K56" s="1285">
        <f t="shared" si="13"/>
        <v>1.9E-3</v>
      </c>
      <c r="L56" s="1285">
        <v>0</v>
      </c>
      <c r="M56" s="1285">
        <f t="shared" si="14"/>
        <v>-1.9E-3</v>
      </c>
      <c r="N56" s="1285">
        <f t="shared" si="14"/>
        <v>-3.8E-3</v>
      </c>
      <c r="AA56" s="1371"/>
      <c r="AB56" s="1371"/>
      <c r="AC56" s="1371"/>
      <c r="AD56" s="1371"/>
      <c r="AE56" s="1371"/>
      <c r="AF56" s="1371"/>
      <c r="AG56" s="1371"/>
      <c r="AH56" s="1371"/>
      <c r="AI56" s="1371"/>
      <c r="AJ56" s="1371"/>
      <c r="AK56" s="1371"/>
    </row>
    <row r="57" spans="1:37" s="1370" customFormat="1" ht="14">
      <c r="A57" s="2868" t="s">
        <v>2959</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6">
      <c r="A58" s="2872" t="s">
        <v>2940</v>
      </c>
      <c r="B58" s="1809"/>
      <c r="C58" s="1809" t="s">
        <v>2942</v>
      </c>
      <c r="D58" s="1809" t="s">
        <v>2943</v>
      </c>
      <c r="E58" s="819" t="s">
        <v>2944</v>
      </c>
      <c r="F58" s="2873" t="s">
        <v>2960</v>
      </c>
      <c r="G58" s="1809" t="s">
        <v>754</v>
      </c>
      <c r="H58" s="2874" t="s">
        <v>2946</v>
      </c>
      <c r="I58" s="1809" t="s">
        <v>2947</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50">
      <c r="A59" s="2872" t="s">
        <v>2961</v>
      </c>
      <c r="B59" s="2875" t="str">
        <f>估价对象房地状况!C17</f>
        <v>估价对象位于XX商圈，周边办公楼项目较多，入驻率高，办公集聚程度较好</v>
      </c>
      <c r="C59" s="2772"/>
      <c r="D59" s="1286">
        <f t="shared" ref="D59:D67" si="16">SUMIF($J$58:$N$58,C59,J59:N59)</f>
        <v>0</v>
      </c>
      <c r="E59" s="821">
        <f>ROUND(SUM(D59:D67),4)</f>
        <v>0</v>
      </c>
      <c r="F59" s="2503"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0">
      <c r="A60" s="2872" t="s">
        <v>2949</v>
      </c>
      <c r="B60" s="2876" t="str">
        <f>估价对象房地状况!C18</f>
        <v>估价对象周边道路状况、公共交通通达情况、停车便捷程度，综合评价交通便捷度较好</v>
      </c>
      <c r="C60" s="2772"/>
      <c r="D60" s="1286">
        <f t="shared" si="16"/>
        <v>0</v>
      </c>
      <c r="E60" s="822"/>
      <c r="F60" s="2503"/>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6">
      <c r="A61" s="2872" t="s">
        <v>2950</v>
      </c>
      <c r="B61" s="2876">
        <f>估价对象房地状况!C19</f>
        <v>0</v>
      </c>
      <c r="C61" s="2772"/>
      <c r="D61" s="1286">
        <f t="shared" si="16"/>
        <v>0</v>
      </c>
      <c r="E61" s="822"/>
      <c r="F61" s="2503"/>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52">
      <c r="A62" s="2872" t="s">
        <v>2951</v>
      </c>
      <c r="B62" s="2877" t="s">
        <v>2952</v>
      </c>
      <c r="C62" s="2772"/>
      <c r="D62" s="1286">
        <f t="shared" si="16"/>
        <v>0</v>
      </c>
      <c r="E62" s="822"/>
      <c r="F62" s="2503"/>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6">
      <c r="A63" s="2872" t="s">
        <v>2953</v>
      </c>
      <c r="B63" s="2876">
        <f>估价对象房地状况!C24</f>
        <v>0</v>
      </c>
      <c r="C63" s="2772"/>
      <c r="D63" s="1286">
        <f t="shared" si="16"/>
        <v>0</v>
      </c>
      <c r="E63" s="822"/>
      <c r="F63" s="2503"/>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6">
      <c r="A64" s="2872" t="s">
        <v>2954</v>
      </c>
      <c r="B64" s="2878" t="s">
        <v>2955</v>
      </c>
      <c r="C64" s="2772"/>
      <c r="D64" s="1286">
        <f t="shared" si="16"/>
        <v>0</v>
      </c>
      <c r="E64" s="822"/>
      <c r="F64" s="2503"/>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6">
      <c r="A65" s="2872" t="s">
        <v>2956</v>
      </c>
      <c r="B65" s="1725" t="str">
        <f>估价对象房地状况!C21</f>
        <v>估价对象所在区域公共配套设施齐备情况</v>
      </c>
      <c r="C65" s="2772"/>
      <c r="D65" s="1286">
        <f t="shared" si="16"/>
        <v>0</v>
      </c>
      <c r="E65" s="822"/>
      <c r="F65" s="2503"/>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6">
      <c r="A66" s="2872" t="s">
        <v>2957</v>
      </c>
      <c r="B66" s="1725" t="str">
        <f>估价对象房地状况!C22</f>
        <v>估价对象所在区域基础设施水平</v>
      </c>
      <c r="C66" s="2772"/>
      <c r="D66" s="1286">
        <f t="shared" si="16"/>
        <v>0</v>
      </c>
      <c r="E66" s="822"/>
      <c r="F66" s="2503"/>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8" thickBot="1">
      <c r="A67" s="2880" t="s">
        <v>2958</v>
      </c>
      <c r="B67" s="2882" t="str">
        <f>估价对象房地状况!C20</f>
        <v>区域自然环境：；人文环境；综合评价环境状况一般</v>
      </c>
      <c r="C67" s="2772"/>
      <c r="D67" s="1286">
        <f t="shared" si="16"/>
        <v>0</v>
      </c>
      <c r="E67" s="825"/>
      <c r="F67" s="2503"/>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4">
      <c r="A68" s="2868" t="s">
        <v>2962</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6">
      <c r="A69" s="2872" t="s">
        <v>2940</v>
      </c>
      <c r="B69" s="1809"/>
      <c r="C69" s="1809" t="s">
        <v>2942</v>
      </c>
      <c r="D69" s="1809" t="s">
        <v>2943</v>
      </c>
      <c r="E69" s="819" t="s">
        <v>2944</v>
      </c>
      <c r="F69" s="2873" t="s">
        <v>2960</v>
      </c>
      <c r="G69" s="1809" t="s">
        <v>754</v>
      </c>
      <c r="H69" s="2874" t="s">
        <v>2946</v>
      </c>
      <c r="I69" s="1809" t="s">
        <v>2947</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62.5">
      <c r="A70" s="2872" t="s">
        <v>2963</v>
      </c>
      <c r="B70" s="2875" t="str">
        <f>估价对象房地状况!C15</f>
        <v>估价对象周边居住用地比例、居住小区规模和社区发展完善程度，综合评价居住社区成熟度一般</v>
      </c>
      <c r="C70" s="2772"/>
      <c r="D70" s="1286">
        <f t="shared" ref="D70:D78" si="21">SUMIF($J$69:$N$69,C70,J70:N70)</f>
        <v>0</v>
      </c>
      <c r="E70" s="821">
        <f>ROUND(SUM(D70:D78),4)</f>
        <v>0</v>
      </c>
      <c r="F70" s="2503"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0">
      <c r="A71" s="2872" t="s">
        <v>2949</v>
      </c>
      <c r="B71" s="2876" t="str">
        <f>估价对象房地状况!C18</f>
        <v>估价对象周边道路状况、公共交通通达情况、停车便捷程度，综合评价交通便捷度较好</v>
      </c>
      <c r="C71" s="2772"/>
      <c r="D71" s="1286">
        <f t="shared" si="21"/>
        <v>0</v>
      </c>
      <c r="E71" s="826"/>
      <c r="F71" s="2503"/>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6">
      <c r="A72" s="2872" t="s">
        <v>2950</v>
      </c>
      <c r="B72" s="2876">
        <f>估价对象房地状况!C19</f>
        <v>0</v>
      </c>
      <c r="C72" s="2772"/>
      <c r="D72" s="1286">
        <f t="shared" si="21"/>
        <v>0</v>
      </c>
      <c r="E72" s="826"/>
      <c r="F72" s="2503"/>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
      <c r="A73" s="2872" t="s">
        <v>2964</v>
      </c>
      <c r="B73" s="2876">
        <f>估价对象房地状况!C24</f>
        <v>0</v>
      </c>
      <c r="C73" s="2772"/>
      <c r="D73" s="1286">
        <f t="shared" si="21"/>
        <v>0</v>
      </c>
      <c r="E73" s="826"/>
      <c r="F73" s="2503"/>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6">
      <c r="A74" s="2872" t="s">
        <v>2956</v>
      </c>
      <c r="B74" s="1725" t="str">
        <f>估价对象房地状况!C21</f>
        <v>估价对象所在区域公共配套设施齐备情况</v>
      </c>
      <c r="C74" s="2772"/>
      <c r="D74" s="1286">
        <f t="shared" si="21"/>
        <v>0</v>
      </c>
      <c r="E74" s="826"/>
      <c r="F74" s="2503"/>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6">
      <c r="A75" s="2872" t="s">
        <v>2957</v>
      </c>
      <c r="B75" s="1725" t="str">
        <f>估价对象房地状况!C22</f>
        <v>估价对象所在区域基础设施水平</v>
      </c>
      <c r="C75" s="2772"/>
      <c r="D75" s="1286">
        <f t="shared" si="21"/>
        <v>0</v>
      </c>
      <c r="E75" s="826"/>
      <c r="F75" s="2503"/>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21" customFormat="1" ht="26">
      <c r="A76" s="2872" t="s">
        <v>2954</v>
      </c>
      <c r="B76" s="2878" t="s">
        <v>2955</v>
      </c>
      <c r="C76" s="2772"/>
      <c r="D76" s="1286">
        <f t="shared" si="21"/>
        <v>0</v>
      </c>
      <c r="E76" s="826"/>
      <c r="F76" s="2503"/>
      <c r="G76" s="1284"/>
      <c r="H76" s="1288" t="str">
        <f t="shared" si="22"/>
        <v>——</v>
      </c>
      <c r="I76" s="820">
        <v>0.05</v>
      </c>
      <c r="J76" s="1285">
        <f t="shared" si="23"/>
        <v>0</v>
      </c>
      <c r="K76" s="1285">
        <f t="shared" si="24"/>
        <v>0</v>
      </c>
      <c r="L76" s="1285">
        <v>0</v>
      </c>
      <c r="M76" s="1285">
        <f t="shared" si="25"/>
        <v>0</v>
      </c>
      <c r="N76" s="1285">
        <f t="shared" si="25"/>
        <v>0</v>
      </c>
      <c r="AA76" s="2883"/>
      <c r="AB76" s="1371"/>
      <c r="AC76" s="1371"/>
      <c r="AD76" s="1371"/>
      <c r="AE76" s="1371"/>
      <c r="AF76" s="1371"/>
      <c r="AG76" s="1371"/>
      <c r="AH76" s="2883"/>
      <c r="AI76" s="2883"/>
      <c r="AJ76" s="2883"/>
      <c r="AK76" s="2883"/>
    </row>
    <row r="77" spans="1:37" ht="37.5">
      <c r="A77" s="2872" t="s">
        <v>2958</v>
      </c>
      <c r="B77" s="2875" t="str">
        <f>估价对象房地状况!C20</f>
        <v>区域自然环境：；人文环境；综合评价环境状况一般</v>
      </c>
      <c r="C77" s="2772"/>
      <c r="D77" s="1286">
        <f t="shared" si="21"/>
        <v>0</v>
      </c>
      <c r="E77" s="826"/>
      <c r="F77" s="2503"/>
      <c r="G77" s="1284"/>
      <c r="H77" s="1288" t="str">
        <f t="shared" si="22"/>
        <v>——</v>
      </c>
      <c r="I77" s="820">
        <v>0.15</v>
      </c>
      <c r="J77" s="1285">
        <f t="shared" si="23"/>
        <v>0</v>
      </c>
      <c r="K77" s="1285">
        <f t="shared" si="24"/>
        <v>0</v>
      </c>
      <c r="L77" s="1285">
        <v>0</v>
      </c>
      <c r="M77" s="1285">
        <f t="shared" si="25"/>
        <v>0</v>
      </c>
      <c r="N77" s="1285">
        <f t="shared" si="25"/>
        <v>0</v>
      </c>
      <c r="Z77" s="2722"/>
      <c r="AA77" s="2790"/>
      <c r="AG77" s="1372"/>
      <c r="AK77" s="2790"/>
    </row>
    <row r="78" spans="1:37" ht="26.5" thickBot="1">
      <c r="A78" s="2880" t="s">
        <v>2965</v>
      </c>
      <c r="B78" s="2884"/>
      <c r="C78" s="2772"/>
      <c r="D78" s="1286">
        <f t="shared" si="21"/>
        <v>0</v>
      </c>
      <c r="E78" s="827"/>
      <c r="F78" s="2503"/>
      <c r="G78" s="1284"/>
      <c r="H78" s="1288" t="str">
        <f t="shared" si="22"/>
        <v>——</v>
      </c>
      <c r="I78" s="824">
        <v>0.04</v>
      </c>
      <c r="J78" s="1285">
        <f t="shared" si="23"/>
        <v>0</v>
      </c>
      <c r="K78" s="1285">
        <f t="shared" si="24"/>
        <v>0</v>
      </c>
      <c r="L78" s="1285">
        <v>0</v>
      </c>
      <c r="M78" s="1285">
        <f t="shared" si="25"/>
        <v>0</v>
      </c>
      <c r="N78" s="1285">
        <f t="shared" si="25"/>
        <v>0</v>
      </c>
      <c r="Z78" s="2722"/>
      <c r="AA78" s="2790"/>
      <c r="AG78" s="1372"/>
      <c r="AK78" s="2790"/>
    </row>
    <row r="79" spans="1:37" ht="14">
      <c r="A79" s="2868" t="s">
        <v>2966</v>
      </c>
      <c r="B79" s="2869">
        <f>1+E81</f>
        <v>1</v>
      </c>
      <c r="C79" s="814"/>
      <c r="D79" s="814"/>
      <c r="E79" s="815"/>
      <c r="F79" s="2871"/>
      <c r="G79" s="6"/>
      <c r="H79" s="6"/>
      <c r="I79" s="6"/>
      <c r="J79" s="7"/>
      <c r="K79" s="7"/>
      <c r="L79" s="7"/>
      <c r="M79" s="7"/>
      <c r="N79" s="7"/>
      <c r="Z79" s="2722"/>
      <c r="AA79" s="2790"/>
      <c r="AG79" s="1372"/>
      <c r="AK79" s="2790"/>
    </row>
    <row r="80" spans="1:37" ht="26">
      <c r="A80" s="2872" t="s">
        <v>2940</v>
      </c>
      <c r="B80" s="1809"/>
      <c r="C80" s="1809" t="s">
        <v>2942</v>
      </c>
      <c r="D80" s="1809" t="s">
        <v>2943</v>
      </c>
      <c r="E80" s="819" t="s">
        <v>2944</v>
      </c>
      <c r="F80" s="2873" t="s">
        <v>2960</v>
      </c>
      <c r="G80" s="1809" t="s">
        <v>754</v>
      </c>
      <c r="H80" s="2874" t="s">
        <v>2946</v>
      </c>
      <c r="I80" s="1809" t="s">
        <v>2947</v>
      </c>
      <c r="J80" s="603" t="s">
        <v>2596</v>
      </c>
      <c r="K80" s="603" t="s">
        <v>2597</v>
      </c>
      <c r="L80" s="603" t="s">
        <v>2598</v>
      </c>
      <c r="M80" s="603" t="s">
        <v>2599</v>
      </c>
      <c r="N80" s="603" t="s">
        <v>2600</v>
      </c>
      <c r="Z80" s="2722"/>
      <c r="AA80" s="2790"/>
      <c r="AG80" s="1372"/>
      <c r="AK80" s="2790"/>
    </row>
    <row r="81" spans="1:37" ht="37.5">
      <c r="A81" s="2872" t="s">
        <v>2967</v>
      </c>
      <c r="B81" s="2876" t="str">
        <f>估价对象房地状况!G15</f>
        <v>估价对象位于XX开发区，园区建设成熟度XX，产业集聚程度XX</v>
      </c>
      <c r="C81" s="2772"/>
      <c r="D81" s="1286">
        <f t="shared" ref="D81:D88" si="26">SUMIF($J$80:$N$80,C81,J81:N81)</f>
        <v>0</v>
      </c>
      <c r="E81" s="821">
        <f>ROUND(SUM(D81:D88),4)</f>
        <v>0</v>
      </c>
      <c r="F81" s="2503"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2"/>
      <c r="AA81" s="2790"/>
      <c r="AG81" s="1372"/>
      <c r="AK81" s="2790"/>
    </row>
    <row r="82" spans="1:37" ht="50">
      <c r="A82" s="2872" t="s">
        <v>2949</v>
      </c>
      <c r="B82" s="2876" t="str">
        <f>估价对象房地状况!G16</f>
        <v>估价对象周边道路状况、公共交通通达情况、停车便捷程度，综合评价交通便捷度较好</v>
      </c>
      <c r="C82" s="2772"/>
      <c r="D82" s="1286">
        <f t="shared" si="26"/>
        <v>0</v>
      </c>
      <c r="E82" s="826"/>
      <c r="F82" s="2503"/>
      <c r="G82" s="1284"/>
      <c r="H82" s="1288" t="str">
        <f t="shared" si="27"/>
        <v>——</v>
      </c>
      <c r="I82" s="820">
        <v>0.33</v>
      </c>
      <c r="J82" s="1285">
        <f t="shared" si="28"/>
        <v>0</v>
      </c>
      <c r="K82" s="1285">
        <f t="shared" si="29"/>
        <v>0</v>
      </c>
      <c r="L82" s="1285">
        <v>0</v>
      </c>
      <c r="M82" s="1285">
        <f t="shared" si="30"/>
        <v>0</v>
      </c>
      <c r="N82" s="1285">
        <f t="shared" si="30"/>
        <v>0</v>
      </c>
      <c r="Z82" s="2722"/>
      <c r="AA82" s="2790"/>
      <c r="AG82" s="1372"/>
      <c r="AK82" s="2790"/>
    </row>
    <row r="83" spans="1:37" ht="26">
      <c r="A83" s="2872" t="s">
        <v>2950</v>
      </c>
      <c r="B83" s="2876">
        <f>估价对象房地状况!G17</f>
        <v>0</v>
      </c>
      <c r="C83" s="2772"/>
      <c r="D83" s="1286">
        <f t="shared" si="26"/>
        <v>0</v>
      </c>
      <c r="E83" s="826"/>
      <c r="F83" s="2503"/>
      <c r="G83" s="1284"/>
      <c r="H83" s="1288" t="str">
        <f t="shared" si="27"/>
        <v>——</v>
      </c>
      <c r="I83" s="820">
        <v>0.05</v>
      </c>
      <c r="J83" s="1285">
        <f t="shared" si="28"/>
        <v>0</v>
      </c>
      <c r="K83" s="1285">
        <f t="shared" si="29"/>
        <v>0</v>
      </c>
      <c r="L83" s="1285">
        <v>0</v>
      </c>
      <c r="M83" s="1285">
        <f t="shared" si="30"/>
        <v>0</v>
      </c>
      <c r="N83" s="1285">
        <f t="shared" si="30"/>
        <v>0</v>
      </c>
      <c r="Z83" s="2722"/>
      <c r="AA83" s="2790"/>
      <c r="AG83" s="1372"/>
      <c r="AK83" s="2790"/>
    </row>
    <row r="84" spans="1:37" ht="14">
      <c r="A84" s="2872" t="s">
        <v>2964</v>
      </c>
      <c r="B84" s="2876">
        <f>估价对象房地状况!G22</f>
        <v>0</v>
      </c>
      <c r="C84" s="2772"/>
      <c r="D84" s="1286">
        <f t="shared" si="26"/>
        <v>0</v>
      </c>
      <c r="E84" s="826"/>
      <c r="F84" s="2503"/>
      <c r="G84" s="1284"/>
      <c r="H84" s="1288" t="str">
        <f t="shared" si="27"/>
        <v>——</v>
      </c>
      <c r="I84" s="820">
        <v>0.04</v>
      </c>
      <c r="J84" s="1285">
        <f t="shared" si="28"/>
        <v>0</v>
      </c>
      <c r="K84" s="1285">
        <f t="shared" si="29"/>
        <v>0</v>
      </c>
      <c r="L84" s="1285">
        <v>0</v>
      </c>
      <c r="M84" s="1285">
        <f t="shared" si="30"/>
        <v>0</v>
      </c>
      <c r="N84" s="1285">
        <f t="shared" si="30"/>
        <v>0</v>
      </c>
      <c r="Z84" s="2722"/>
      <c r="AA84" s="2790"/>
      <c r="AG84" s="1372"/>
      <c r="AK84" s="2790"/>
    </row>
    <row r="85" spans="1:37" ht="26">
      <c r="A85" s="2872" t="s">
        <v>2956</v>
      </c>
      <c r="B85" s="1725" t="str">
        <f>估价对象房地状况!G19</f>
        <v>估价对象所在区域公共配套设施齐备情况</v>
      </c>
      <c r="C85" s="2772"/>
      <c r="D85" s="1286">
        <f t="shared" si="26"/>
        <v>0</v>
      </c>
      <c r="E85" s="826"/>
      <c r="F85" s="2503"/>
      <c r="G85" s="1284"/>
      <c r="H85" s="1288" t="str">
        <f t="shared" si="27"/>
        <v>——</v>
      </c>
      <c r="I85" s="820">
        <v>0.06</v>
      </c>
      <c r="J85" s="1285">
        <f t="shared" si="28"/>
        <v>0</v>
      </c>
      <c r="K85" s="1285">
        <f t="shared" si="29"/>
        <v>0</v>
      </c>
      <c r="L85" s="1285">
        <v>0</v>
      </c>
      <c r="M85" s="1285">
        <f t="shared" si="30"/>
        <v>0</v>
      </c>
      <c r="N85" s="1285">
        <f t="shared" si="30"/>
        <v>0</v>
      </c>
      <c r="Z85" s="2722"/>
      <c r="AA85" s="2790"/>
      <c r="AG85" s="1372"/>
      <c r="AK85" s="2790"/>
    </row>
    <row r="86" spans="1:37" ht="26">
      <c r="A86" s="2872" t="s">
        <v>2957</v>
      </c>
      <c r="B86" s="1725" t="str">
        <f>估价对象房地状况!G20</f>
        <v>估价对象所在区域基础设施水平</v>
      </c>
      <c r="C86" s="2772"/>
      <c r="D86" s="1286">
        <f t="shared" si="26"/>
        <v>0</v>
      </c>
      <c r="E86" s="826"/>
      <c r="F86" s="2503"/>
      <c r="G86" s="1284"/>
      <c r="H86" s="1288" t="str">
        <f t="shared" si="27"/>
        <v>——</v>
      </c>
      <c r="I86" s="820">
        <v>0.15</v>
      </c>
      <c r="J86" s="1285">
        <f t="shared" si="28"/>
        <v>0</v>
      </c>
      <c r="K86" s="1285">
        <f t="shared" si="29"/>
        <v>0</v>
      </c>
      <c r="L86" s="1285">
        <v>0</v>
      </c>
      <c r="M86" s="1285">
        <f t="shared" si="30"/>
        <v>0</v>
      </c>
      <c r="N86" s="1285">
        <f t="shared" si="30"/>
        <v>0</v>
      </c>
      <c r="Z86" s="2722"/>
      <c r="AA86" s="2790"/>
      <c r="AG86" s="1372"/>
      <c r="AK86" s="2790"/>
    </row>
    <row r="87" spans="1:37" ht="26">
      <c r="A87" s="2872" t="s">
        <v>2954</v>
      </c>
      <c r="B87" s="2878" t="s">
        <v>2968</v>
      </c>
      <c r="C87" s="2772"/>
      <c r="D87" s="1286">
        <f t="shared" si="26"/>
        <v>0</v>
      </c>
      <c r="E87" s="826"/>
      <c r="F87" s="2503"/>
      <c r="G87" s="1284"/>
      <c r="H87" s="1288" t="str">
        <f t="shared" si="27"/>
        <v>——</v>
      </c>
      <c r="I87" s="820">
        <v>0.05</v>
      </c>
      <c r="J87" s="1285">
        <f t="shared" si="28"/>
        <v>0</v>
      </c>
      <c r="K87" s="1285">
        <f t="shared" si="29"/>
        <v>0</v>
      </c>
      <c r="L87" s="1285">
        <v>0</v>
      </c>
      <c r="M87" s="1285">
        <f t="shared" si="30"/>
        <v>0</v>
      </c>
      <c r="N87" s="1285">
        <f t="shared" si="30"/>
        <v>0</v>
      </c>
      <c r="Z87" s="2722"/>
      <c r="AA87" s="2790"/>
      <c r="AG87" s="1372"/>
      <c r="AK87" s="2790"/>
    </row>
    <row r="88" spans="1:37" ht="50.5" thickBot="1">
      <c r="A88" s="2880" t="s">
        <v>2969</v>
      </c>
      <c r="B88" s="2885" t="str">
        <f>估价对象房地状况!G18</f>
        <v>该园区内是否有污染型企业，绿化情况，卫生条件，整体环境状况判断</v>
      </c>
      <c r="C88" s="2772"/>
      <c r="D88" s="1286">
        <f t="shared" si="26"/>
        <v>0</v>
      </c>
      <c r="E88" s="827"/>
      <c r="F88" s="2503"/>
      <c r="G88" s="1284"/>
      <c r="H88" s="1288" t="str">
        <f t="shared" si="27"/>
        <v>——</v>
      </c>
      <c r="I88" s="824">
        <v>0.06</v>
      </c>
      <c r="J88" s="1285">
        <f t="shared" si="28"/>
        <v>0</v>
      </c>
      <c r="K88" s="1285">
        <f t="shared" si="29"/>
        <v>0</v>
      </c>
      <c r="L88" s="1285">
        <v>0</v>
      </c>
      <c r="M88" s="1285">
        <f t="shared" si="30"/>
        <v>0</v>
      </c>
      <c r="N88" s="1285">
        <f t="shared" si="30"/>
        <v>0</v>
      </c>
      <c r="Z88" s="2722"/>
      <c r="AA88" s="2790"/>
      <c r="AG88" s="1372"/>
      <c r="AK88" s="2790"/>
    </row>
    <row r="90" spans="1:37" ht="13">
      <c r="A90" s="3290" t="s">
        <v>2970</v>
      </c>
      <c r="B90" s="3290"/>
      <c r="C90" s="3290"/>
      <c r="D90" s="3290"/>
      <c r="E90" s="3290"/>
      <c r="F90" s="3290"/>
      <c r="G90" s="3290"/>
      <c r="H90" s="3290"/>
      <c r="I90" s="3290"/>
      <c r="J90" s="3290"/>
      <c r="K90" s="2886"/>
      <c r="L90" s="2886"/>
      <c r="M90" s="2886"/>
      <c r="N90" s="2886"/>
    </row>
    <row r="91" spans="1:37" ht="13">
      <c r="A91" s="3292" t="s">
        <v>2971</v>
      </c>
      <c r="B91" s="3292" t="s">
        <v>2972</v>
      </c>
      <c r="C91" s="2840" t="s">
        <v>2973</v>
      </c>
      <c r="D91" s="2841"/>
      <c r="E91" s="2841"/>
      <c r="F91" s="2841"/>
      <c r="G91" s="2841"/>
      <c r="H91" s="2841"/>
      <c r="I91" s="2841"/>
      <c r="J91" s="2887"/>
      <c r="K91" s="2888"/>
      <c r="L91" s="2888"/>
      <c r="M91" s="2888"/>
      <c r="N91" s="2888"/>
    </row>
    <row r="92" spans="1:37" ht="13">
      <c r="A92" s="3292"/>
      <c r="B92" s="3292"/>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93" t="s">
        <v>2974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94"/>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94"/>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94"/>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94"/>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94"/>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ht="13">
      <c r="A99" s="3294"/>
      <c r="B99" s="2889" t="s">
        <v>2855</v>
      </c>
      <c r="C99" s="2891">
        <f>$I$3</f>
        <v>2</v>
      </c>
      <c r="D99" s="2891">
        <f t="shared" ref="D99:M99" si="31">$I$3</f>
        <v>2</v>
      </c>
      <c r="E99" s="2891">
        <f t="shared" si="31"/>
        <v>2</v>
      </c>
      <c r="F99" s="2891">
        <f t="shared" si="31"/>
        <v>2</v>
      </c>
      <c r="G99" s="2891">
        <f t="shared" si="31"/>
        <v>2</v>
      </c>
      <c r="H99" s="2891">
        <f t="shared" si="31"/>
        <v>2</v>
      </c>
      <c r="I99" s="2891">
        <f t="shared" si="31"/>
        <v>2</v>
      </c>
      <c r="J99" s="2891">
        <f t="shared" si="31"/>
        <v>2</v>
      </c>
      <c r="K99" s="2891">
        <f t="shared" si="31"/>
        <v>2</v>
      </c>
      <c r="L99" s="2891">
        <f t="shared" si="31"/>
        <v>2</v>
      </c>
      <c r="M99" s="2891">
        <f t="shared" si="31"/>
        <v>2</v>
      </c>
      <c r="N99" s="2891">
        <f>$I$3</f>
        <v>2</v>
      </c>
    </row>
    <row r="100" spans="1:14">
      <c r="A100" s="3295"/>
      <c r="B100" s="2889">
        <v>7</v>
      </c>
      <c r="C100" s="2892">
        <f>(-0.163*(C99^2)-0.59*C99+7617)*(10^(-4))</f>
        <v>0.76151679999999999</v>
      </c>
      <c r="D100" s="2892">
        <f>(-0.163*(D99^2)-0.59*D99+7617)*(10^(-4))</f>
        <v>0.76151679999999999</v>
      </c>
      <c r="E100" s="2892">
        <f>(-0.161*(E99^2)-7.509*E99+6533)*(10^(-4))</f>
        <v>0.65173380000000003</v>
      </c>
      <c r="F100" s="2892">
        <f>(-0.161*(F99^2)-7.509*F99+6533)*(10^(-4))</f>
        <v>0.65173380000000003</v>
      </c>
      <c r="G100" s="2892">
        <f>(-0.161*(G99^2)-7.509*G99+6533)*(10^(-4))</f>
        <v>0.65173380000000003</v>
      </c>
      <c r="H100" s="2892">
        <f>(-0.161*(H99^2)-7.509*H99+6533)*(10^(-4))</f>
        <v>0.65173380000000003</v>
      </c>
      <c r="I100" s="2892">
        <f>(-0.161*(I99^2)-7.509*I99+6533)*(10^(-4))</f>
        <v>0.65173380000000003</v>
      </c>
      <c r="J100" s="2892">
        <f>(-0.214*(J99^2)-21.991*J99+4665)*(10^(-4))</f>
        <v>0.46201620000000004</v>
      </c>
      <c r="K100" s="2892">
        <f>(-0.214*(K99^2)-21.991*K99+4665)*(10^(-4))</f>
        <v>0.46201620000000004</v>
      </c>
      <c r="L100" s="2892">
        <f>(-0.214*(L99^2)-21.991*L99+4665)*(10^(-4))</f>
        <v>0.46201620000000004</v>
      </c>
      <c r="M100" s="2892">
        <f>(-0.214*(M99^2)-21.991*M99+4665)*(10^(-4))</f>
        <v>0.46201620000000004</v>
      </c>
      <c r="N100" s="2892">
        <f>(-0.214*(N99^2)-21.991*N99+4665)*(10^(-4))</f>
        <v>0.46201620000000004</v>
      </c>
    </row>
    <row r="101" spans="1:14" ht="13">
      <c r="A101" s="3293" t="s">
        <v>2975</v>
      </c>
      <c r="B101" s="2893" t="s">
        <v>2976</v>
      </c>
      <c r="C101" s="2894">
        <f>$G$3</f>
        <v>2.5</v>
      </c>
      <c r="D101" s="2894">
        <f t="shared" ref="D101:N101" si="32">$G$3</f>
        <v>2.5</v>
      </c>
      <c r="E101" s="2894">
        <f t="shared" si="32"/>
        <v>2.5</v>
      </c>
      <c r="F101" s="2894">
        <f t="shared" si="32"/>
        <v>2.5</v>
      </c>
      <c r="G101" s="2894">
        <f t="shared" si="32"/>
        <v>2.5</v>
      </c>
      <c r="H101" s="2894">
        <f t="shared" si="32"/>
        <v>2.5</v>
      </c>
      <c r="I101" s="2894">
        <f t="shared" si="32"/>
        <v>2.5</v>
      </c>
      <c r="J101" s="2894">
        <f t="shared" si="32"/>
        <v>2.5</v>
      </c>
      <c r="K101" s="2894">
        <f t="shared" si="32"/>
        <v>2.5</v>
      </c>
      <c r="L101" s="2894">
        <f t="shared" si="32"/>
        <v>2.5</v>
      </c>
      <c r="M101" s="2894">
        <f t="shared" si="32"/>
        <v>2.5</v>
      </c>
      <c r="N101" s="2894">
        <f t="shared" si="32"/>
        <v>2.5</v>
      </c>
    </row>
    <row r="102" spans="1:14">
      <c r="A102" s="3294"/>
      <c r="B102" s="2889">
        <v>1</v>
      </c>
      <c r="C102" s="2890">
        <f>1.9362/C101</f>
        <v>0.77447999999999995</v>
      </c>
      <c r="D102" s="2890">
        <f>1.9362/D101</f>
        <v>0.77447999999999995</v>
      </c>
      <c r="E102" s="2890">
        <f>1.8629/E101</f>
        <v>0.74516000000000004</v>
      </c>
      <c r="F102" s="2890">
        <f>1.8629/F101</f>
        <v>0.74516000000000004</v>
      </c>
      <c r="G102" s="2890">
        <f>1.8629/G101</f>
        <v>0.74516000000000004</v>
      </c>
      <c r="H102" s="2890">
        <f>1.8629/H101</f>
        <v>0.74516000000000004</v>
      </c>
      <c r="I102" s="2890">
        <f>1.8629/I101</f>
        <v>0.74516000000000004</v>
      </c>
      <c r="J102" s="2890">
        <f>1.942/J101</f>
        <v>0.77679999999999993</v>
      </c>
      <c r="K102" s="2890">
        <f>1.942/K101</f>
        <v>0.77679999999999993</v>
      </c>
      <c r="L102" s="2890">
        <f>1.942/L101</f>
        <v>0.77679999999999993</v>
      </c>
      <c r="M102" s="2890">
        <f>1.942/M101</f>
        <v>0.77679999999999993</v>
      </c>
      <c r="N102" s="2890">
        <f>1.942/N101</f>
        <v>0.77679999999999993</v>
      </c>
    </row>
    <row r="103" spans="1:14">
      <c r="A103" s="3294"/>
      <c r="B103" s="2889">
        <v>2</v>
      </c>
      <c r="C103" s="2890">
        <f>1.4198/C101</f>
        <v>0.56791999999999998</v>
      </c>
      <c r="D103" s="2890">
        <f>1.4198/D101</f>
        <v>0.56791999999999998</v>
      </c>
      <c r="E103" s="2890">
        <f>1.3372/E101</f>
        <v>0.53488000000000002</v>
      </c>
      <c r="F103" s="2890">
        <f>1.3372/F101</f>
        <v>0.53488000000000002</v>
      </c>
      <c r="G103" s="2890">
        <f>1.3372/G101</f>
        <v>0.53488000000000002</v>
      </c>
      <c r="H103" s="2890">
        <f>1.3372/H101</f>
        <v>0.53488000000000002</v>
      </c>
      <c r="I103" s="2890">
        <f>1.3372/I101</f>
        <v>0.53488000000000002</v>
      </c>
      <c r="J103" s="2890">
        <f>1.2799/J101</f>
        <v>0.51195999999999997</v>
      </c>
      <c r="K103" s="2890">
        <f>1.2799/K101</f>
        <v>0.51195999999999997</v>
      </c>
      <c r="L103" s="2890">
        <f>1.2799/L101</f>
        <v>0.51195999999999997</v>
      </c>
      <c r="M103" s="2890">
        <f>1.2799/M101</f>
        <v>0.51195999999999997</v>
      </c>
      <c r="N103" s="2890">
        <f>1.2799/N101</f>
        <v>0.51195999999999997</v>
      </c>
    </row>
    <row r="104" spans="1:14">
      <c r="A104" s="3294"/>
      <c r="B104" s="2889">
        <v>3</v>
      </c>
      <c r="C104" s="2890">
        <f>1.1594/C101</f>
        <v>0.46376000000000001</v>
      </c>
      <c r="D104" s="2890">
        <f>1.1594/D101</f>
        <v>0.46376000000000001</v>
      </c>
      <c r="E104" s="2890">
        <f>1.0788/E101</f>
        <v>0.43152000000000001</v>
      </c>
      <c r="F104" s="2890">
        <f>1.0788/F101</f>
        <v>0.43152000000000001</v>
      </c>
      <c r="G104" s="2890">
        <f>1.0788/G101</f>
        <v>0.43152000000000001</v>
      </c>
      <c r="H104" s="2890">
        <f>1.0788/H101</f>
        <v>0.43152000000000001</v>
      </c>
      <c r="I104" s="2890">
        <f>1.0788/I101</f>
        <v>0.43152000000000001</v>
      </c>
      <c r="J104" s="2890">
        <f>1.0072/J101</f>
        <v>0.40288000000000002</v>
      </c>
      <c r="K104" s="2890">
        <f>1.0072/K101</f>
        <v>0.40288000000000002</v>
      </c>
      <c r="L104" s="2890">
        <f>1.0072/L101</f>
        <v>0.40288000000000002</v>
      </c>
      <c r="M104" s="2890">
        <f>1.0072/M101</f>
        <v>0.40288000000000002</v>
      </c>
      <c r="N104" s="2890">
        <f>1.0072/N101</f>
        <v>0.40288000000000002</v>
      </c>
    </row>
    <row r="105" spans="1:14">
      <c r="A105" s="3294"/>
      <c r="B105" s="2889">
        <v>4</v>
      </c>
      <c r="C105" s="2890">
        <f>0.9622/C101</f>
        <v>0.38488</v>
      </c>
      <c r="D105" s="2890">
        <f>0.9622/D101</f>
        <v>0.38488</v>
      </c>
      <c r="E105" s="2890">
        <f>0.8656/E101</f>
        <v>0.34623999999999999</v>
      </c>
      <c r="F105" s="2890">
        <f>0.8656/F101</f>
        <v>0.34623999999999999</v>
      </c>
      <c r="G105" s="2890">
        <f>0.8656/G101</f>
        <v>0.34623999999999999</v>
      </c>
      <c r="H105" s="2890">
        <f>0.8656/H101</f>
        <v>0.34623999999999999</v>
      </c>
      <c r="I105" s="2890">
        <f>0.8656/I101</f>
        <v>0.34623999999999999</v>
      </c>
      <c r="J105" s="2890">
        <f>0.7525/J101</f>
        <v>0.30099999999999999</v>
      </c>
      <c r="K105" s="2890">
        <f>0.7525/K101</f>
        <v>0.30099999999999999</v>
      </c>
      <c r="L105" s="2890">
        <f>0.7525/L101</f>
        <v>0.30099999999999999</v>
      </c>
      <c r="M105" s="2890">
        <f>0.7525/M101</f>
        <v>0.30099999999999999</v>
      </c>
      <c r="N105" s="2890">
        <f>0.7525/N101</f>
        <v>0.30099999999999999</v>
      </c>
    </row>
    <row r="106" spans="1:14">
      <c r="A106" s="3294"/>
      <c r="B106" s="2889">
        <v>5</v>
      </c>
      <c r="C106" s="2890">
        <f>0.8417/C101</f>
        <v>0.33667999999999998</v>
      </c>
      <c r="D106" s="2890">
        <f>0.8417/D101</f>
        <v>0.33667999999999998</v>
      </c>
      <c r="E106" s="2890">
        <f>0.7371/E101</f>
        <v>0.29483999999999999</v>
      </c>
      <c r="F106" s="2890">
        <f>0.7371/F101</f>
        <v>0.29483999999999999</v>
      </c>
      <c r="G106" s="2890">
        <f>0.7371/G101</f>
        <v>0.29483999999999999</v>
      </c>
      <c r="H106" s="2890">
        <f>0.7371/H101</f>
        <v>0.29483999999999999</v>
      </c>
      <c r="I106" s="2890">
        <f>0.7371/I101</f>
        <v>0.29483999999999999</v>
      </c>
      <c r="J106" s="2890">
        <f>0.5659/J101</f>
        <v>0.22635999999999998</v>
      </c>
      <c r="K106" s="2890">
        <f>0.5659/K101</f>
        <v>0.22635999999999998</v>
      </c>
      <c r="L106" s="2890">
        <f>0.5659/L101</f>
        <v>0.22635999999999998</v>
      </c>
      <c r="M106" s="2890">
        <f>0.5659/M101</f>
        <v>0.22635999999999998</v>
      </c>
      <c r="N106" s="2890">
        <f>0.5659/N101</f>
        <v>0.22635999999999998</v>
      </c>
    </row>
    <row r="107" spans="1:14">
      <c r="A107" s="3294"/>
      <c r="B107" s="2889">
        <v>6</v>
      </c>
      <c r="C107" s="2890">
        <f>0.7608/C101</f>
        <v>0.30432000000000003</v>
      </c>
      <c r="D107" s="2890">
        <f>0.7608/D101</f>
        <v>0.30432000000000003</v>
      </c>
      <c r="E107" s="2890">
        <f>0.6482/E101</f>
        <v>0.25928000000000001</v>
      </c>
      <c r="F107" s="2890">
        <f>0.6482/F101</f>
        <v>0.25928000000000001</v>
      </c>
      <c r="G107" s="2890">
        <f>0.6482/G101</f>
        <v>0.25928000000000001</v>
      </c>
      <c r="H107" s="2890">
        <f>0.6482/H101</f>
        <v>0.25928000000000001</v>
      </c>
      <c r="I107" s="2890">
        <f>0.6482/I101</f>
        <v>0.25928000000000001</v>
      </c>
      <c r="J107" s="2890">
        <f>0.4525/J101</f>
        <v>0.18099999999999999</v>
      </c>
      <c r="K107" s="2890">
        <f>0.4525/K101</f>
        <v>0.18099999999999999</v>
      </c>
      <c r="L107" s="2890">
        <f>0.4525/L101</f>
        <v>0.18099999999999999</v>
      </c>
      <c r="M107" s="2890">
        <f>0.4525/M101</f>
        <v>0.18099999999999999</v>
      </c>
      <c r="N107" s="2890">
        <f>0.4525/N101</f>
        <v>0.18099999999999999</v>
      </c>
    </row>
    <row r="108" spans="1:14">
      <c r="A108" s="3294"/>
      <c r="B108" s="3140" t="s">
        <v>2977</v>
      </c>
      <c r="C108" s="2891">
        <f>C99</f>
        <v>2</v>
      </c>
      <c r="D108" s="2891">
        <f t="shared" ref="D108:N108" si="33">D99</f>
        <v>2</v>
      </c>
      <c r="E108" s="2891">
        <f t="shared" si="33"/>
        <v>2</v>
      </c>
      <c r="F108" s="2891">
        <f t="shared" si="33"/>
        <v>2</v>
      </c>
      <c r="G108" s="2891">
        <f t="shared" si="33"/>
        <v>2</v>
      </c>
      <c r="H108" s="2891">
        <f t="shared" si="33"/>
        <v>2</v>
      </c>
      <c r="I108" s="2891">
        <f t="shared" si="33"/>
        <v>2</v>
      </c>
      <c r="J108" s="2891">
        <f t="shared" si="33"/>
        <v>2</v>
      </c>
      <c r="K108" s="2891">
        <f t="shared" si="33"/>
        <v>2</v>
      </c>
      <c r="L108" s="2891">
        <f t="shared" si="33"/>
        <v>2</v>
      </c>
      <c r="M108" s="2891">
        <f t="shared" si="33"/>
        <v>2</v>
      </c>
      <c r="N108" s="2891">
        <f t="shared" si="33"/>
        <v>2</v>
      </c>
    </row>
    <row r="109" spans="1:14">
      <c r="A109" s="3295"/>
      <c r="B109" s="3141"/>
      <c r="C109" s="2892">
        <f>(-0.163*(C108^2)-0.59*C108+7617)*(10^(-4))/C101</f>
        <v>0.30460672</v>
      </c>
      <c r="D109" s="2892">
        <f>(-0.163*(D108^2)-0.59*D108+7617)*(10^(-4))/D101</f>
        <v>0.30460672</v>
      </c>
      <c r="E109" s="2892">
        <f>(-0.161*(E108^2)-7.509*E108+6533)*(10^(-4))/E101</f>
        <v>0.26069352000000001</v>
      </c>
      <c r="F109" s="2892">
        <f>(-0.161*(F108^2)-7.509*F108+6533)*(10^(-4))/F101</f>
        <v>0.26069352000000001</v>
      </c>
      <c r="G109" s="2892">
        <f>(-0.161*(G108^2)-7.509*G108+6533)*(10^(-4))/G101</f>
        <v>0.26069352000000001</v>
      </c>
      <c r="H109" s="2892">
        <f>(-0.161*(H108^2)-7.509*H108+6533)*(10^(-4))/H101</f>
        <v>0.26069352000000001</v>
      </c>
      <c r="I109" s="2892">
        <f>(-0.161*(I108^2)-7.509*I108+6533)*(10^(-4))/I101</f>
        <v>0.26069352000000001</v>
      </c>
      <c r="J109" s="2892">
        <f>(-0.214*(J108^2)-21.991*J108+4665)*(10^(-4))/J101</f>
        <v>0.18480648000000002</v>
      </c>
      <c r="K109" s="2892">
        <f>(-0.214*(K108^2)-21.991*K108+4665)*(10^(-4))/K101</f>
        <v>0.18480648000000002</v>
      </c>
      <c r="L109" s="2892">
        <f>(-0.214*(L108^2)-21.991*L108+4665)*(10^(-4))/L101</f>
        <v>0.18480648000000002</v>
      </c>
      <c r="M109" s="2892">
        <f>(-0.214*(M108^2)-21.991*M108+4665)*(10^(-4))/M101</f>
        <v>0.18480648000000002</v>
      </c>
      <c r="N109" s="2892">
        <f>(-0.214*(N108^2)-21.991*N108+4665)*(10^(-4))/N101</f>
        <v>0.18480648000000002</v>
      </c>
    </row>
    <row r="110" spans="1:14" ht="13">
      <c r="A110" s="3291" t="s">
        <v>2978</v>
      </c>
      <c r="B110" s="3291"/>
      <c r="C110" s="3291"/>
      <c r="D110" s="3291"/>
      <c r="E110" s="3291"/>
      <c r="F110" s="3291"/>
      <c r="G110" s="3291"/>
      <c r="H110" s="3291"/>
      <c r="I110" s="3291"/>
      <c r="J110" s="3291"/>
      <c r="K110" s="2895"/>
      <c r="L110" s="2895"/>
      <c r="M110" s="2895"/>
      <c r="N110" s="2895"/>
    </row>
    <row r="112" spans="1:14" ht="13" thickBot="1"/>
    <row r="113" spans="1:13" ht="26" thickBot="1">
      <c r="A113" s="903" t="s">
        <v>2979</v>
      </c>
      <c r="B113" s="1287">
        <f>G3</f>
        <v>2.5</v>
      </c>
      <c r="C113" s="904" t="s">
        <v>2980</v>
      </c>
      <c r="D113" s="905">
        <f>SUMPRODUCT((A115:A118=F113)*(B114:M114=H113)*B115:M118)</f>
        <v>0.91</v>
      </c>
      <c r="E113" s="2726" t="s">
        <v>2813</v>
      </c>
      <c r="F113" s="2897" t="str">
        <f>E2</f>
        <v>商业</v>
      </c>
      <c r="G113" s="2726" t="s">
        <v>2814</v>
      </c>
      <c r="H113" s="2897" t="str">
        <f>G2</f>
        <v>二级</v>
      </c>
      <c r="I113" s="2726"/>
      <c r="J113" s="2898"/>
      <c r="K113" s="2898"/>
      <c r="L113" s="2898"/>
      <c r="M113" s="2898"/>
    </row>
    <row r="114" spans="1:13" ht="13">
      <c r="A114" s="908"/>
      <c r="B114" s="2899" t="s">
        <v>2981</v>
      </c>
      <c r="C114" s="2899" t="s">
        <v>2982</v>
      </c>
      <c r="D114" s="2899" t="s">
        <v>2983</v>
      </c>
      <c r="E114" s="2900" t="s">
        <v>2984</v>
      </c>
      <c r="F114" s="2900" t="s">
        <v>2985</v>
      </c>
      <c r="G114" s="2900" t="s">
        <v>2986</v>
      </c>
      <c r="H114" s="2901" t="s">
        <v>2987</v>
      </c>
      <c r="I114" s="2901" t="s">
        <v>2988</v>
      </c>
      <c r="J114" s="2902" t="s">
        <v>2989</v>
      </c>
      <c r="K114" s="2902" t="s">
        <v>2990</v>
      </c>
      <c r="L114" s="2902" t="s">
        <v>2991</v>
      </c>
      <c r="M114" s="2903" t="s">
        <v>2992</v>
      </c>
    </row>
    <row r="115" spans="1:13" ht="13">
      <c r="A115" s="909" t="s">
        <v>2877</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ht="13">
      <c r="A116" s="909" t="s">
        <v>2878</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ht="13">
      <c r="A117" s="909" t="s">
        <v>2879</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2880</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opLeftCell="A31" zoomScale="90" zoomScaleNormal="90" workbookViewId="0">
      <selection activeCell="G47" sqref="G47"/>
    </sheetView>
  </sheetViews>
  <sheetFormatPr defaultColWidth="9" defaultRowHeight="14"/>
  <cols>
    <col min="1" max="1" width="10.453125" style="403" customWidth="1"/>
    <col min="2" max="2" width="15.81640625" style="403" customWidth="1"/>
    <col min="3" max="3" width="15.08984375" style="403" customWidth="1"/>
    <col min="4" max="4" width="12.1796875" style="403" customWidth="1"/>
    <col min="5" max="5" width="14.36328125" style="403" customWidth="1"/>
    <col min="6" max="6" width="12.1796875" style="403" customWidth="1"/>
    <col min="7" max="7" width="14.453125" style="403" customWidth="1"/>
    <col min="8" max="8" width="12.1796875" style="403" customWidth="1"/>
    <col min="9" max="9" width="14.453125" style="403" customWidth="1"/>
    <col min="10" max="10" width="12.1796875" style="403" customWidth="1"/>
    <col min="11" max="11" width="12.1796875" style="495" customWidth="1"/>
    <col min="12" max="12" width="12.1796875" style="496" customWidth="1"/>
    <col min="13" max="15" width="12.1796875" style="403" customWidth="1"/>
    <col min="16" max="16" width="4.81640625" style="2626" customWidth="1"/>
    <col min="17" max="17" width="19.453125" style="403" customWidth="1"/>
    <col min="18" max="22" width="6.08984375" style="403" customWidth="1"/>
    <col min="23" max="23" width="5.81640625" style="403" customWidth="1"/>
    <col min="24" max="24" width="4.1796875" style="403" customWidth="1"/>
    <col min="25" max="25" width="3.453125" style="403" customWidth="1"/>
    <col min="26" max="26" width="19.81640625" style="403" customWidth="1"/>
    <col min="27" max="28" width="9.36328125" style="403" customWidth="1"/>
    <col min="29" max="16384" width="9" style="403"/>
  </cols>
  <sheetData>
    <row r="1" spans="1:29" s="1629" customFormat="1" ht="28.5" customHeight="1" thickBot="1">
      <c r="A1" s="1618" t="s">
        <v>2527</v>
      </c>
      <c r="B1" s="2584" t="s">
        <v>2641</v>
      </c>
      <c r="C1" s="1634" t="s">
        <v>2529</v>
      </c>
      <c r="D1" s="1621"/>
      <c r="E1" s="2659"/>
      <c r="F1" s="2586" t="s">
        <v>3105</v>
      </c>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2326</v>
      </c>
      <c r="B2" s="1418">
        <f>IF(C2="——",ROUND(C49*D3/10000,0),ROUND(C49*D3/10000,0)-D2)</f>
        <v>16504</v>
      </c>
      <c r="C2" s="2588" t="s">
        <v>70</v>
      </c>
      <c r="D2" s="1365" t="e">
        <f ca="1">SUMIF(INDIRECT("'"&amp;F2&amp;"'"&amp;"!A:A"),"承租人权益价值",INDIRECT("'"&amp;F2&amp;"'"&amp;"!c:c"))</f>
        <v>#REF!</v>
      </c>
      <c r="E2" s="2589" t="s">
        <v>2327</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2328</v>
      </c>
      <c r="B3" s="609">
        <f>IF(C2="——",C49,ROUND(B2*10000/D3,0))</f>
        <v>55000</v>
      </c>
      <c r="C3" s="400" t="s">
        <v>2643</v>
      </c>
      <c r="D3" s="399">
        <f>IF(D1="",'数据-汇总表'!E3,SUMIF('数据-汇总表'!$C19:$C33,D1,'数据-汇总表'!$E19:$E33))</f>
        <v>3000.7300000000005</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c r="A4" s="401" t="s">
        <v>2644</v>
      </c>
      <c r="B4" s="402"/>
      <c r="C4" s="3224" t="s">
        <v>2645</v>
      </c>
      <c r="D4" s="3225"/>
      <c r="E4" s="3226" t="s">
        <v>2646</v>
      </c>
      <c r="F4" s="3227"/>
      <c r="G4" s="3224" t="s">
        <v>2647</v>
      </c>
      <c r="H4" s="3225"/>
      <c r="I4" s="3224" t="s">
        <v>2648</v>
      </c>
      <c r="J4" s="3225"/>
      <c r="K4" s="610" t="s">
        <v>2649</v>
      </c>
      <c r="L4" s="1130"/>
      <c r="M4" s="1131"/>
      <c r="N4" s="1131"/>
      <c r="O4" s="1131"/>
      <c r="P4" s="3228" t="s">
        <v>2650</v>
      </c>
      <c r="Q4" s="3229"/>
      <c r="R4" s="3211" t="s">
        <v>2646</v>
      </c>
      <c r="S4" s="3212"/>
      <c r="T4" s="3211" t="s">
        <v>2647</v>
      </c>
      <c r="U4" s="3212"/>
      <c r="V4" s="3236" t="s">
        <v>2648</v>
      </c>
      <c r="W4" s="3236"/>
      <c r="X4" s="1813"/>
      <c r="Y4" s="3211" t="s">
        <v>2650</v>
      </c>
      <c r="Z4" s="3212"/>
      <c r="AA4" s="3206" t="s">
        <v>2646</v>
      </c>
      <c r="AB4" s="3236" t="s">
        <v>2647</v>
      </c>
      <c r="AC4" s="3206" t="s">
        <v>2648</v>
      </c>
    </row>
    <row r="5" spans="1:29">
      <c r="A5" s="404"/>
      <c r="B5" s="405"/>
      <c r="C5" s="3217" t="s">
        <v>2541</v>
      </c>
      <c r="D5" s="3218"/>
      <c r="E5" s="3215" t="s">
        <v>2542</v>
      </c>
      <c r="F5" s="3216"/>
      <c r="G5" s="3217" t="s">
        <v>2543</v>
      </c>
      <c r="H5" s="3218"/>
      <c r="I5" s="3217" t="s">
        <v>2544</v>
      </c>
      <c r="J5" s="3218"/>
      <c r="K5" s="610"/>
      <c r="L5" s="1130"/>
      <c r="M5" s="1131"/>
      <c r="N5" s="1131"/>
      <c r="O5" s="1131"/>
      <c r="P5" s="3230"/>
      <c r="Q5" s="3231"/>
      <c r="R5" s="3213"/>
      <c r="S5" s="3214"/>
      <c r="T5" s="3213"/>
      <c r="U5" s="3214"/>
      <c r="V5" s="3236"/>
      <c r="W5" s="3236"/>
      <c r="X5" s="1813"/>
      <c r="Y5" s="3213"/>
      <c r="Z5" s="3214"/>
      <c r="AA5" s="3207"/>
      <c r="AB5" s="3236"/>
      <c r="AC5" s="3207"/>
    </row>
    <row r="6" spans="1:29" ht="15" thickBot="1">
      <c r="A6" s="406"/>
      <c r="B6" s="407"/>
      <c r="C6" s="3219" t="s">
        <v>2545</v>
      </c>
      <c r="D6" s="3220"/>
      <c r="E6" s="3221" t="s">
        <v>2545</v>
      </c>
      <c r="F6" s="3222"/>
      <c r="G6" s="3219" t="s">
        <v>2545</v>
      </c>
      <c r="H6" s="3220"/>
      <c r="I6" s="3219" t="s">
        <v>2545</v>
      </c>
      <c r="J6" s="3220"/>
      <c r="K6" s="610" t="s">
        <v>2546</v>
      </c>
      <c r="L6" s="1130"/>
      <c r="M6" s="1131"/>
      <c r="N6" s="1131"/>
      <c r="O6" s="1131"/>
      <c r="P6" s="3232"/>
      <c r="Q6" s="3233"/>
      <c r="R6" s="3213"/>
      <c r="S6" s="3214"/>
      <c r="T6" s="3234"/>
      <c r="U6" s="3235"/>
      <c r="V6" s="3236"/>
      <c r="W6" s="3236"/>
      <c r="X6" s="1813"/>
      <c r="Y6" s="3234"/>
      <c r="Z6" s="3235"/>
      <c r="AA6" s="3208"/>
      <c r="AB6" s="3236"/>
      <c r="AC6" s="3208"/>
    </row>
    <row r="7" spans="1:29" s="117" customFormat="1" ht="14.5" thickBot="1">
      <c r="A7" s="408" t="s">
        <v>2547</v>
      </c>
      <c r="B7" s="409"/>
      <c r="C7" s="410">
        <f>'数据-取费表'!B2</f>
        <v>43872</v>
      </c>
      <c r="D7" s="411">
        <v>100</v>
      </c>
      <c r="E7" s="412">
        <f>C7</f>
        <v>43872</v>
      </c>
      <c r="F7" s="413">
        <f>SUMIF(58:58,YEAR(E7)&amp;"-"&amp;MONTH(E7),59:59)</f>
        <v>100</v>
      </c>
      <c r="G7" s="412">
        <f>C7</f>
        <v>43872</v>
      </c>
      <c r="H7" s="411">
        <f>SUMIF(58:58,YEAR(G7)&amp;"-"&amp;MONTH(G7),59:59)</f>
        <v>100</v>
      </c>
      <c r="I7" s="412">
        <f>C7</f>
        <v>43872</v>
      </c>
      <c r="J7" s="411">
        <f>SUMIF(58:58,YEAR(I7)&amp;"-"&amp;MONTH(I7),59:59)</f>
        <v>100</v>
      </c>
      <c r="K7" s="611"/>
      <c r="L7" s="1132"/>
      <c r="M7" s="1133"/>
      <c r="N7" s="1133"/>
      <c r="O7" s="1133"/>
      <c r="P7" s="3209" t="s">
        <v>2548</v>
      </c>
      <c r="Q7" s="3237"/>
      <c r="R7" s="770" t="s">
        <v>17</v>
      </c>
      <c r="S7" s="771">
        <f t="shared" ref="S7:S15" si="0">F7</f>
        <v>100</v>
      </c>
      <c r="T7" s="770" t="s">
        <v>17</v>
      </c>
      <c r="U7" s="771">
        <f t="shared" ref="U7:U15" si="1">H7</f>
        <v>100</v>
      </c>
      <c r="V7" s="770" t="s">
        <v>17</v>
      </c>
      <c r="W7" s="771">
        <f t="shared" ref="W7:W15" si="2">J7</f>
        <v>100</v>
      </c>
      <c r="X7" s="772"/>
      <c r="Y7" s="3209" t="s">
        <v>2548</v>
      </c>
      <c r="Z7" s="3210"/>
      <c r="AA7" s="773">
        <f>D7/F7</f>
        <v>1</v>
      </c>
      <c r="AB7" s="773">
        <f>D7/H7</f>
        <v>1</v>
      </c>
      <c r="AC7" s="773">
        <f>D7/J7</f>
        <v>1</v>
      </c>
    </row>
    <row r="8" spans="1:29" s="117" customFormat="1" ht="14.5" thickBot="1">
      <c r="A8" s="408" t="s">
        <v>2549</v>
      </c>
      <c r="B8" s="409"/>
      <c r="C8" s="414" t="s">
        <v>2651</v>
      </c>
      <c r="D8" s="411">
        <v>100</v>
      </c>
      <c r="E8" s="414" t="s">
        <v>2586</v>
      </c>
      <c r="F8" s="413">
        <f>SUMIF(61:61,E8,62:62)-SUMIF(61:61,C8,62:62)+100</f>
        <v>100</v>
      </c>
      <c r="G8" s="414" t="s">
        <v>2586</v>
      </c>
      <c r="H8" s="411">
        <f>SUMIF(61:61,G8,62:62)-SUMIF(61:61,C8,62:62)+100</f>
        <v>100</v>
      </c>
      <c r="I8" s="414" t="s">
        <v>2586</v>
      </c>
      <c r="J8" s="411">
        <f>SUMIF(61:61,I8,62:62)-SUMIF(61:61,C8,62:62)+100</f>
        <v>100</v>
      </c>
      <c r="K8" s="611"/>
      <c r="L8" s="1132"/>
      <c r="M8" s="1133"/>
      <c r="N8" s="1133"/>
      <c r="O8" s="1133"/>
      <c r="P8" s="3209" t="s">
        <v>2551</v>
      </c>
      <c r="Q8" s="3210"/>
      <c r="R8" s="770" t="s">
        <v>17</v>
      </c>
      <c r="S8" s="771">
        <f t="shared" si="0"/>
        <v>100</v>
      </c>
      <c r="T8" s="770" t="s">
        <v>17</v>
      </c>
      <c r="U8" s="771">
        <f t="shared" si="1"/>
        <v>100</v>
      </c>
      <c r="V8" s="770" t="s">
        <v>17</v>
      </c>
      <c r="W8" s="771">
        <f t="shared" si="2"/>
        <v>100</v>
      </c>
      <c r="X8" s="772"/>
      <c r="Y8" s="3209" t="s">
        <v>2551</v>
      </c>
      <c r="Z8" s="3210"/>
      <c r="AA8" s="773">
        <f t="shared" ref="AA8:AA46" si="3">D8/F8</f>
        <v>1</v>
      </c>
      <c r="AB8" s="773">
        <f t="shared" ref="AB8:AB46" si="4">D8/H8</f>
        <v>1</v>
      </c>
      <c r="AC8" s="773">
        <f t="shared" ref="AC8:AC46" si="5">D8/J8</f>
        <v>1</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3" t="s">
        <v>2554</v>
      </c>
      <c r="Q9" s="1795" t="str">
        <f t="shared" ref="Q9:Q15" si="6">B9</f>
        <v>用途</v>
      </c>
      <c r="R9" s="770" t="s">
        <v>17</v>
      </c>
      <c r="S9" s="771">
        <f t="shared" si="0"/>
        <v>100</v>
      </c>
      <c r="T9" s="770" t="s">
        <v>17</v>
      </c>
      <c r="U9" s="771">
        <f t="shared" si="1"/>
        <v>100</v>
      </c>
      <c r="V9" s="770" t="s">
        <v>17</v>
      </c>
      <c r="W9" s="771">
        <f t="shared" si="2"/>
        <v>100</v>
      </c>
      <c r="X9" s="772"/>
      <c r="Y9" s="3056" t="s">
        <v>2555</v>
      </c>
      <c r="Z9" s="55" t="str">
        <f t="shared" ref="Z9:Z15" si="7">Q9</f>
        <v>用途</v>
      </c>
      <c r="AA9" s="773">
        <f t="shared" si="3"/>
        <v>1</v>
      </c>
      <c r="AB9" s="773">
        <f t="shared" si="4"/>
        <v>1</v>
      </c>
      <c r="AC9" s="773">
        <f t="shared" si="5"/>
        <v>1</v>
      </c>
    </row>
    <row r="10" spans="1:29" s="427" customFormat="1" ht="2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3"/>
      <c r="Q10" s="1795" t="str">
        <f t="shared" si="6"/>
        <v>土地使用年限（年）</v>
      </c>
      <c r="R10" s="770" t="s">
        <v>17</v>
      </c>
      <c r="S10" s="771">
        <f t="shared" si="0"/>
        <v>100</v>
      </c>
      <c r="T10" s="770" t="s">
        <v>17</v>
      </c>
      <c r="U10" s="771">
        <f t="shared" si="1"/>
        <v>100</v>
      </c>
      <c r="V10" s="770" t="s">
        <v>17</v>
      </c>
      <c r="W10" s="771">
        <f t="shared" si="2"/>
        <v>100</v>
      </c>
      <c r="X10" s="772"/>
      <c r="Y10" s="3056"/>
      <c r="Z10" s="55" t="str">
        <f t="shared" si="7"/>
        <v>土地使用年限（年）</v>
      </c>
      <c r="AA10" s="773">
        <f t="shared" si="3"/>
        <v>1</v>
      </c>
      <c r="AB10" s="773">
        <f t="shared" si="4"/>
        <v>1</v>
      </c>
      <c r="AC10" s="773">
        <f t="shared" si="5"/>
        <v>1</v>
      </c>
    </row>
    <row r="11" spans="1:29" ht="15.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8"/>
      <c r="M11" s="1131"/>
      <c r="N11" s="1131"/>
      <c r="O11" s="1131"/>
      <c r="P11" s="3223"/>
      <c r="Q11" s="1795" t="str">
        <f t="shared" si="6"/>
        <v>容积率</v>
      </c>
      <c r="R11" s="770" t="s">
        <v>17</v>
      </c>
      <c r="S11" s="771">
        <f t="shared" si="0"/>
        <v>100</v>
      </c>
      <c r="T11" s="770" t="s">
        <v>17</v>
      </c>
      <c r="U11" s="771">
        <f t="shared" si="1"/>
        <v>100</v>
      </c>
      <c r="V11" s="770" t="s">
        <v>17</v>
      </c>
      <c r="W11" s="771">
        <f t="shared" si="2"/>
        <v>100</v>
      </c>
      <c r="X11" s="772"/>
      <c r="Y11" s="3056"/>
      <c r="Z11" s="55" t="str">
        <f t="shared" si="7"/>
        <v>容积率</v>
      </c>
      <c r="AA11" s="773">
        <f t="shared" si="3"/>
        <v>1</v>
      </c>
      <c r="AB11" s="773">
        <f t="shared" si="4"/>
        <v>1</v>
      </c>
      <c r="AC11" s="773">
        <f t="shared" si="5"/>
        <v>1</v>
      </c>
    </row>
    <row r="12" spans="1:29" s="117" customFormat="1" ht="15.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3"/>
      <c r="Q12" s="1795">
        <f t="shared" si="6"/>
        <v>111</v>
      </c>
      <c r="R12" s="770" t="s">
        <v>17</v>
      </c>
      <c r="S12" s="771">
        <f t="shared" si="0"/>
        <v>100</v>
      </c>
      <c r="T12" s="770" t="s">
        <v>17</v>
      </c>
      <c r="U12" s="771">
        <f t="shared" si="1"/>
        <v>100</v>
      </c>
      <c r="V12" s="770" t="s">
        <v>17</v>
      </c>
      <c r="W12" s="771">
        <f t="shared" si="2"/>
        <v>100</v>
      </c>
      <c r="X12" s="772"/>
      <c r="Y12" s="3056"/>
      <c r="Z12" s="55">
        <f t="shared" si="7"/>
        <v>111</v>
      </c>
      <c r="AA12" s="773">
        <f>D12/F12</f>
        <v>1</v>
      </c>
      <c r="AB12" s="773">
        <f>D12/H12</f>
        <v>1</v>
      </c>
      <c r="AC12" s="773">
        <f>D12/J12</f>
        <v>1</v>
      </c>
    </row>
    <row r="13" spans="1:29" ht="15.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3"/>
      <c r="Q13" s="1795">
        <f t="shared" si="6"/>
        <v>111</v>
      </c>
      <c r="R13" s="770" t="s">
        <v>17</v>
      </c>
      <c r="S13" s="771">
        <f t="shared" si="0"/>
        <v>100</v>
      </c>
      <c r="T13" s="770" t="s">
        <v>17</v>
      </c>
      <c r="U13" s="771">
        <f t="shared" si="1"/>
        <v>100</v>
      </c>
      <c r="V13" s="770" t="s">
        <v>17</v>
      </c>
      <c r="W13" s="771">
        <f t="shared" si="2"/>
        <v>100</v>
      </c>
      <c r="X13" s="772"/>
      <c r="Y13" s="3056"/>
      <c r="Z13" s="55">
        <f t="shared" si="7"/>
        <v>111</v>
      </c>
      <c r="AA13" s="773">
        <f t="shared" si="3"/>
        <v>1</v>
      </c>
      <c r="AB13" s="773">
        <f t="shared" si="4"/>
        <v>1</v>
      </c>
      <c r="AC13" s="773">
        <f t="shared" si="5"/>
        <v>1</v>
      </c>
    </row>
    <row r="14" spans="1:29" ht="16"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3"/>
      <c r="Q14" s="1795">
        <f t="shared" si="6"/>
        <v>111</v>
      </c>
      <c r="R14" s="770" t="s">
        <v>17</v>
      </c>
      <c r="S14" s="771">
        <f t="shared" si="0"/>
        <v>100</v>
      </c>
      <c r="T14" s="770" t="s">
        <v>17</v>
      </c>
      <c r="U14" s="771">
        <f t="shared" si="1"/>
        <v>100</v>
      </c>
      <c r="V14" s="770" t="s">
        <v>17</v>
      </c>
      <c r="W14" s="771">
        <f t="shared" si="2"/>
        <v>100</v>
      </c>
      <c r="X14" s="772"/>
      <c r="Y14" s="3056"/>
      <c r="Z14" s="55">
        <f t="shared" si="7"/>
        <v>111</v>
      </c>
      <c r="AA14" s="773">
        <f t="shared" si="3"/>
        <v>1</v>
      </c>
      <c r="AB14" s="773">
        <f t="shared" si="4"/>
        <v>1</v>
      </c>
      <c r="AC14" s="773">
        <f t="shared" si="5"/>
        <v>1</v>
      </c>
    </row>
    <row r="15" spans="1:29" ht="70">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0" t="s">
        <v>2559</v>
      </c>
      <c r="Q15" s="1810" t="str">
        <f t="shared" si="6"/>
        <v>商业繁华度</v>
      </c>
      <c r="R15" s="774" t="s">
        <v>17</v>
      </c>
      <c r="S15" s="775">
        <f t="shared" si="0"/>
        <v>100</v>
      </c>
      <c r="T15" s="774" t="s">
        <v>17</v>
      </c>
      <c r="U15" s="775">
        <f t="shared" si="1"/>
        <v>100</v>
      </c>
      <c r="V15" s="774" t="s">
        <v>17</v>
      </c>
      <c r="W15" s="775">
        <f t="shared" si="2"/>
        <v>100</v>
      </c>
      <c r="X15" s="1813"/>
      <c r="Y15" s="3243" t="s">
        <v>2559</v>
      </c>
      <c r="Z15" s="1814" t="str">
        <f t="shared" si="7"/>
        <v>商业繁华度</v>
      </c>
      <c r="AA15" s="1811">
        <f t="shared" si="3"/>
        <v>1</v>
      </c>
      <c r="AB15" s="1811">
        <f t="shared" si="4"/>
        <v>1</v>
      </c>
      <c r="AC15" s="1811">
        <f t="shared" si="5"/>
        <v>1</v>
      </c>
    </row>
    <row r="16" spans="1:29" ht="15.5">
      <c r="A16" s="428"/>
      <c r="B16" s="446"/>
      <c r="C16" s="447"/>
      <c r="D16" s="448"/>
      <c r="E16" s="447"/>
      <c r="F16" s="449"/>
      <c r="G16" s="447"/>
      <c r="H16" s="450"/>
      <c r="I16" s="447"/>
      <c r="J16" s="448"/>
      <c r="K16" s="615"/>
      <c r="L16" s="1140"/>
      <c r="M16" s="1131"/>
      <c r="N16" s="1131"/>
      <c r="O16" s="1131"/>
      <c r="P16" s="3251"/>
      <c r="Q16" s="1810"/>
      <c r="R16" s="774"/>
      <c r="S16" s="775"/>
      <c r="T16" s="774"/>
      <c r="U16" s="775"/>
      <c r="V16" s="774"/>
      <c r="W16" s="775"/>
      <c r="X16" s="1813"/>
      <c r="Y16" s="3244"/>
      <c r="Z16" s="1814"/>
      <c r="AA16" s="1811">
        <v>1</v>
      </c>
      <c r="AB16" s="1811">
        <v>1</v>
      </c>
      <c r="AC16" s="1811">
        <v>1</v>
      </c>
    </row>
    <row r="17" spans="1:29" ht="84">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1"/>
      <c r="Q17" s="1810" t="str">
        <f>B17</f>
        <v>交通便捷度</v>
      </c>
      <c r="R17" s="774" t="s">
        <v>17</v>
      </c>
      <c r="S17" s="775">
        <f>F17</f>
        <v>100</v>
      </c>
      <c r="T17" s="774" t="s">
        <v>17</v>
      </c>
      <c r="U17" s="775">
        <f>H17</f>
        <v>100</v>
      </c>
      <c r="V17" s="774" t="s">
        <v>17</v>
      </c>
      <c r="W17" s="775">
        <f>J17</f>
        <v>100</v>
      </c>
      <c r="X17" s="1813"/>
      <c r="Y17" s="3244"/>
      <c r="Z17" s="1814" t="str">
        <f>Q17</f>
        <v>交通便捷度</v>
      </c>
      <c r="AA17" s="1811">
        <f t="shared" si="3"/>
        <v>1</v>
      </c>
      <c r="AB17" s="1811">
        <f t="shared" si="4"/>
        <v>1</v>
      </c>
      <c r="AC17" s="1811">
        <f t="shared" si="5"/>
        <v>1</v>
      </c>
    </row>
    <row r="18" spans="1:29" ht="15.5">
      <c r="A18" s="428"/>
      <c r="B18" s="456"/>
      <c r="C18" s="2610"/>
      <c r="D18" s="450"/>
      <c r="E18" s="2612"/>
      <c r="F18" s="453"/>
      <c r="G18" s="2611"/>
      <c r="H18" s="448"/>
      <c r="I18" s="2612"/>
      <c r="J18" s="448"/>
      <c r="K18" s="615"/>
      <c r="L18" s="1140"/>
      <c r="M18" s="1131"/>
      <c r="N18" s="1131"/>
      <c r="O18" s="1131"/>
      <c r="P18" s="3251"/>
      <c r="Q18" s="1810"/>
      <c r="R18" s="774"/>
      <c r="S18" s="775"/>
      <c r="T18" s="774"/>
      <c r="U18" s="775"/>
      <c r="V18" s="774"/>
      <c r="W18" s="775"/>
      <c r="X18" s="1813"/>
      <c r="Y18" s="3244"/>
      <c r="Z18" s="1814"/>
      <c r="AA18" s="1811">
        <v>1</v>
      </c>
      <c r="AB18" s="1811">
        <v>1</v>
      </c>
      <c r="AC18" s="1811">
        <v>1</v>
      </c>
    </row>
    <row r="19" spans="1:29" ht="42">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1"/>
      <c r="Q19" s="1810" t="str">
        <f>B19</f>
        <v>公共配套设施</v>
      </c>
      <c r="R19" s="774" t="s">
        <v>17</v>
      </c>
      <c r="S19" s="775">
        <f>F19</f>
        <v>100</v>
      </c>
      <c r="T19" s="774" t="s">
        <v>17</v>
      </c>
      <c r="U19" s="775">
        <f>H19</f>
        <v>100</v>
      </c>
      <c r="V19" s="774" t="s">
        <v>17</v>
      </c>
      <c r="W19" s="775">
        <f>J19</f>
        <v>100</v>
      </c>
      <c r="X19" s="1813"/>
      <c r="Y19" s="3244"/>
      <c r="Z19" s="1814" t="str">
        <f>Q19</f>
        <v>公共配套设施</v>
      </c>
      <c r="AA19" s="1811">
        <f t="shared" si="3"/>
        <v>1</v>
      </c>
      <c r="AB19" s="1811">
        <f t="shared" si="4"/>
        <v>1</v>
      </c>
      <c r="AC19" s="1811">
        <f t="shared" si="5"/>
        <v>1</v>
      </c>
    </row>
    <row r="20" spans="1:29" ht="15.5">
      <c r="A20" s="428"/>
      <c r="B20" s="456"/>
      <c r="C20" s="447"/>
      <c r="D20" s="448"/>
      <c r="E20" s="2607"/>
      <c r="F20" s="449"/>
      <c r="G20" s="2606"/>
      <c r="H20" s="448"/>
      <c r="I20" s="2607"/>
      <c r="J20" s="448"/>
      <c r="K20" s="615"/>
      <c r="L20" s="1140"/>
      <c r="M20" s="1131"/>
      <c r="N20" s="1131"/>
      <c r="O20" s="1131"/>
      <c r="P20" s="3251"/>
      <c r="Q20" s="1810"/>
      <c r="R20" s="774"/>
      <c r="S20" s="775"/>
      <c r="T20" s="774"/>
      <c r="U20" s="775"/>
      <c r="V20" s="774"/>
      <c r="W20" s="775"/>
      <c r="X20" s="1813"/>
      <c r="Y20" s="3244"/>
      <c r="Z20" s="1814"/>
      <c r="AA20" s="1811">
        <v>1</v>
      </c>
      <c r="AB20" s="1811">
        <v>1</v>
      </c>
      <c r="AC20" s="1811">
        <v>1</v>
      </c>
    </row>
    <row r="21" spans="1:29" ht="28">
      <c r="A21" s="428"/>
      <c r="B21" s="1384"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1"/>
      <c r="Q21" s="1810" t="str">
        <f>B21</f>
        <v>基础设施水平</v>
      </c>
      <c r="R21" s="774" t="s">
        <v>17</v>
      </c>
      <c r="S21" s="775">
        <f>F21</f>
        <v>100</v>
      </c>
      <c r="T21" s="774" t="s">
        <v>17</v>
      </c>
      <c r="U21" s="775">
        <f>H21</f>
        <v>100</v>
      </c>
      <c r="V21" s="774" t="s">
        <v>17</v>
      </c>
      <c r="W21" s="775">
        <f>J21</f>
        <v>100</v>
      </c>
      <c r="X21" s="1813"/>
      <c r="Y21" s="3244"/>
      <c r="Z21" s="1814" t="str">
        <f>Q21</f>
        <v>基础设施水平</v>
      </c>
      <c r="AA21" s="1811">
        <f t="shared" ref="AA21" si="8">D21/F21</f>
        <v>1</v>
      </c>
      <c r="AB21" s="1811">
        <f t="shared" ref="AB21" si="9">D21/H21</f>
        <v>1</v>
      </c>
      <c r="AC21" s="1811">
        <f t="shared" ref="AC21" si="10">D21/J21</f>
        <v>1</v>
      </c>
    </row>
    <row r="22" spans="1:29" ht="15.5">
      <c r="A22" s="428"/>
      <c r="B22" s="1384"/>
      <c r="C22" s="2610"/>
      <c r="D22" s="448"/>
      <c r="E22" s="447"/>
      <c r="F22" s="449"/>
      <c r="G22" s="447"/>
      <c r="H22" s="448"/>
      <c r="I22" s="447"/>
      <c r="J22" s="448"/>
      <c r="K22" s="1383"/>
      <c r="L22" s="1140"/>
      <c r="M22" s="1131"/>
      <c r="N22" s="1131"/>
      <c r="O22" s="1131"/>
      <c r="P22" s="3251"/>
      <c r="Q22" s="1810"/>
      <c r="R22" s="774"/>
      <c r="S22" s="775"/>
      <c r="T22" s="774"/>
      <c r="U22" s="775"/>
      <c r="V22" s="774"/>
      <c r="W22" s="775"/>
      <c r="X22" s="1813"/>
      <c r="Y22" s="3244"/>
      <c r="Z22" s="1814"/>
      <c r="AA22" s="1811">
        <v>1</v>
      </c>
      <c r="AB22" s="1811">
        <v>1</v>
      </c>
      <c r="AC22" s="1811">
        <v>1</v>
      </c>
    </row>
    <row r="23" spans="1:29" ht="56">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1"/>
      <c r="Q23" s="1810" t="str">
        <f>B23</f>
        <v>自然及人文环境</v>
      </c>
      <c r="R23" s="774" t="s">
        <v>17</v>
      </c>
      <c r="S23" s="775">
        <f>F23</f>
        <v>100</v>
      </c>
      <c r="T23" s="774" t="s">
        <v>17</v>
      </c>
      <c r="U23" s="775">
        <f>H23</f>
        <v>100</v>
      </c>
      <c r="V23" s="774" t="s">
        <v>17</v>
      </c>
      <c r="W23" s="775">
        <f>J23</f>
        <v>100</v>
      </c>
      <c r="X23" s="1813"/>
      <c r="Y23" s="3244"/>
      <c r="Z23" s="1814" t="str">
        <f>Q23</f>
        <v>自然及人文环境</v>
      </c>
      <c r="AA23" s="1811">
        <f t="shared" si="3"/>
        <v>1</v>
      </c>
      <c r="AB23" s="1811">
        <f t="shared" si="4"/>
        <v>1</v>
      </c>
      <c r="AC23" s="1811">
        <f t="shared" si="5"/>
        <v>1</v>
      </c>
    </row>
    <row r="24" spans="1:29" ht="15.5">
      <c r="A24" s="428"/>
      <c r="B24" s="456"/>
      <c r="C24" s="447"/>
      <c r="D24" s="448"/>
      <c r="E24" s="2607"/>
      <c r="F24" s="449"/>
      <c r="G24" s="2606"/>
      <c r="H24" s="448"/>
      <c r="I24" s="2607"/>
      <c r="J24" s="448"/>
      <c r="K24" s="615"/>
      <c r="L24" s="1140"/>
      <c r="M24" s="1131"/>
      <c r="N24" s="1131"/>
      <c r="O24" s="1131"/>
      <c r="P24" s="3251"/>
      <c r="Q24" s="1810"/>
      <c r="R24" s="774"/>
      <c r="S24" s="775"/>
      <c r="T24" s="774"/>
      <c r="U24" s="775"/>
      <c r="V24" s="774"/>
      <c r="W24" s="775"/>
      <c r="X24" s="1813"/>
      <c r="Y24" s="3244"/>
      <c r="Z24" s="1814"/>
      <c r="AA24" s="1811">
        <v>1</v>
      </c>
      <c r="AB24" s="1811">
        <v>1</v>
      </c>
      <c r="AC24" s="1811">
        <v>1</v>
      </c>
    </row>
    <row r="25" spans="1:29" ht="15.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1"/>
      <c r="Q25" s="1810" t="str">
        <f t="shared" ref="Q25:Q46" si="11">B25</f>
        <v>临街状况</v>
      </c>
      <c r="R25" s="774" t="s">
        <v>17</v>
      </c>
      <c r="S25" s="775">
        <f>F25</f>
        <v>100</v>
      </c>
      <c r="T25" s="774" t="s">
        <v>17</v>
      </c>
      <c r="U25" s="775">
        <f>H25</f>
        <v>100</v>
      </c>
      <c r="V25" s="774" t="s">
        <v>17</v>
      </c>
      <c r="W25" s="775">
        <f>J25</f>
        <v>100</v>
      </c>
      <c r="X25" s="1813"/>
      <c r="Y25" s="3244"/>
      <c r="Z25" s="1814" t="str">
        <f>Q25</f>
        <v>临街状况</v>
      </c>
      <c r="AA25" s="1811">
        <f t="shared" si="3"/>
        <v>1</v>
      </c>
      <c r="AB25" s="1811">
        <f t="shared" si="4"/>
        <v>1</v>
      </c>
      <c r="AC25" s="1811">
        <f t="shared" si="5"/>
        <v>1</v>
      </c>
    </row>
    <row r="26" spans="1:29" ht="15.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1"/>
      <c r="Q26" s="1810" t="str">
        <f t="shared" si="11"/>
        <v>平面位置/可视性</v>
      </c>
      <c r="R26" s="774" t="s">
        <v>17</v>
      </c>
      <c r="S26" s="775">
        <f>F26</f>
        <v>100</v>
      </c>
      <c r="T26" s="774" t="s">
        <v>17</v>
      </c>
      <c r="U26" s="775">
        <f>H26</f>
        <v>100</v>
      </c>
      <c r="V26" s="774" t="s">
        <v>17</v>
      </c>
      <c r="W26" s="775">
        <f>J26</f>
        <v>100</v>
      </c>
      <c r="X26" s="1813"/>
      <c r="Y26" s="3244"/>
      <c r="Z26" s="1814" t="str">
        <f>Q26</f>
        <v>平面位置/可视性</v>
      </c>
      <c r="AA26" s="1811">
        <f t="shared" si="3"/>
        <v>1</v>
      </c>
      <c r="AB26" s="1811">
        <f t="shared" si="4"/>
        <v>1</v>
      </c>
      <c r="AC26" s="1811">
        <f t="shared" si="5"/>
        <v>1</v>
      </c>
    </row>
    <row r="27" spans="1:29" s="117" customFormat="1" ht="15.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51"/>
      <c r="Q27" s="1795" t="str">
        <f t="shared" si="11"/>
        <v>人流量</v>
      </c>
      <c r="R27" s="770" t="s">
        <v>17</v>
      </c>
      <c r="S27" s="771">
        <f>F27</f>
        <v>100</v>
      </c>
      <c r="T27" s="770" t="s">
        <v>17</v>
      </c>
      <c r="U27" s="771">
        <f>H27</f>
        <v>100</v>
      </c>
      <c r="V27" s="770" t="s">
        <v>17</v>
      </c>
      <c r="W27" s="771">
        <f>J27</f>
        <v>100</v>
      </c>
      <c r="X27" s="772"/>
      <c r="Y27" s="3244"/>
      <c r="Z27" s="55" t="str">
        <f>Q27</f>
        <v>人流量</v>
      </c>
      <c r="AA27" s="1811">
        <f>D27/F27</f>
        <v>1</v>
      </c>
      <c r="AB27" s="1811">
        <f>D27/H27</f>
        <v>1</v>
      </c>
      <c r="AC27" s="1811">
        <f>D27/J27</f>
        <v>1</v>
      </c>
    </row>
    <row r="28" spans="1:29" ht="15.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44"/>
      <c r="Z28" s="1814" t="str">
        <f t="shared" ref="Z28:Z46" si="15">Q28</f>
        <v>楼层</v>
      </c>
      <c r="AA28" s="1811">
        <f t="shared" si="3"/>
        <v>1</v>
      </c>
      <c r="AB28" s="1811">
        <f t="shared" si="4"/>
        <v>1</v>
      </c>
      <c r="AC28" s="1811">
        <f t="shared" si="5"/>
        <v>1</v>
      </c>
    </row>
    <row r="29" spans="1:29" ht="15.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1"/>
      <c r="Q29" s="1810">
        <f t="shared" si="11"/>
        <v>111</v>
      </c>
      <c r="R29" s="774" t="s">
        <v>17</v>
      </c>
      <c r="S29" s="775">
        <f t="shared" si="12"/>
        <v>100</v>
      </c>
      <c r="T29" s="774" t="s">
        <v>17</v>
      </c>
      <c r="U29" s="775">
        <f t="shared" si="13"/>
        <v>100</v>
      </c>
      <c r="V29" s="774" t="s">
        <v>17</v>
      </c>
      <c r="W29" s="775">
        <f t="shared" si="14"/>
        <v>100</v>
      </c>
      <c r="X29" s="1813"/>
      <c r="Y29" s="3244"/>
      <c r="Z29" s="1814">
        <f t="shared" si="15"/>
        <v>111</v>
      </c>
      <c r="AA29" s="1811">
        <f t="shared" si="3"/>
        <v>1</v>
      </c>
      <c r="AB29" s="1811">
        <f t="shared" si="4"/>
        <v>1</v>
      </c>
      <c r="AC29" s="1811">
        <f t="shared" si="5"/>
        <v>1</v>
      </c>
    </row>
    <row r="30" spans="1:29" ht="15.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1"/>
      <c r="Q30" s="1810">
        <f t="shared" si="11"/>
        <v>111</v>
      </c>
      <c r="R30" s="774" t="s">
        <v>17</v>
      </c>
      <c r="S30" s="775">
        <f t="shared" si="12"/>
        <v>100</v>
      </c>
      <c r="T30" s="774" t="s">
        <v>17</v>
      </c>
      <c r="U30" s="775">
        <f t="shared" si="13"/>
        <v>100</v>
      </c>
      <c r="V30" s="774" t="s">
        <v>17</v>
      </c>
      <c r="W30" s="775">
        <f t="shared" si="14"/>
        <v>100</v>
      </c>
      <c r="X30" s="1813"/>
      <c r="Y30" s="3244"/>
      <c r="Z30" s="1814">
        <f t="shared" si="15"/>
        <v>111</v>
      </c>
      <c r="AA30" s="1811">
        <f t="shared" si="3"/>
        <v>1</v>
      </c>
      <c r="AB30" s="1811">
        <f t="shared" si="4"/>
        <v>1</v>
      </c>
      <c r="AC30" s="1811">
        <f t="shared" si="5"/>
        <v>1</v>
      </c>
    </row>
    <row r="31" spans="1:29" ht="1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1"/>
      <c r="Q31" s="1810">
        <f t="shared" si="11"/>
        <v>111</v>
      </c>
      <c r="R31" s="774" t="s">
        <v>17</v>
      </c>
      <c r="S31" s="775">
        <f t="shared" si="12"/>
        <v>100</v>
      </c>
      <c r="T31" s="774" t="s">
        <v>17</v>
      </c>
      <c r="U31" s="775">
        <f t="shared" si="13"/>
        <v>100</v>
      </c>
      <c r="V31" s="774" t="s">
        <v>17</v>
      </c>
      <c r="W31" s="775">
        <f t="shared" si="14"/>
        <v>100</v>
      </c>
      <c r="X31" s="1813"/>
      <c r="Y31" s="3244"/>
      <c r="Z31" s="1814">
        <f t="shared" si="15"/>
        <v>111</v>
      </c>
      <c r="AA31" s="1811">
        <f t="shared" si="3"/>
        <v>1</v>
      </c>
      <c r="AB31" s="1811">
        <f t="shared" si="4"/>
        <v>1</v>
      </c>
      <c r="AC31" s="1811">
        <f t="shared" si="5"/>
        <v>1</v>
      </c>
    </row>
    <row r="32" spans="1:29" ht="15.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45" t="s">
        <v>2564</v>
      </c>
      <c r="Q32" s="1810" t="str">
        <f t="shared" si="11"/>
        <v>商业类型</v>
      </c>
      <c r="R32" s="774" t="s">
        <v>17</v>
      </c>
      <c r="S32" s="775">
        <f t="shared" si="12"/>
        <v>100</v>
      </c>
      <c r="T32" s="774" t="s">
        <v>17</v>
      </c>
      <c r="U32" s="775">
        <f t="shared" si="13"/>
        <v>100</v>
      </c>
      <c r="V32" s="774" t="s">
        <v>17</v>
      </c>
      <c r="W32" s="775">
        <f t="shared" si="14"/>
        <v>100</v>
      </c>
      <c r="X32" s="1813"/>
      <c r="Y32" s="3248" t="s">
        <v>2564</v>
      </c>
      <c r="Z32" s="1814" t="str">
        <f t="shared" si="15"/>
        <v>商业类型</v>
      </c>
      <c r="AA32" s="1811">
        <f t="shared" si="3"/>
        <v>1</v>
      </c>
      <c r="AB32" s="1811">
        <f t="shared" si="4"/>
        <v>1</v>
      </c>
      <c r="AC32" s="1811">
        <f t="shared" si="5"/>
        <v>1</v>
      </c>
    </row>
    <row r="33" spans="1:29" s="471" customFormat="1" ht="15.5">
      <c r="A33" s="468"/>
      <c r="B33" s="422" t="s">
        <v>2565</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8"/>
      <c r="M33" s="1141"/>
      <c r="N33" s="1141"/>
      <c r="O33" s="1141"/>
      <c r="P33" s="3246"/>
      <c r="Q33" s="776" t="str">
        <f t="shared" si="11"/>
        <v>项目建筑规模</v>
      </c>
      <c r="R33" s="777" t="s">
        <v>17</v>
      </c>
      <c r="S33" s="778">
        <f t="shared" si="12"/>
        <v>100</v>
      </c>
      <c r="T33" s="777" t="s">
        <v>17</v>
      </c>
      <c r="U33" s="778">
        <f t="shared" si="13"/>
        <v>100</v>
      </c>
      <c r="V33" s="777" t="s">
        <v>17</v>
      </c>
      <c r="W33" s="778">
        <f t="shared" si="14"/>
        <v>100</v>
      </c>
      <c r="X33" s="779"/>
      <c r="Y33" s="3248"/>
      <c r="Z33" s="780" t="str">
        <f t="shared" si="15"/>
        <v>项目建筑规模</v>
      </c>
      <c r="AA33" s="1811">
        <f t="shared" si="3"/>
        <v>1</v>
      </c>
      <c r="AB33" s="1811">
        <f t="shared" si="4"/>
        <v>1</v>
      </c>
      <c r="AC33" s="1811">
        <f t="shared" si="5"/>
        <v>1</v>
      </c>
    </row>
    <row r="34" spans="1:29" ht="15.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46"/>
      <c r="Q34" s="1810" t="str">
        <f t="shared" si="11"/>
        <v>建筑结构</v>
      </c>
      <c r="R34" s="774" t="s">
        <v>17</v>
      </c>
      <c r="S34" s="775">
        <f t="shared" si="12"/>
        <v>100</v>
      </c>
      <c r="T34" s="774" t="s">
        <v>17</v>
      </c>
      <c r="U34" s="775">
        <f t="shared" si="13"/>
        <v>100</v>
      </c>
      <c r="V34" s="774" t="s">
        <v>17</v>
      </c>
      <c r="W34" s="775">
        <f t="shared" si="14"/>
        <v>100</v>
      </c>
      <c r="X34" s="1813"/>
      <c r="Y34" s="3248"/>
      <c r="Z34" s="1814" t="str">
        <f t="shared" si="15"/>
        <v>建筑结构</v>
      </c>
      <c r="AA34" s="1811">
        <f t="shared" si="3"/>
        <v>1</v>
      </c>
      <c r="AB34" s="1811">
        <f t="shared" si="4"/>
        <v>1</v>
      </c>
      <c r="AC34" s="1811">
        <f t="shared" si="5"/>
        <v>1</v>
      </c>
    </row>
    <row r="35" spans="1:29" ht="15.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46"/>
      <c r="Q35" s="1810" t="str">
        <f t="shared" si="11"/>
        <v>公共部分装修</v>
      </c>
      <c r="R35" s="774" t="s">
        <v>17</v>
      </c>
      <c r="S35" s="775">
        <f t="shared" si="12"/>
        <v>100</v>
      </c>
      <c r="T35" s="774" t="s">
        <v>17</v>
      </c>
      <c r="U35" s="775">
        <f t="shared" si="13"/>
        <v>100</v>
      </c>
      <c r="V35" s="774" t="s">
        <v>17</v>
      </c>
      <c r="W35" s="775">
        <f t="shared" si="14"/>
        <v>100</v>
      </c>
      <c r="X35" s="1813"/>
      <c r="Y35" s="3248"/>
      <c r="Z35" s="1814" t="str">
        <f t="shared" si="15"/>
        <v>公共部分装修</v>
      </c>
      <c r="AA35" s="1811">
        <f t="shared" si="3"/>
        <v>1</v>
      </c>
      <c r="AB35" s="1811">
        <f t="shared" si="4"/>
        <v>1</v>
      </c>
      <c r="AC35" s="1811">
        <f t="shared" si="5"/>
        <v>1</v>
      </c>
    </row>
    <row r="36" spans="1:29" ht="15.5">
      <c r="A36" s="472"/>
      <c r="B36" s="422" t="s">
        <v>2661</v>
      </c>
      <c r="C36" s="474">
        <f>'数据-取费表'!N6</f>
        <v>0.9</v>
      </c>
      <c r="D36" s="435">
        <v>100</v>
      </c>
      <c r="E36" s="474">
        <f>C36</f>
        <v>0.9</v>
      </c>
      <c r="F36" s="461">
        <f>LOOKUP(E36,110:110,111:111)-LOOKUP(C36,110:110,111:111)+100</f>
        <v>100</v>
      </c>
      <c r="G36" s="474">
        <f>C36</f>
        <v>0.9</v>
      </c>
      <c r="H36" s="461">
        <f>LOOKUP(G36,110:110,111:111)-LOOKUP(C36,110:110,111:111)+100</f>
        <v>100</v>
      </c>
      <c r="I36" s="474">
        <f>C36</f>
        <v>0.9</v>
      </c>
      <c r="J36" s="435">
        <f>LOOKUP(I36,110:110,111:111)-LOOKUP(C36,110:110,111:111)+100</f>
        <v>100</v>
      </c>
      <c r="K36" s="612"/>
      <c r="L36" s="1140"/>
      <c r="M36" s="1131"/>
      <c r="N36" s="1131"/>
      <c r="O36" s="1131"/>
      <c r="P36" s="3246"/>
      <c r="Q36" s="1810" t="str">
        <f t="shared" si="11"/>
        <v>成新度</v>
      </c>
      <c r="R36" s="774" t="s">
        <v>17</v>
      </c>
      <c r="S36" s="775">
        <f t="shared" si="12"/>
        <v>100</v>
      </c>
      <c r="T36" s="774" t="s">
        <v>17</v>
      </c>
      <c r="U36" s="775">
        <f t="shared" si="13"/>
        <v>100</v>
      </c>
      <c r="V36" s="774" t="s">
        <v>17</v>
      </c>
      <c r="W36" s="775">
        <f t="shared" si="14"/>
        <v>100</v>
      </c>
      <c r="X36" s="1813"/>
      <c r="Y36" s="3248"/>
      <c r="Z36" s="1814" t="str">
        <f t="shared" si="15"/>
        <v>成新度</v>
      </c>
      <c r="AA36" s="1811">
        <f t="shared" si="3"/>
        <v>1</v>
      </c>
      <c r="AB36" s="1811">
        <f t="shared" si="4"/>
        <v>1</v>
      </c>
      <c r="AC36" s="1811">
        <f t="shared" si="5"/>
        <v>1</v>
      </c>
    </row>
    <row r="37" spans="1:29" s="117" customFormat="1" ht="15.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46"/>
      <c r="Q37" s="1795" t="str">
        <f t="shared" si="11"/>
        <v>市政基础设施</v>
      </c>
      <c r="R37" s="770" t="s">
        <v>17</v>
      </c>
      <c r="S37" s="771">
        <f t="shared" si="12"/>
        <v>100</v>
      </c>
      <c r="T37" s="770" t="s">
        <v>17</v>
      </c>
      <c r="U37" s="771">
        <f t="shared" si="13"/>
        <v>100</v>
      </c>
      <c r="V37" s="770" t="s">
        <v>17</v>
      </c>
      <c r="W37" s="771">
        <f t="shared" si="14"/>
        <v>100</v>
      </c>
      <c r="X37" s="772"/>
      <c r="Y37" s="3248"/>
      <c r="Z37" s="55" t="str">
        <f t="shared" si="15"/>
        <v>市政基础设施</v>
      </c>
      <c r="AA37" s="773">
        <f t="shared" si="3"/>
        <v>1</v>
      </c>
      <c r="AB37" s="773">
        <f t="shared" si="4"/>
        <v>1</v>
      </c>
      <c r="AC37" s="773">
        <f t="shared" si="5"/>
        <v>1</v>
      </c>
    </row>
    <row r="38" spans="1:29" ht="15.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46" t="s">
        <v>2564</v>
      </c>
      <c r="Q38" s="1810" t="str">
        <f t="shared" si="11"/>
        <v>业态</v>
      </c>
      <c r="R38" s="774" t="s">
        <v>17</v>
      </c>
      <c r="S38" s="775">
        <f t="shared" si="12"/>
        <v>100</v>
      </c>
      <c r="T38" s="774" t="s">
        <v>17</v>
      </c>
      <c r="U38" s="775">
        <f t="shared" si="13"/>
        <v>100</v>
      </c>
      <c r="V38" s="774" t="s">
        <v>17</v>
      </c>
      <c r="W38" s="775">
        <f t="shared" si="14"/>
        <v>100</v>
      </c>
      <c r="X38" s="1813"/>
      <c r="Y38" s="3248" t="s">
        <v>2564</v>
      </c>
      <c r="Z38" s="1814" t="str">
        <f t="shared" si="15"/>
        <v>业态</v>
      </c>
      <c r="AA38" s="1811">
        <f t="shared" si="3"/>
        <v>1</v>
      </c>
      <c r="AB38" s="1811">
        <f t="shared" si="4"/>
        <v>1</v>
      </c>
      <c r="AC38" s="1811">
        <f t="shared" si="5"/>
        <v>1</v>
      </c>
    </row>
    <row r="39" spans="1:29" ht="15.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46"/>
      <c r="Q39" s="1810" t="str">
        <f t="shared" si="11"/>
        <v>层高</v>
      </c>
      <c r="R39" s="774" t="s">
        <v>17</v>
      </c>
      <c r="S39" s="775">
        <f t="shared" si="12"/>
        <v>100</v>
      </c>
      <c r="T39" s="774" t="s">
        <v>17</v>
      </c>
      <c r="U39" s="775">
        <f t="shared" si="13"/>
        <v>100</v>
      </c>
      <c r="V39" s="774" t="s">
        <v>17</v>
      </c>
      <c r="W39" s="775">
        <f t="shared" si="14"/>
        <v>100</v>
      </c>
      <c r="X39" s="1813"/>
      <c r="Y39" s="3248"/>
      <c r="Z39" s="1814" t="str">
        <f t="shared" si="15"/>
        <v>层高</v>
      </c>
      <c r="AA39" s="1811">
        <f t="shared" si="3"/>
        <v>1</v>
      </c>
      <c r="AB39" s="1811">
        <f t="shared" si="4"/>
        <v>1</v>
      </c>
      <c r="AC39" s="1811">
        <f t="shared" si="5"/>
        <v>1</v>
      </c>
    </row>
    <row r="40" spans="1:29" ht="15.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6"/>
      <c r="Q40" s="1810" t="str">
        <f t="shared" si="11"/>
        <v>单套建筑面积</v>
      </c>
      <c r="R40" s="774" t="s">
        <v>17</v>
      </c>
      <c r="S40" s="775">
        <f t="shared" si="12"/>
        <v>100</v>
      </c>
      <c r="T40" s="774" t="s">
        <v>17</v>
      </c>
      <c r="U40" s="775">
        <f t="shared" si="13"/>
        <v>100</v>
      </c>
      <c r="V40" s="774" t="s">
        <v>17</v>
      </c>
      <c r="W40" s="775">
        <f t="shared" si="14"/>
        <v>100</v>
      </c>
      <c r="X40" s="1813"/>
      <c r="Y40" s="3248"/>
      <c r="Z40" s="1814" t="str">
        <f t="shared" si="15"/>
        <v>单套建筑面积</v>
      </c>
      <c r="AA40" s="1811">
        <f t="shared" si="3"/>
        <v>1</v>
      </c>
      <c r="AB40" s="1811">
        <f t="shared" si="4"/>
        <v>1</v>
      </c>
      <c r="AC40" s="1811">
        <f t="shared" si="5"/>
        <v>1</v>
      </c>
    </row>
    <row r="41" spans="1:29" s="471" customFormat="1" ht="15.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6"/>
      <c r="Q41" s="776" t="str">
        <f t="shared" si="11"/>
        <v>进深比</v>
      </c>
      <c r="R41" s="777" t="s">
        <v>17</v>
      </c>
      <c r="S41" s="778">
        <f t="shared" si="12"/>
        <v>100</v>
      </c>
      <c r="T41" s="777" t="s">
        <v>17</v>
      </c>
      <c r="U41" s="778">
        <f t="shared" si="13"/>
        <v>100</v>
      </c>
      <c r="V41" s="777" t="s">
        <v>17</v>
      </c>
      <c r="W41" s="778">
        <f t="shared" si="14"/>
        <v>100</v>
      </c>
      <c r="X41" s="779"/>
      <c r="Y41" s="3248"/>
      <c r="Z41" s="780" t="str">
        <f t="shared" si="15"/>
        <v>进深比</v>
      </c>
      <c r="AA41" s="1811">
        <f t="shared" si="3"/>
        <v>1</v>
      </c>
      <c r="AB41" s="1811">
        <f t="shared" si="4"/>
        <v>1</v>
      </c>
      <c r="AC41" s="1811">
        <f t="shared" si="5"/>
        <v>1</v>
      </c>
    </row>
    <row r="42" spans="1:29" ht="15.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46"/>
      <c r="Q42" s="1810" t="str">
        <f t="shared" si="11"/>
        <v>内部装修</v>
      </c>
      <c r="R42" s="774" t="s">
        <v>17</v>
      </c>
      <c r="S42" s="775">
        <f t="shared" si="12"/>
        <v>100</v>
      </c>
      <c r="T42" s="774" t="s">
        <v>17</v>
      </c>
      <c r="U42" s="775">
        <f t="shared" si="13"/>
        <v>100</v>
      </c>
      <c r="V42" s="774" t="s">
        <v>17</v>
      </c>
      <c r="W42" s="775">
        <f t="shared" si="14"/>
        <v>100</v>
      </c>
      <c r="X42" s="1813"/>
      <c r="Y42" s="3248"/>
      <c r="Z42" s="1814" t="str">
        <f t="shared" si="15"/>
        <v>内部装修</v>
      </c>
      <c r="AA42" s="1811">
        <f t="shared" si="3"/>
        <v>1</v>
      </c>
      <c r="AB42" s="1811">
        <f t="shared" si="4"/>
        <v>1</v>
      </c>
      <c r="AC42" s="1811">
        <f t="shared" si="5"/>
        <v>1</v>
      </c>
    </row>
    <row r="43" spans="1:29" ht="28">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46"/>
      <c r="Q43" s="1810" t="str">
        <f t="shared" si="11"/>
        <v>内部装修维护情况</v>
      </c>
      <c r="R43" s="774" t="s">
        <v>17</v>
      </c>
      <c r="S43" s="775">
        <f t="shared" si="12"/>
        <v>100</v>
      </c>
      <c r="T43" s="774" t="s">
        <v>17</v>
      </c>
      <c r="U43" s="775">
        <f t="shared" si="13"/>
        <v>100</v>
      </c>
      <c r="V43" s="774" t="s">
        <v>17</v>
      </c>
      <c r="W43" s="775">
        <f t="shared" si="14"/>
        <v>100</v>
      </c>
      <c r="X43" s="1813"/>
      <c r="Y43" s="3248"/>
      <c r="Z43" s="1814" t="str">
        <f t="shared" si="15"/>
        <v>内部装修维护情况</v>
      </c>
      <c r="AA43" s="1811">
        <f t="shared" si="3"/>
        <v>1</v>
      </c>
      <c r="AB43" s="1811">
        <f t="shared" si="4"/>
        <v>1</v>
      </c>
      <c r="AC43" s="1811">
        <f t="shared" si="5"/>
        <v>1</v>
      </c>
    </row>
    <row r="44" spans="1:29" s="117" customFormat="1" ht="15.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6"/>
      <c r="Q44" s="1795">
        <f t="shared" si="11"/>
        <v>111</v>
      </c>
      <c r="R44" s="770" t="s">
        <v>17</v>
      </c>
      <c r="S44" s="771">
        <f t="shared" si="12"/>
        <v>100</v>
      </c>
      <c r="T44" s="770" t="s">
        <v>17</v>
      </c>
      <c r="U44" s="771">
        <f t="shared" si="13"/>
        <v>100</v>
      </c>
      <c r="V44" s="770" t="s">
        <v>17</v>
      </c>
      <c r="W44" s="771">
        <f t="shared" si="14"/>
        <v>100</v>
      </c>
      <c r="X44" s="772"/>
      <c r="Y44" s="3248"/>
      <c r="Z44" s="55">
        <f t="shared" si="15"/>
        <v>111</v>
      </c>
      <c r="AA44" s="773">
        <f t="shared" si="3"/>
        <v>1</v>
      </c>
      <c r="AB44" s="773">
        <f t="shared" si="4"/>
        <v>1</v>
      </c>
      <c r="AC44" s="773">
        <f t="shared" si="5"/>
        <v>1</v>
      </c>
    </row>
    <row r="45" spans="1:29" ht="15.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6"/>
      <c r="Q45" s="1810">
        <f t="shared" si="11"/>
        <v>111</v>
      </c>
      <c r="R45" s="774" t="s">
        <v>17</v>
      </c>
      <c r="S45" s="775">
        <f t="shared" si="12"/>
        <v>100</v>
      </c>
      <c r="T45" s="774" t="s">
        <v>17</v>
      </c>
      <c r="U45" s="775">
        <f t="shared" si="13"/>
        <v>100</v>
      </c>
      <c r="V45" s="774" t="s">
        <v>17</v>
      </c>
      <c r="W45" s="775">
        <f t="shared" si="14"/>
        <v>100</v>
      </c>
      <c r="X45" s="1813"/>
      <c r="Y45" s="3248"/>
      <c r="Z45" s="1814">
        <f t="shared" si="15"/>
        <v>111</v>
      </c>
      <c r="AA45" s="1811">
        <f t="shared" si="3"/>
        <v>1</v>
      </c>
      <c r="AB45" s="1811">
        <f t="shared" si="4"/>
        <v>1</v>
      </c>
      <c r="AC45" s="1811">
        <f t="shared" si="5"/>
        <v>1</v>
      </c>
    </row>
    <row r="46" spans="1:29" ht="16"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7"/>
      <c r="Q46" s="1810">
        <f t="shared" si="11"/>
        <v>111</v>
      </c>
      <c r="R46" s="774" t="s">
        <v>17</v>
      </c>
      <c r="S46" s="775">
        <f t="shared" si="12"/>
        <v>100</v>
      </c>
      <c r="T46" s="774" t="s">
        <v>17</v>
      </c>
      <c r="U46" s="775">
        <f t="shared" si="13"/>
        <v>100</v>
      </c>
      <c r="V46" s="774" t="s">
        <v>17</v>
      </c>
      <c r="W46" s="775">
        <f t="shared" si="14"/>
        <v>100</v>
      </c>
      <c r="X46" s="1813"/>
      <c r="Y46" s="3249"/>
      <c r="Z46" s="1814">
        <f t="shared" si="15"/>
        <v>111</v>
      </c>
      <c r="AA46" s="1811">
        <f t="shared" si="3"/>
        <v>1</v>
      </c>
      <c r="AB46" s="1811">
        <f t="shared" si="4"/>
        <v>1</v>
      </c>
      <c r="AC46" s="1811">
        <f t="shared" si="5"/>
        <v>1</v>
      </c>
    </row>
    <row r="47" spans="1:29">
      <c r="A47" s="479" t="s">
        <v>2576</v>
      </c>
      <c r="B47" s="480"/>
      <c r="C47" s="1407" t="s">
        <v>1</v>
      </c>
      <c r="D47" s="1408"/>
      <c r="E47" s="1409">
        <v>55000</v>
      </c>
      <c r="F47" s="1410"/>
      <c r="G47" s="1411">
        <f>E47</f>
        <v>55000</v>
      </c>
      <c r="H47" s="1412"/>
      <c r="I47" s="1409">
        <f>E47</f>
        <v>55000</v>
      </c>
      <c r="J47" s="1412"/>
      <c r="K47" s="783"/>
      <c r="L47" s="1143"/>
      <c r="M47" s="1144"/>
      <c r="N47" s="1131"/>
      <c r="O47" s="1144"/>
      <c r="P47" s="3241" t="str">
        <f>A47</f>
        <v>成交单价（元/平方米）</v>
      </c>
      <c r="Q47" s="3241"/>
      <c r="R47" s="3236">
        <f>E47</f>
        <v>55000</v>
      </c>
      <c r="S47" s="3236"/>
      <c r="T47" s="3236">
        <f>G47</f>
        <v>55000</v>
      </c>
      <c r="U47" s="3236"/>
      <c r="V47" s="3236">
        <f>I47</f>
        <v>55000</v>
      </c>
      <c r="W47" s="3236"/>
      <c r="X47" s="759"/>
      <c r="Y47" s="781"/>
      <c r="Z47" s="759"/>
      <c r="AA47" s="759"/>
      <c r="AB47" s="759"/>
      <c r="AC47" s="759"/>
    </row>
    <row r="48" spans="1:29" ht="14.5" thickBot="1">
      <c r="A48" s="486" t="s">
        <v>2668</v>
      </c>
      <c r="B48" s="487"/>
      <c r="C48" s="1413">
        <f>R49</f>
        <v>55000</v>
      </c>
      <c r="D48" s="1414"/>
      <c r="E48" s="1415">
        <f>R48</f>
        <v>55000</v>
      </c>
      <c r="F48" s="1415"/>
      <c r="G48" s="1413">
        <f>T48</f>
        <v>55000</v>
      </c>
      <c r="H48" s="1414"/>
      <c r="I48" s="1415">
        <f>V48</f>
        <v>55000</v>
      </c>
      <c r="J48" s="1414"/>
      <c r="K48" s="784"/>
      <c r="L48" s="1143"/>
      <c r="M48" s="1144"/>
      <c r="N48" s="1131"/>
      <c r="O48" s="1144"/>
      <c r="P48" s="3241" t="str">
        <f>A48</f>
        <v>比较价值（元/平方米）</v>
      </c>
      <c r="Q48" s="3241"/>
      <c r="R48" s="3242">
        <f>IF(F1="售价",ROUND(PRODUCT(R47,AA7:AA46),0),ROUND(PRODUCT(R47,AA7:AA46),1))</f>
        <v>55000</v>
      </c>
      <c r="S48" s="3242"/>
      <c r="T48" s="3242">
        <f>IF(F1="售价",ROUND(PRODUCT(T47,AB7:AB46),0),ROUND(PRODUCT(T47,AB7:AB46),1))</f>
        <v>55000</v>
      </c>
      <c r="U48" s="3242"/>
      <c r="V48" s="3242">
        <f>IF(F1="售价",ROUND(PRODUCT(V47,AC7:AC46),0),ROUND(PRODUCT(V47,AC7:AC46),1))</f>
        <v>55000</v>
      </c>
      <c r="W48" s="3242"/>
      <c r="X48" s="759"/>
      <c r="Y48" s="759"/>
      <c r="Z48" s="759"/>
      <c r="AA48" s="759"/>
      <c r="AB48" s="759"/>
      <c r="AC48" s="759"/>
    </row>
    <row r="49" spans="1:29" ht="14.5" thickBot="1">
      <c r="A49" s="492" t="s">
        <v>2669</v>
      </c>
      <c r="B49" s="493"/>
      <c r="C49" s="1417">
        <f>R49</f>
        <v>55000</v>
      </c>
      <c r="D49" s="1417"/>
      <c r="E49" s="1417"/>
      <c r="F49" s="1417"/>
      <c r="G49" s="1417"/>
      <c r="H49" s="1417"/>
      <c r="I49" s="1417"/>
      <c r="J49" s="1417"/>
      <c r="K49" s="785"/>
      <c r="L49" s="1143"/>
      <c r="M49" s="1144"/>
      <c r="N49" s="1131"/>
      <c r="O49" s="1144"/>
      <c r="P49" s="3238" t="str">
        <f>A49</f>
        <v>估价对象XX用房的比较价值（楼面单价，元/平方米）</v>
      </c>
      <c r="Q49" s="3239"/>
      <c r="R49" s="3240">
        <f>IF(F1="售价",ROUND(AVERAGE(R48:V48),0),ROUND(AVERAGE(R48:V48),1))</f>
        <v>55000</v>
      </c>
      <c r="S49" s="3240"/>
      <c r="T49" s="3240"/>
      <c r="U49" s="3240"/>
      <c r="V49" s="3240"/>
      <c r="W49" s="324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f>IF(E47&lt;E48,E48/E47-1,E47/E48-1)</f>
        <v>0</v>
      </c>
      <c r="F52" s="500" t="str">
        <f>IF(OR(E52&gt;=0.3,E52&lt;=-0.3),"超过30%","")</f>
        <v/>
      </c>
      <c r="G52" s="499">
        <f>IF(G47&lt;G48,G48/G47-1,G47/G48-1)</f>
        <v>0</v>
      </c>
      <c r="H52" s="500" t="str">
        <f>IF(OR(G52&gt;=0.3,G52&lt;=-0.3),"超过30%","")</f>
        <v/>
      </c>
      <c r="I52" s="499">
        <f>IF(I47&lt;I48,I48/I47-1,I47/I48-1)</f>
        <v>0</v>
      </c>
      <c r="J52" s="500" t="str">
        <f>IF(OR(I52&gt;=0.3,I52&lt;=-0.3),"超过30%","")</f>
        <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f>IF(E48&lt;G48,G48/E48-1,E48/G48-1)</f>
        <v>0</v>
      </c>
      <c r="F53" s="500" t="str">
        <f>IF(OR(E53&gt;=0.2,E53&lt;=-0.2),"超过20%","")</f>
        <v/>
      </c>
      <c r="G53" s="499">
        <f>IF(G48&lt;I48,I48/G48-1,G48/I48-1)</f>
        <v>0</v>
      </c>
      <c r="H53" s="500" t="str">
        <f>IF(OR(G53&gt;=0.2,G53&lt;=-0.2),"超过20%","")</f>
        <v/>
      </c>
      <c r="I53" s="499">
        <f>IF(I48&lt;E48,E48/I48-1,I48/E48-1)</f>
        <v>0</v>
      </c>
      <c r="J53" s="500" t="str">
        <f>IF(OR(I53&gt;=0.2,I53&lt;=-0.2),"超过20%","")</f>
        <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5" thickBot="1">
      <c r="A57" s="763" t="s">
        <v>2673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c r="A58" s="505" t="s">
        <v>2547</v>
      </c>
      <c r="B58" s="506"/>
      <c r="C58" s="1574" t="str">
        <f>YEAR(C7)&amp;"-"&amp;MONTH(C7)</f>
        <v>2020-2</v>
      </c>
      <c r="D58" s="1575">
        <f>EDATE(C58,-1)</f>
        <v>43831</v>
      </c>
      <c r="E58" s="1575">
        <f t="shared" ref="E58:N58" si="16">EDATE(D58,-1)</f>
        <v>43800</v>
      </c>
      <c r="F58" s="1575">
        <f t="shared" si="16"/>
        <v>43770</v>
      </c>
      <c r="G58" s="1575">
        <f t="shared" si="16"/>
        <v>43739</v>
      </c>
      <c r="H58" s="1575">
        <f t="shared" si="16"/>
        <v>43709</v>
      </c>
      <c r="I58" s="1575">
        <f t="shared" si="16"/>
        <v>43678</v>
      </c>
      <c r="J58" s="1575">
        <f t="shared" si="16"/>
        <v>43647</v>
      </c>
      <c r="K58" s="1575">
        <f t="shared" si="16"/>
        <v>43617</v>
      </c>
      <c r="L58" s="1575">
        <f t="shared" si="16"/>
        <v>43586</v>
      </c>
      <c r="M58" s="1575">
        <f t="shared" si="16"/>
        <v>43556</v>
      </c>
      <c r="N58" s="1575">
        <f t="shared" si="16"/>
        <v>43525</v>
      </c>
      <c r="O58" s="1575">
        <f>EDATE(N58,-1)</f>
        <v>43497</v>
      </c>
      <c r="P58" s="1570"/>
    </row>
    <row r="59" spans="1:29" s="117" customFormat="1">
      <c r="A59" s="509"/>
      <c r="B59" s="510"/>
      <c r="C59" s="1573">
        <v>100</v>
      </c>
      <c r="D59" s="512"/>
      <c r="E59" s="512"/>
      <c r="F59" s="512"/>
      <c r="G59" s="512"/>
      <c r="H59" s="512"/>
      <c r="I59" s="512"/>
      <c r="J59" s="512"/>
      <c r="K59" s="512"/>
      <c r="L59" s="512"/>
      <c r="M59" s="513"/>
      <c r="N59" s="512"/>
      <c r="O59" s="513"/>
      <c r="P59" s="2630"/>
    </row>
    <row r="60" spans="1:29" s="117" customFormat="1" ht="14.5" thickBot="1">
      <c r="A60" s="515" t="s">
        <v>2584</v>
      </c>
      <c r="B60" s="516"/>
      <c r="C60" s="517"/>
      <c r="D60" s="518"/>
      <c r="E60" s="518"/>
      <c r="F60" s="518"/>
      <c r="G60" s="518"/>
      <c r="H60" s="518"/>
      <c r="I60" s="518"/>
      <c r="J60" s="518"/>
      <c r="K60" s="518"/>
      <c r="L60" s="518"/>
      <c r="M60" s="519"/>
      <c r="N60" s="518"/>
      <c r="O60" s="519"/>
      <c r="P60" s="2630"/>
      <c r="Q60" s="504"/>
    </row>
    <row r="61" spans="1:29" s="117" customFormat="1">
      <c r="A61" s="521" t="s">
        <v>2549</v>
      </c>
      <c r="B61" s="510"/>
      <c r="C61" s="522" t="s">
        <v>2651</v>
      </c>
      <c r="D61" s="523"/>
      <c r="E61" s="523"/>
      <c r="F61" s="523"/>
      <c r="G61" s="523"/>
      <c r="H61" s="523"/>
      <c r="I61" s="523"/>
      <c r="J61" s="523"/>
      <c r="K61" s="523"/>
      <c r="L61" s="524"/>
      <c r="M61" s="525"/>
      <c r="N61" s="1151"/>
      <c r="O61" s="1151"/>
      <c r="P61" s="2631"/>
      <c r="Q61" s="504"/>
    </row>
    <row r="62" spans="1:29" s="117" customFormat="1" ht="14.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4.5" thickBot="1">
      <c r="A64" s="534"/>
      <c r="B64" s="535"/>
      <c r="C64" s="536">
        <v>100</v>
      </c>
      <c r="D64" s="536"/>
      <c r="E64" s="536"/>
      <c r="F64" s="536"/>
      <c r="G64" s="536"/>
      <c r="H64" s="536"/>
      <c r="I64" s="536"/>
      <c r="J64" s="536"/>
      <c r="K64" s="536"/>
      <c r="L64" s="536"/>
      <c r="M64" s="537"/>
      <c r="N64" s="1153"/>
      <c r="O64" s="1153"/>
      <c r="P64" s="2632"/>
      <c r="Q64" s="504"/>
    </row>
    <row r="65" spans="1:17" ht="28.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4.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4.5" thickTop="1">
      <c r="A67" s="534"/>
      <c r="B67" s="546" t="s">
        <v>2557</v>
      </c>
      <c r="C67" s="547" t="str">
        <f>C68&amp;"（含）"&amp;"-"&amp;D68</f>
        <v>0（含）-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c r="A68" s="534"/>
      <c r="B68" s="548"/>
      <c r="C68" s="549">
        <v>0</v>
      </c>
      <c r="D68" s="549"/>
      <c r="E68" s="549"/>
      <c r="F68" s="549"/>
      <c r="G68" s="549"/>
      <c r="H68" s="549"/>
      <c r="I68" s="549"/>
      <c r="J68" s="549"/>
      <c r="K68" s="550"/>
      <c r="L68" s="551"/>
      <c r="M68" s="552"/>
      <c r="N68" s="1152"/>
      <c r="O68" s="1152"/>
      <c r="P68" s="2632"/>
      <c r="Q68" s="504"/>
    </row>
    <row r="69" spans="1:17" ht="14.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4.5" thickTop="1">
      <c r="A70" s="553"/>
      <c r="B70" s="538">
        <f>B12</f>
        <v>111</v>
      </c>
      <c r="C70" s="554"/>
      <c r="D70" s="554"/>
      <c r="E70" s="554"/>
      <c r="F70" s="554"/>
      <c r="G70" s="554"/>
      <c r="H70" s="555"/>
      <c r="I70" s="555"/>
      <c r="J70" s="555"/>
      <c r="K70" s="555"/>
      <c r="L70" s="556"/>
      <c r="M70" s="557"/>
      <c r="N70" s="1154"/>
      <c r="O70" s="1154"/>
      <c r="P70" s="2633"/>
      <c r="Q70" s="559"/>
    </row>
    <row r="71" spans="1:17" s="471" customFormat="1" ht="14.5" thickBot="1">
      <c r="A71" s="553"/>
      <c r="B71" s="543"/>
      <c r="C71" s="560"/>
      <c r="D71" s="536"/>
      <c r="E71" s="536"/>
      <c r="F71" s="536"/>
      <c r="G71" s="536"/>
      <c r="H71" s="536"/>
      <c r="I71" s="536"/>
      <c r="J71" s="536"/>
      <c r="K71" s="536"/>
      <c r="L71" s="536"/>
      <c r="M71" s="537"/>
      <c r="N71" s="1153"/>
      <c r="O71" s="1153"/>
      <c r="P71" s="2633"/>
      <c r="Q71" s="559"/>
    </row>
    <row r="72" spans="1:17" s="471" customFormat="1" ht="14.5" thickTop="1">
      <c r="A72" s="553"/>
      <c r="B72" s="538">
        <f>B13</f>
        <v>111</v>
      </c>
      <c r="C72" s="554"/>
      <c r="D72" s="554"/>
      <c r="E72" s="554"/>
      <c r="F72" s="554"/>
      <c r="G72" s="554"/>
      <c r="H72" s="555"/>
      <c r="I72" s="555"/>
      <c r="J72" s="555"/>
      <c r="K72" s="555"/>
      <c r="L72" s="556"/>
      <c r="M72" s="557"/>
      <c r="N72" s="1154"/>
      <c r="O72" s="1154"/>
      <c r="P72" s="2634"/>
      <c r="Q72" s="561"/>
    </row>
    <row r="73" spans="1:17" s="471" customFormat="1" ht="14.5" thickBot="1">
      <c r="A73" s="553"/>
      <c r="B73" s="543"/>
      <c r="C73" s="560"/>
      <c r="D73" s="536"/>
      <c r="E73" s="536"/>
      <c r="F73" s="536"/>
      <c r="G73" s="560"/>
      <c r="H73" s="562"/>
      <c r="I73" s="562"/>
      <c r="J73" s="562"/>
      <c r="K73" s="562"/>
      <c r="L73" s="562"/>
      <c r="M73" s="563"/>
      <c r="N73" s="1154"/>
      <c r="O73" s="1154"/>
      <c r="P73" s="2633"/>
      <c r="Q73" s="559"/>
    </row>
    <row r="74" spans="1:17" s="471" customFormat="1" ht="14.5" thickTop="1">
      <c r="A74" s="553"/>
      <c r="B74" s="546">
        <f>B14</f>
        <v>111</v>
      </c>
      <c r="C74" s="554"/>
      <c r="D74" s="554"/>
      <c r="E74" s="554"/>
      <c r="F74" s="554"/>
      <c r="G74" s="523"/>
      <c r="H74" s="564"/>
      <c r="I74" s="564"/>
      <c r="J74" s="564"/>
      <c r="K74" s="564"/>
      <c r="L74" s="565"/>
      <c r="M74" s="566"/>
      <c r="N74" s="1154"/>
      <c r="O74" s="1154"/>
      <c r="P74" s="2635"/>
      <c r="Q74" s="559"/>
    </row>
    <row r="75" spans="1:17" s="471" customFormat="1" ht="14.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4.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4.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4.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4.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4.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4.5" thickTop="1">
      <c r="A82" s="534"/>
      <c r="B82" s="546" t="s">
        <v>2654</v>
      </c>
      <c r="C82" s="660" t="s">
        <v>2674</v>
      </c>
      <c r="D82" s="660" t="s">
        <v>2675</v>
      </c>
      <c r="E82" s="660" t="s">
        <v>2676</v>
      </c>
      <c r="F82" s="660" t="s">
        <v>2677</v>
      </c>
      <c r="G82" s="660" t="s">
        <v>2678</v>
      </c>
      <c r="H82" s="539"/>
      <c r="I82" s="539"/>
      <c r="J82" s="539"/>
      <c r="K82" s="539"/>
      <c r="L82" s="539"/>
      <c r="M82" s="1382"/>
      <c r="N82" s="1153"/>
      <c r="O82" s="1153"/>
      <c r="P82" s="2632"/>
      <c r="Q82" s="504"/>
    </row>
    <row r="83" spans="1:17" ht="14.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4.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4.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4.5" thickTop="1">
      <c r="A86" s="579"/>
      <c r="B86" s="538" t="s">
        <v>2679</v>
      </c>
      <c r="C86" s="554"/>
      <c r="D86" s="554"/>
      <c r="E86" s="554"/>
      <c r="F86" s="554"/>
      <c r="G86" s="554"/>
      <c r="H86" s="554"/>
      <c r="I86" s="554"/>
      <c r="J86" s="554"/>
      <c r="K86" s="554"/>
      <c r="L86" s="580"/>
      <c r="M86" s="581"/>
      <c r="N86" s="1151"/>
      <c r="O86" s="1151"/>
      <c r="P86" s="2632"/>
      <c r="Q86" s="504"/>
    </row>
    <row r="87" spans="1:17" s="117" customFormat="1" ht="14.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4.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4.5" thickBot="1">
      <c r="A89" s="579"/>
      <c r="B89" s="543"/>
      <c r="C89" s="560"/>
      <c r="D89" s="536"/>
      <c r="E89" s="536"/>
      <c r="F89" s="536"/>
      <c r="G89" s="536"/>
      <c r="H89" s="536"/>
      <c r="I89" s="536"/>
      <c r="J89" s="536"/>
      <c r="K89" s="536"/>
      <c r="L89" s="536"/>
      <c r="M89" s="536"/>
      <c r="N89" s="1153"/>
      <c r="O89" s="1153"/>
      <c r="P89" s="2632"/>
      <c r="Q89" s="504"/>
    </row>
    <row r="90" spans="1:17" s="471" customFormat="1" ht="14.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4.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4.5" thickTop="1">
      <c r="A92" s="534"/>
      <c r="B92" s="538" t="str">
        <f>B28</f>
        <v>楼层</v>
      </c>
      <c r="C92" s="554"/>
      <c r="D92" s="554"/>
      <c r="E92" s="554"/>
      <c r="F92" s="554"/>
      <c r="G92" s="554"/>
      <c r="H92" s="554"/>
      <c r="I92" s="554"/>
      <c r="J92" s="554"/>
      <c r="K92" s="554"/>
      <c r="L92" s="580"/>
      <c r="M92" s="581"/>
      <c r="N92" s="1152"/>
      <c r="O92" s="1152"/>
      <c r="P92" s="2632"/>
      <c r="Q92" s="504"/>
    </row>
    <row r="93" spans="1:17" ht="14.5" thickBot="1">
      <c r="A93" s="534"/>
      <c r="B93" s="543"/>
      <c r="C93" s="536"/>
      <c r="D93" s="536"/>
      <c r="E93" s="536"/>
      <c r="F93" s="536"/>
      <c r="G93" s="536"/>
      <c r="H93" s="536"/>
      <c r="I93" s="536"/>
      <c r="J93" s="536"/>
      <c r="K93" s="536"/>
      <c r="L93" s="536"/>
      <c r="M93" s="537"/>
      <c r="N93" s="1153"/>
      <c r="O93" s="1153"/>
      <c r="P93" s="2632"/>
      <c r="Q93" s="504"/>
    </row>
    <row r="94" spans="1:17" ht="14.5" thickTop="1">
      <c r="A94" s="534"/>
      <c r="B94" s="538">
        <f>B29</f>
        <v>111</v>
      </c>
      <c r="C94" s="554"/>
      <c r="D94" s="554"/>
      <c r="E94" s="554"/>
      <c r="F94" s="554"/>
      <c r="G94" s="583"/>
      <c r="H94" s="583"/>
      <c r="I94" s="583"/>
      <c r="J94" s="583"/>
      <c r="K94" s="584"/>
      <c r="L94" s="585"/>
      <c r="M94" s="586"/>
      <c r="N94" s="1152"/>
      <c r="O94" s="1152"/>
      <c r="P94" s="2632"/>
      <c r="Q94" s="504"/>
    </row>
    <row r="95" spans="1:17" ht="14.5" thickBot="1">
      <c r="A95" s="534"/>
      <c r="B95" s="543"/>
      <c r="C95" s="560"/>
      <c r="D95" s="536"/>
      <c r="E95" s="536"/>
      <c r="F95" s="536"/>
      <c r="G95" s="536"/>
      <c r="H95" s="536"/>
      <c r="I95" s="536"/>
      <c r="J95" s="536"/>
      <c r="K95" s="536"/>
      <c r="L95" s="536"/>
      <c r="M95" s="537"/>
      <c r="N95" s="1153"/>
      <c r="O95" s="1153"/>
      <c r="P95" s="2632"/>
      <c r="Q95" s="504"/>
    </row>
    <row r="96" spans="1:17" ht="14.5" thickTop="1">
      <c r="A96" s="534"/>
      <c r="B96" s="538">
        <f>B30</f>
        <v>111</v>
      </c>
      <c r="C96" s="554"/>
      <c r="D96" s="554"/>
      <c r="E96" s="554"/>
      <c r="F96" s="554"/>
      <c r="G96" s="583"/>
      <c r="H96" s="583"/>
      <c r="I96" s="583"/>
      <c r="J96" s="583"/>
      <c r="K96" s="584"/>
      <c r="L96" s="585"/>
      <c r="M96" s="586"/>
      <c r="N96" s="1152"/>
      <c r="O96" s="1152"/>
      <c r="P96" s="2632"/>
      <c r="Q96" s="504"/>
    </row>
    <row r="97" spans="1:17" ht="14.5" thickBot="1">
      <c r="A97" s="534"/>
      <c r="B97" s="543"/>
      <c r="C97" s="560"/>
      <c r="D97" s="536"/>
      <c r="E97" s="536"/>
      <c r="F97" s="536"/>
      <c r="G97" s="536"/>
      <c r="H97" s="536"/>
      <c r="I97" s="536"/>
      <c r="J97" s="536"/>
      <c r="K97" s="536"/>
      <c r="L97" s="536"/>
      <c r="M97" s="537"/>
      <c r="N97" s="1153"/>
      <c r="O97" s="1153"/>
      <c r="P97" s="2632"/>
      <c r="Q97" s="504"/>
    </row>
    <row r="98" spans="1:17" ht="14.5" thickTop="1">
      <c r="A98" s="534"/>
      <c r="B98" s="546">
        <f>B31</f>
        <v>111</v>
      </c>
      <c r="C98" s="554"/>
      <c r="D98" s="554"/>
      <c r="E98" s="554"/>
      <c r="F98" s="554"/>
      <c r="G98" s="587"/>
      <c r="H98" s="587"/>
      <c r="I98" s="587"/>
      <c r="J98" s="587"/>
      <c r="K98" s="588"/>
      <c r="L98" s="589"/>
      <c r="M98" s="590"/>
      <c r="N98" s="1152"/>
      <c r="O98" s="1152"/>
      <c r="P98" s="2632"/>
      <c r="Q98" s="504"/>
    </row>
    <row r="99" spans="1:17" ht="14.5" thickBot="1">
      <c r="A99" s="2638"/>
      <c r="B99" s="569"/>
      <c r="C99" s="570"/>
      <c r="D99" s="570"/>
      <c r="E99" s="570"/>
      <c r="F99" s="570"/>
      <c r="G99" s="591"/>
      <c r="H99" s="591"/>
      <c r="I99" s="591"/>
      <c r="J99" s="591"/>
      <c r="K99" s="591"/>
      <c r="L99" s="591"/>
      <c r="M99" s="592"/>
      <c r="N99" s="1153"/>
      <c r="O99" s="1153"/>
      <c r="P99" s="2632"/>
      <c r="Q99" s="504"/>
    </row>
    <row r="100" spans="1:17">
      <c r="A100" s="527" t="s">
        <v>2562</v>
      </c>
      <c r="B100" s="528" t="s">
        <v>2680</v>
      </c>
      <c r="C100" s="530"/>
      <c r="D100" s="530"/>
      <c r="E100" s="530"/>
      <c r="F100" s="530"/>
      <c r="G100" s="530"/>
      <c r="H100" s="530"/>
      <c r="I100" s="530"/>
      <c r="J100" s="530"/>
      <c r="K100" s="531"/>
      <c r="L100" s="532"/>
      <c r="M100" s="533"/>
      <c r="N100" s="1152"/>
      <c r="O100" s="1152"/>
      <c r="P100" s="2632"/>
      <c r="Q100" s="504"/>
    </row>
    <row r="101" spans="1:17" ht="14.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4.5" thickTop="1">
      <c r="A102" s="534"/>
      <c r="B102" s="538" t="s">
        <v>2612</v>
      </c>
      <c r="C102" s="578" t="str">
        <f>C103&amp;"(含)"&amp;"-"&amp;D103</f>
        <v>0(含)-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v>0</v>
      </c>
      <c r="D103" s="595"/>
      <c r="E103" s="595"/>
      <c r="F103" s="595"/>
      <c r="G103" s="595"/>
      <c r="H103" s="595"/>
      <c r="I103" s="595"/>
      <c r="J103" s="596"/>
      <c r="K103" s="596"/>
      <c r="L103" s="597"/>
      <c r="M103" s="598"/>
      <c r="N103" s="1154"/>
      <c r="O103" s="1154"/>
      <c r="P103" s="2633"/>
      <c r="Q103" s="559"/>
    </row>
    <row r="104" spans="1:17" s="471" customFormat="1" ht="14.5" thickBot="1">
      <c r="A104" s="553"/>
      <c r="B104" s="543"/>
      <c r="C104" s="560"/>
      <c r="D104" s="536"/>
      <c r="E104" s="536"/>
      <c r="F104" s="536"/>
      <c r="G104" s="536"/>
      <c r="H104" s="536"/>
      <c r="I104" s="536"/>
      <c r="J104" s="536"/>
      <c r="K104" s="536"/>
      <c r="L104" s="536"/>
      <c r="M104" s="537"/>
      <c r="N104" s="1153"/>
      <c r="O104" s="1153"/>
      <c r="P104" s="2633"/>
      <c r="Q104" s="559"/>
    </row>
    <row r="105" spans="1:17" ht="14.5" thickTop="1">
      <c r="A105" s="599"/>
      <c r="B105" s="538" t="s">
        <v>2613</v>
      </c>
      <c r="C105" s="554"/>
      <c r="D105" s="554"/>
      <c r="E105" s="583"/>
      <c r="F105" s="583"/>
      <c r="G105" s="583"/>
      <c r="H105" s="583"/>
      <c r="I105" s="583"/>
      <c r="J105" s="583"/>
      <c r="K105" s="584"/>
      <c r="L105" s="585"/>
      <c r="M105" s="586"/>
      <c r="N105" s="1152"/>
      <c r="O105" s="1152"/>
      <c r="P105" s="2632"/>
      <c r="Q105" s="504"/>
    </row>
    <row r="106" spans="1:17" ht="14.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4.5" thickTop="1">
      <c r="A107" s="599"/>
      <c r="B107" s="538" t="s">
        <v>2615</v>
      </c>
      <c r="C107" s="554"/>
      <c r="D107" s="554"/>
      <c r="E107" s="554"/>
      <c r="F107" s="583"/>
      <c r="G107" s="583"/>
      <c r="H107" s="583"/>
      <c r="I107" s="583"/>
      <c r="J107" s="583"/>
      <c r="K107" s="584"/>
      <c r="L107" s="585"/>
      <c r="M107" s="586"/>
      <c r="N107" s="1152"/>
      <c r="O107" s="1152"/>
      <c r="P107" s="2632"/>
      <c r="Q107" s="504"/>
    </row>
    <row r="108" spans="1:17" ht="14.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4.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4.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4.5" thickTop="1">
      <c r="A112" s="593"/>
      <c r="B112" s="538" t="s">
        <v>2617</v>
      </c>
      <c r="C112" s="554"/>
      <c r="D112" s="554"/>
      <c r="E112" s="554"/>
      <c r="F112" s="554"/>
      <c r="G112" s="554"/>
      <c r="H112" s="583"/>
      <c r="I112" s="583"/>
      <c r="J112" s="583"/>
      <c r="K112" s="584"/>
      <c r="L112" s="585"/>
      <c r="M112" s="586"/>
      <c r="N112" s="1154"/>
      <c r="O112" s="1154"/>
      <c r="P112" s="2633"/>
      <c r="Q112" s="559"/>
    </row>
    <row r="113" spans="1:17" s="471" customFormat="1" ht="14.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4.5" thickTop="1">
      <c r="A114" s="599"/>
      <c r="B114" s="538" t="s">
        <v>2681</v>
      </c>
      <c r="C114" s="554"/>
      <c r="D114" s="554"/>
      <c r="E114" s="583"/>
      <c r="F114" s="583"/>
      <c r="G114" s="583"/>
      <c r="H114" s="583"/>
      <c r="I114" s="583"/>
      <c r="J114" s="583"/>
      <c r="K114" s="584"/>
      <c r="L114" s="585"/>
      <c r="M114" s="586"/>
      <c r="N114" s="1152"/>
      <c r="O114" s="1152"/>
      <c r="P114" s="2632"/>
      <c r="Q114" s="504"/>
    </row>
    <row r="115" spans="1:17" ht="14.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4.5" thickTop="1">
      <c r="A116" s="599"/>
      <c r="B116" s="538" t="s">
        <v>2682</v>
      </c>
      <c r="C116" s="554"/>
      <c r="D116" s="554"/>
      <c r="E116" s="554"/>
      <c r="F116" s="554"/>
      <c r="G116" s="554"/>
      <c r="H116" s="583"/>
      <c r="I116" s="583"/>
      <c r="J116" s="583"/>
      <c r="K116" s="584"/>
      <c r="L116" s="585"/>
      <c r="M116" s="586"/>
      <c r="N116" s="1152"/>
      <c r="O116" s="1152"/>
      <c r="P116" s="2632"/>
      <c r="Q116" s="504"/>
    </row>
    <row r="117" spans="1:17" ht="14.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4.5" thickTop="1">
      <c r="A118" s="599"/>
      <c r="B118" s="538" t="s">
        <v>2683</v>
      </c>
      <c r="C118" s="627"/>
      <c r="D118" s="627"/>
      <c r="E118" s="627"/>
      <c r="F118" s="627"/>
      <c r="G118" s="627"/>
      <c r="H118" s="555"/>
      <c r="I118" s="555"/>
      <c r="J118" s="555"/>
      <c r="K118" s="555"/>
      <c r="L118" s="556"/>
      <c r="M118" s="557"/>
      <c r="N118" s="1152"/>
      <c r="O118" s="1152"/>
      <c r="P118" s="2632"/>
      <c r="Q118" s="504"/>
    </row>
    <row r="119" spans="1:17" ht="14.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4.5" thickTop="1">
      <c r="A120" s="593"/>
      <c r="B120" s="538" t="s">
        <v>2684</v>
      </c>
      <c r="C120" s="583"/>
      <c r="D120" s="583"/>
      <c r="E120" s="583"/>
      <c r="F120" s="583"/>
      <c r="G120" s="555"/>
      <c r="H120" s="555"/>
      <c r="I120" s="555"/>
      <c r="J120" s="555"/>
      <c r="K120" s="555"/>
      <c r="L120" s="556"/>
      <c r="M120" s="557"/>
      <c r="N120" s="1154"/>
      <c r="O120" s="1154"/>
      <c r="P120" s="2633"/>
      <c r="Q120" s="559"/>
    </row>
    <row r="121" spans="1:17" s="471" customFormat="1" ht="14.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4.5" thickTop="1">
      <c r="A122" s="599"/>
      <c r="B122" s="538" t="s">
        <v>2619</v>
      </c>
      <c r="C122" s="554"/>
      <c r="D122" s="554"/>
      <c r="E122" s="554"/>
      <c r="F122" s="583"/>
      <c r="G122" s="583"/>
      <c r="H122" s="583"/>
      <c r="I122" s="583"/>
      <c r="J122" s="583"/>
      <c r="K122" s="584"/>
      <c r="L122" s="585"/>
      <c r="M122" s="586"/>
      <c r="N122" s="1152"/>
      <c r="O122" s="1152"/>
      <c r="P122" s="2632"/>
      <c r="Q122" s="504"/>
    </row>
    <row r="123" spans="1:17" ht="14.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28.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4.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4.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4.5" thickBot="1">
      <c r="A127" s="553"/>
      <c r="B127" s="543"/>
      <c r="C127" s="560"/>
      <c r="D127" s="536"/>
      <c r="E127" s="536"/>
      <c r="F127" s="536"/>
      <c r="G127" s="560"/>
      <c r="H127" s="562"/>
      <c r="I127" s="562"/>
      <c r="J127" s="562"/>
      <c r="K127" s="562"/>
      <c r="L127" s="562"/>
      <c r="M127" s="563"/>
      <c r="N127" s="1154"/>
      <c r="O127" s="1154"/>
      <c r="P127" s="2633"/>
      <c r="Q127" s="559"/>
    </row>
    <row r="128" spans="1:17" ht="14.5" thickTop="1">
      <c r="A128" s="599"/>
      <c r="B128" s="538">
        <f>B45</f>
        <v>111</v>
      </c>
      <c r="C128" s="554"/>
      <c r="D128" s="554"/>
      <c r="E128" s="554"/>
      <c r="F128" s="554"/>
      <c r="G128" s="583"/>
      <c r="H128" s="583"/>
      <c r="I128" s="583"/>
      <c r="J128" s="583"/>
      <c r="K128" s="584"/>
      <c r="L128" s="585"/>
      <c r="M128" s="586"/>
      <c r="N128" s="1152"/>
      <c r="O128" s="1152"/>
      <c r="P128" s="2632"/>
      <c r="Q128" s="504"/>
    </row>
    <row r="129" spans="1:17" ht="14.5" thickBot="1">
      <c r="A129" s="534"/>
      <c r="B129" s="543"/>
      <c r="C129" s="560"/>
      <c r="D129" s="536"/>
      <c r="E129" s="536"/>
      <c r="F129" s="536"/>
      <c r="G129" s="536"/>
      <c r="H129" s="536"/>
      <c r="I129" s="536"/>
      <c r="J129" s="536"/>
      <c r="K129" s="536"/>
      <c r="L129" s="536"/>
      <c r="M129" s="537"/>
      <c r="N129" s="1153"/>
      <c r="O129" s="1153"/>
      <c r="P129" s="2632"/>
      <c r="Q129" s="504"/>
    </row>
    <row r="130" spans="1:17" ht="14.5" thickTop="1">
      <c r="A130" s="599"/>
      <c r="B130" s="546">
        <f>B46</f>
        <v>111</v>
      </c>
      <c r="C130" s="554"/>
      <c r="D130" s="554"/>
      <c r="E130" s="554"/>
      <c r="F130" s="554"/>
      <c r="G130" s="587"/>
      <c r="H130" s="587"/>
      <c r="I130" s="587"/>
      <c r="J130" s="587"/>
      <c r="K130" s="523"/>
      <c r="L130" s="524"/>
      <c r="M130" s="590"/>
      <c r="N130" s="1152"/>
      <c r="O130" s="1152"/>
      <c r="P130" s="2632"/>
      <c r="Q130" s="504"/>
    </row>
    <row r="131" spans="1:17" ht="14.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0" activePane="bottomLeft" state="frozen"/>
      <selection activeCell="C50" sqref="C50"/>
      <selection pane="bottomLeft" activeCell="Q21" sqref="Q21"/>
    </sheetView>
  </sheetViews>
  <sheetFormatPr defaultColWidth="9" defaultRowHeight="12.5"/>
  <cols>
    <col min="1" max="1" width="11.453125" style="139" customWidth="1"/>
    <col min="2" max="2" width="9.179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312" t="s">
        <v>3004</v>
      </c>
      <c r="D1" s="3313"/>
      <c r="E1" s="3313"/>
      <c r="F1" s="3313"/>
      <c r="G1" s="3313"/>
      <c r="H1" s="3313"/>
      <c r="I1" s="3313"/>
      <c r="J1" s="3313"/>
      <c r="K1" s="3313"/>
      <c r="L1" s="3313"/>
      <c r="M1" s="3313"/>
      <c r="N1" s="3313"/>
      <c r="O1" s="3313"/>
      <c r="P1" s="3313"/>
      <c r="Q1" s="3313"/>
      <c r="R1" s="3313"/>
      <c r="S1" s="3314"/>
      <c r="T1" s="1204" t="s">
        <v>3005</v>
      </c>
    </row>
    <row r="2" spans="1:45" s="707" customFormat="1" ht="25">
      <c r="A2" s="1205"/>
      <c r="B2" s="703" t="s">
        <v>3006</v>
      </c>
      <c r="C2" s="704" t="str">
        <f t="shared" ref="C2:L2" si="0">C3&amp;"(含)"&amp;"-"&amp;D3</f>
        <v>0(含)-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13">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13">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13">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t="13">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t="13">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13">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t="13">
      <c r="A17" s="2910" t="s">
        <v>3013</v>
      </c>
      <c r="B17" s="2911" t="s">
        <v>3014</v>
      </c>
      <c r="C17" s="1231" t="s">
        <v>3109</v>
      </c>
      <c r="D17" s="1232" t="s">
        <v>3108</v>
      </c>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v>100</v>
      </c>
      <c r="D18" s="1244">
        <v>70</v>
      </c>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ht="13">
      <c r="A19" s="138"/>
      <c r="B19" s="168"/>
      <c r="C19" s="168"/>
      <c r="D19" s="2912" t="s">
        <v>3015</v>
      </c>
      <c r="E19" s="1792"/>
      <c r="F19" s="1792"/>
      <c r="G19" s="1792"/>
      <c r="H19" s="1280"/>
      <c r="I19" s="168"/>
      <c r="J19" s="168"/>
      <c r="K19" s="168"/>
      <c r="L19" s="168"/>
      <c r="M19" s="168"/>
      <c r="N19" s="168"/>
      <c r="O19" s="168"/>
      <c r="P19" s="168"/>
      <c r="Q19" s="168"/>
      <c r="R19" s="788"/>
      <c r="S19" s="138"/>
    </row>
    <row r="20" spans="1:45" ht="16" thickBot="1">
      <c r="A20" s="715" t="s">
        <v>3016</v>
      </c>
      <c r="B20" s="338">
        <f>IF(D20="——",S22,S22-F20)</f>
        <v>18128</v>
      </c>
      <c r="C20" s="168"/>
      <c r="D20" s="2913" t="s">
        <v>70</v>
      </c>
      <c r="E20" s="1793"/>
      <c r="F20" s="1204" t="e">
        <f ca="1">SUMIF(INDIRECT("'"&amp;H20&amp;"'"&amp;"!A:A"),"承租人权益价值",INDIRECT("'"&amp;H20&amp;"'"&amp;"!c:c"))</f>
        <v>#REF!</v>
      </c>
      <c r="G20" s="1204" t="s">
        <v>3017</v>
      </c>
      <c r="H20" s="2914"/>
      <c r="I20" s="168"/>
      <c r="J20" s="168"/>
      <c r="K20" s="168"/>
      <c r="L20" s="168"/>
      <c r="M20" s="168"/>
      <c r="N20" s="168"/>
      <c r="O20" s="168"/>
      <c r="P20" s="168"/>
      <c r="Q20" s="168"/>
      <c r="R20" s="788"/>
      <c r="S20" s="138"/>
    </row>
    <row r="21" spans="1:45" ht="15.5">
      <c r="A21" s="715" t="s">
        <v>3018</v>
      </c>
      <c r="B21" s="338">
        <f>R22</f>
        <v>60412</v>
      </c>
      <c r="C21" s="168"/>
      <c r="D21" s="168"/>
      <c r="E21" s="168"/>
      <c r="F21" s="168"/>
      <c r="G21" s="168"/>
      <c r="H21" s="168"/>
      <c r="I21" s="168"/>
      <c r="J21" s="168"/>
      <c r="K21" s="168"/>
      <c r="L21" s="168"/>
      <c r="M21" s="168"/>
      <c r="N21" s="168"/>
      <c r="O21" s="168"/>
      <c r="P21" s="168"/>
      <c r="Q21" s="168"/>
      <c r="R21" s="788"/>
      <c r="S21" s="138"/>
    </row>
    <row r="22" spans="1:45" ht="13">
      <c r="A22" s="361" t="s">
        <v>3019</v>
      </c>
      <c r="B22" s="24">
        <f>SUM(B24:B10000)</f>
        <v>3000.7300000000005</v>
      </c>
      <c r="C22" s="3145" t="s">
        <v>33</v>
      </c>
      <c r="D22" s="3146"/>
      <c r="E22" s="3146"/>
      <c r="F22" s="3146"/>
      <c r="G22" s="3146"/>
      <c r="H22" s="3146"/>
      <c r="I22" s="3146"/>
      <c r="J22" s="3146"/>
      <c r="K22" s="3146"/>
      <c r="L22" s="3146"/>
      <c r="M22" s="3146"/>
      <c r="N22" s="3146"/>
      <c r="O22" s="3146"/>
      <c r="P22" s="3146"/>
      <c r="Q22" s="3311"/>
      <c r="R22" s="716">
        <f>ROUND(S22*10000/B22,0)</f>
        <v>60412</v>
      </c>
      <c r="S22" s="24">
        <f>SUM(S24:S10000)</f>
        <v>18128</v>
      </c>
    </row>
    <row r="23" spans="1:45" s="12" customFormat="1" ht="26">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13">
      <c r="A24" s="2974" t="s">
        <v>3107</v>
      </c>
      <c r="B24" s="718">
        <f>Sheet1!F2</f>
        <v>322.94</v>
      </c>
      <c r="C24" s="719">
        <v>1</v>
      </c>
      <c r="D24" s="720"/>
      <c r="E24" s="719">
        <v>1</v>
      </c>
      <c r="F24" s="720"/>
      <c r="G24" s="719">
        <v>1</v>
      </c>
      <c r="H24" s="720"/>
      <c r="I24" s="719">
        <v>1</v>
      </c>
      <c r="J24" s="720"/>
      <c r="K24" s="719">
        <v>1</v>
      </c>
      <c r="L24" s="720"/>
      <c r="M24" s="719">
        <v>1</v>
      </c>
      <c r="N24" s="720"/>
      <c r="O24" s="719">
        <v>1</v>
      </c>
      <c r="P24" s="720" t="s">
        <v>3075</v>
      </c>
      <c r="Q24" s="719">
        <v>1</v>
      </c>
      <c r="R24" s="721">
        <f>'比较法-商业'!C48*1.5</f>
        <v>82500</v>
      </c>
      <c r="S24" s="719">
        <f t="shared" ref="S24:S54" si="11">ROUND(R24*B24/10000,0)</f>
        <v>2664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13">
      <c r="A25" s="159" t="s">
        <v>3108</v>
      </c>
      <c r="B25" s="59">
        <f>Sheet1!F3</f>
        <v>2677.7900000000004</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3077</v>
      </c>
      <c r="Q25" s="24">
        <f>(SUMIF($17:$17,P25,$18:$18)-SUMIF($17:$17,$P$24,$18:$18)+100)/100</f>
        <v>0.7</v>
      </c>
      <c r="R25" s="716">
        <f>IF(B25="",0,ROUND($R$24*C25*E25*G25*I25*K25*M25*O25*Q25,0))</f>
        <v>57750</v>
      </c>
      <c r="S25" s="361">
        <f t="shared" si="11"/>
        <v>15464</v>
      </c>
    </row>
    <row r="26" spans="1:45" ht="13">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0</v>
      </c>
      <c r="R26" s="716">
        <f t="shared" ref="R26:R89" si="20">IF(B26="",0,ROUND($R$24*C26*E26*G26*I26*K26*M26*O26*Q26,0))</f>
        <v>0</v>
      </c>
      <c r="S26" s="361">
        <f t="shared" si="11"/>
        <v>0</v>
      </c>
    </row>
    <row r="27" spans="1:45" ht="13">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0</v>
      </c>
      <c r="R27" s="716">
        <f t="shared" si="20"/>
        <v>0</v>
      </c>
      <c r="S27" s="361">
        <f t="shared" si="11"/>
        <v>0</v>
      </c>
    </row>
    <row r="28" spans="1:45" ht="13">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0</v>
      </c>
      <c r="R28" s="716">
        <f t="shared" si="20"/>
        <v>0</v>
      </c>
      <c r="S28" s="361">
        <f t="shared" si="11"/>
        <v>0</v>
      </c>
    </row>
    <row r="29" spans="1:45" ht="13">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ht="13">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ht="13">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ht="13">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ht="13">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ht="13">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ht="13">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ht="13">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ht="13">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ht="13">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ht="13">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ht="13">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ht="13">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ht="13">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ht="13">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ht="13">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ht="13">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ht="13">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ht="13">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ht="13">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ht="13">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ht="13">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ht="13">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ht="13">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ht="13">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ht="13">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ht="13">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ht="13">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ht="13">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ht="13">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ht="13">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ht="13">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ht="13">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ht="13">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ht="13">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ht="13">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ht="13">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ht="13">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ht="13">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ht="13">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ht="13">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ht="13">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ht="13">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ht="13">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ht="13">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ht="13">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ht="13">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ht="13">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ht="13">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ht="13">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ht="13">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ht="13">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ht="13">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ht="13">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ht="13">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ht="13">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ht="13">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ht="13">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ht="13">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ht="13">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ht="13">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ht="13">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ht="13">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ht="13">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ht="13">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ht="13">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ht="13">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ht="13">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ht="13">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ht="13">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ht="13">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ht="13">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ht="13">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ht="13">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ht="13">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ht="13">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ht="13">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ht="13">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ht="13">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ht="13">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ht="13">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ht="13">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ht="13">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ht="13">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ht="13">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ht="13">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ht="13">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ht="13">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ht="13">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ht="13">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ht="13">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ht="13">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ht="13">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ht="13">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ht="13">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ht="13">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ht="13">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ht="13">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ht="13">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ht="13">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ht="13">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ht="13">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ht="13">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ht="13">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ht="13">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ht="13">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ht="13">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ht="13">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ht="13">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ht="13">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ht="13">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ht="13">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ht="13">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ht="13">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ht="13">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ht="13">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ht="13">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ht="13">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ht="13">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ht="13">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ht="13">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ht="13">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ht="13">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ht="13">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ht="13">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ht="13">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ht="13">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ht="13">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ht="13">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ht="13">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ht="13">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ht="13">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ht="13">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ht="13">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ht="13">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ht="13">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ht="13">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ht="13">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ht="13">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ht="13">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ht="13">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ht="13">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ht="13">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ht="13">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ht="13">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ht="13">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ht="13">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ht="13">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ht="13">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ht="13">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ht="13">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ht="13">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ht="13">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ht="13">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ht="13">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ht="13">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ht="13">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ht="13">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ht="13">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ht="13">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ht="13">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ht="13">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ht="13">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ht="13">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ht="13">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ht="13">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ht="13">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ht="13">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ht="13">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ht="13">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ht="13">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ht="13">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ht="13">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ht="13">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ht="13">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ht="13">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ht="13">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ht="13">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ht="13">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ht="13">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ht="13">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ht="13">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ht="13">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ht="13">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ht="13">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ht="13">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ht="13">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ht="13">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ht="13">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ht="13">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ht="13">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ht="13">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ht="13">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ht="13">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ht="13">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ht="13">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ht="13">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ht="13">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ht="13">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ht="13">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ht="13">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ht="13">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ht="13">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ht="13">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ht="13">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ht="13">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ht="13">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ht="13">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ht="13">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ht="13">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ht="13">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ht="13">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ht="13">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ht="13">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ht="13">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ht="13">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ht="13">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ht="13">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ht="13">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ht="13">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ht="13">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ht="13">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ht="13">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ht="13">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ht="13">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ht="13">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ht="13">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ht="13">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ht="13">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ht="13">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ht="13">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ht="13">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ht="13">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ht="13">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ht="13">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ht="13">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ht="13">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ht="13">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ht="13">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ht="13">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ht="13">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ht="13">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ht="13">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ht="13">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ht="13">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ht="13">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ht="13">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ht="13">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ht="13">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ht="13">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ht="13">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ht="13">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ht="13">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ht="13">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ht="13">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ht="13">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ht="13">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ht="13">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ht="13">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ht="13">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ht="13">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ht="13">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ht="13">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ht="13">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ht="13">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ht="13">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ht="13">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ht="13">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ht="13">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ht="13">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ht="13">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ht="13">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ht="13">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ht="13">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ht="13">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ht="13">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ht="13">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ht="13">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ht="13">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ht="13">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ht="13">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ht="13">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ht="13">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ht="13">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ht="13">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ht="13">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ht="13">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ht="13">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ht="13">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ht="13">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ht="13">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ht="13">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ht="13">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ht="13">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ht="13">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ht="13">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ht="13">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ht="13">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ht="13">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ht="13">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ht="13">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ht="13">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ht="13">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ht="13">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ht="13">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ht="13">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ht="13">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ht="13">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ht="13">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ht="13">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ht="13">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ht="13">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ht="13">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ht="13">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ht="13">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ht="13">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ht="13">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ht="13">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ht="13">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ht="13">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ht="13">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ht="13">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ht="13">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ht="13">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ht="13">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ht="13">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ht="13">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ht="13">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ht="13">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ht="13">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ht="13">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ht="13">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ht="13">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ht="13">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ht="13">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ht="13">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ht="13">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ht="13">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ht="13">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ht="13">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ht="13">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ht="13">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ht="13">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ht="13">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ht="13">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ht="13">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ht="13">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ht="13">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ht="13">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ht="13">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ht="13">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ht="13">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ht="13">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ht="13">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ht="13">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ht="13">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ht="13">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ht="13">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ht="13">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ht="13">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ht="13">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ht="13">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ht="13">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ht="13">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ht="13">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ht="13">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ht="13">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ht="13">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ht="13">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ht="13">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ht="13">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ht="13">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ht="13">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ht="13">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ht="13">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ht="13">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ht="13">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ht="13">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ht="13">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ht="13">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ht="13">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ht="13">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ht="13">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ht="13">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ht="13">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ht="13">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ht="13">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ht="13">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ht="13">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ht="13">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ht="13">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ht="13">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ht="13">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ht="13">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ht="13">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ht="13">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ht="13">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ht="13">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ht="13">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ht="13">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ht="13">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ht="13">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ht="13">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ht="13">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ht="13">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ht="13">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ht="13">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ht="13">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ht="13">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ht="13">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ht="13">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ht="13">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ht="13">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ht="13">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ht="13">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ht="13">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ht="13">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ht="13">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ht="13">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ht="13">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ht="13">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ht="13">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ht="13">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ht="13">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ht="13">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ht="13">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ht="13">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ht="13">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ht="13">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ht="13">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ht="13">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ht="13">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ht="13">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ht="13">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ht="13">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ht="13">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ht="13">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ht="13">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ht="13">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ht="13">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ht="13">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ht="13">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ht="13">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ht="13">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ht="13">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ht="13">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ht="13">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ht="13">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ht="13">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ht="13">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ht="13">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ht="13">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ht="13">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ht="13">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ht="13">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ht="13">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ht="13">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ht="13">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ht="13">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ht="13">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ht="13">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ht="13">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ht="13">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ht="13">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ht="13">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ht="13">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ht="13">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ht="13">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ht="13">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ht="13">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ht="13">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ht="13">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ht="13">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ht="13">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ht="13">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ht="13">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ht="13">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ht="13">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ht="13">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ht="13">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ht="13">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ht="13">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ht="13">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ht="13">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ht="13">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ht="13">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ht="13">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ht="13">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ht="13">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ht="13">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ht="13">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ht="13">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ht="13">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ht="13">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ht="13">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ht="13">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13" customWidth="1"/>
    <col min="2" max="2" width="29.1796875" style="295" customWidth="1"/>
    <col min="3" max="3" width="12.08984375" style="295" customWidth="1"/>
    <col min="4" max="5" width="11.1796875" style="316" customWidth="1"/>
    <col min="6" max="6" width="9.453125" style="295" customWidth="1"/>
    <col min="7" max="7" width="31.90625" style="295" customWidth="1"/>
    <col min="8" max="254" width="9" style="295" customWidth="1"/>
    <col min="255" max="16384" width="8.36328125" style="295"/>
  </cols>
  <sheetData>
    <row r="1" spans="1:7" s="244" customFormat="1" ht="21">
      <c r="A1" s="240" t="s">
        <v>83</v>
      </c>
      <c r="B1" s="241"/>
      <c r="C1" s="242"/>
      <c r="D1" s="242"/>
      <c r="E1" s="242"/>
      <c r="F1" s="242"/>
      <c r="G1" s="243"/>
    </row>
    <row r="2" spans="1:7" s="244" customFormat="1" ht="18" customHeight="1">
      <c r="A2" s="245" t="s">
        <v>84</v>
      </c>
      <c r="B2" s="246">
        <f ca="1">C52</f>
        <v>30229</v>
      </c>
      <c r="C2" s="2" t="s">
        <v>133</v>
      </c>
      <c r="D2" s="243"/>
      <c r="E2" s="243"/>
      <c r="F2" s="243"/>
      <c r="G2" s="243"/>
    </row>
    <row r="3" spans="1:7" s="244" customFormat="1" ht="18" customHeight="1" thickBot="1">
      <c r="A3" s="247" t="s">
        <v>85</v>
      </c>
      <c r="B3" s="248">
        <f ca="1">ROUND(B2*10000/'数据-汇总表'!E3,0)</f>
        <v>100739</v>
      </c>
      <c r="C3" s="2" t="s">
        <v>134</v>
      </c>
      <c r="D3" s="243"/>
      <c r="E3" s="243"/>
      <c r="F3" s="243"/>
      <c r="G3" s="243"/>
    </row>
    <row r="4" spans="1:7" s="252" customFormat="1" ht="16">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ht="13">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60</v>
      </c>
      <c r="D10" s="1032">
        <f>'数据-汇总表'!E6</f>
        <v>3000.7300000000005</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60</v>
      </c>
      <c r="D19" s="1036">
        <f>'数据-汇总表'!E3</f>
        <v>3000.7300000000005</v>
      </c>
      <c r="E19" s="255">
        <f>'数据-取费表'!B31</f>
        <v>200</v>
      </c>
      <c r="F19" s="275"/>
      <c r="G19" s="1" t="s">
        <v>1070</v>
      </c>
    </row>
    <row r="20" spans="1:7" s="258" customFormat="1" ht="13.5" customHeight="1">
      <c r="A20" s="948" t="s">
        <v>1053</v>
      </c>
      <c r="B20" s="254" t="s">
        <v>104</v>
      </c>
      <c r="C20" s="276">
        <f>ROUND((C5+C19)*F20,0)</f>
        <v>413</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2030</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6</v>
      </c>
      <c r="D24" s="282"/>
      <c r="E24" s="282"/>
      <c r="F24" s="283"/>
      <c r="G24" s="284" t="s">
        <v>109</v>
      </c>
    </row>
    <row r="25" spans="1:7" s="258" customFormat="1" ht="26">
      <c r="A25" s="951" t="s">
        <v>793</v>
      </c>
      <c r="B25" s="259" t="s">
        <v>1054</v>
      </c>
      <c r="C25" s="1355">
        <f ca="1">ROUND(IF('数据-取费表'!B22&lt;=1,C20*F22*'数据-取费表'!B23/2,C20*(POWER((1+F22),'数据-取费表'!B23/2)-1)),0)</f>
        <v>20</v>
      </c>
      <c r="D25" s="282"/>
      <c r="E25" s="285"/>
      <c r="F25" s="283"/>
      <c r="G25" s="286" t="s">
        <v>110</v>
      </c>
    </row>
    <row r="26" spans="1:7" s="258" customFormat="1" ht="13">
      <c r="A26" s="951" t="s">
        <v>795</v>
      </c>
      <c r="B26" s="259" t="s">
        <v>1056</v>
      </c>
      <c r="C26" s="282">
        <f ca="1">ROUND(IF('数据-取费表'!B22&lt;=1,F21*F22*'数据-取费表'!B23/2,F21*(POWER((1+F22),'数据-取费表'!B23/2)-1)),4)</f>
        <v>1E-3</v>
      </c>
      <c r="D26" s="282"/>
      <c r="E26" s="285"/>
      <c r="F26" s="283"/>
      <c r="G26" s="287"/>
    </row>
    <row r="27" spans="1:7" s="258" customFormat="1" ht="27">
      <c r="A27" s="948" t="s">
        <v>787</v>
      </c>
      <c r="B27" s="288" t="s">
        <v>112</v>
      </c>
      <c r="C27" s="289">
        <f>C28</f>
        <v>3162</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3162</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28477</v>
      </c>
      <c r="D31" s="274"/>
      <c r="E31" s="255"/>
      <c r="F31" s="294"/>
      <c r="G31" s="278" t="s">
        <v>1066</v>
      </c>
    </row>
    <row r="32" spans="1:7" s="252" customFormat="1" ht="16">
      <c r="A32" s="296" t="s">
        <v>114</v>
      </c>
      <c r="B32" s="297"/>
      <c r="C32" s="297"/>
      <c r="D32" s="297"/>
      <c r="E32" s="297"/>
      <c r="F32" s="297"/>
      <c r="G32" s="298"/>
    </row>
    <row r="33" spans="1:7" s="258" customFormat="1" ht="13.5" customHeight="1">
      <c r="A33" s="299" t="s">
        <v>782</v>
      </c>
      <c r="B33" s="254" t="s">
        <v>115</v>
      </c>
      <c r="C33" s="300">
        <f>SUM(C34:C38)</f>
        <v>1471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1350</v>
      </c>
      <c r="D34" s="261"/>
      <c r="E34" s="264"/>
      <c r="F34" s="301">
        <f>IF('数据-取费表'!B24=0,1,'数据-取费表'!N16)</f>
        <v>1</v>
      </c>
      <c r="G34" s="263" t="s">
        <v>116</v>
      </c>
    </row>
    <row r="35" spans="1:7" ht="13.5" customHeight="1">
      <c r="A35" s="951" t="s">
        <v>796</v>
      </c>
      <c r="B35" s="259" t="s">
        <v>60</v>
      </c>
      <c r="C35" s="264">
        <f>ROUND(C34*F35,0)</f>
        <v>41</v>
      </c>
      <c r="D35" s="264"/>
      <c r="E35" s="264"/>
      <c r="F35" s="303">
        <f>'数据-取费表'!B33</f>
        <v>0.03</v>
      </c>
      <c r="G35" s="263" t="s">
        <v>117</v>
      </c>
    </row>
    <row r="36" spans="1:7" ht="26">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60</v>
      </c>
      <c r="D37" s="261">
        <f>'数据-汇总表'!E3</f>
        <v>3000.7300000000005</v>
      </c>
      <c r="E37" s="293">
        <f>'数据-取费表'!B35</f>
        <v>200</v>
      </c>
      <c r="F37" s="303"/>
      <c r="G37" s="305" t="s">
        <v>119</v>
      </c>
    </row>
    <row r="38" spans="1:7" ht="13.5" customHeight="1">
      <c r="A38" s="951" t="s">
        <v>799</v>
      </c>
      <c r="B38" s="259" t="s">
        <v>63</v>
      </c>
      <c r="C38" s="264">
        <f>ROUND(C34*F38,0)</f>
        <v>20</v>
      </c>
      <c r="D38" s="264"/>
      <c r="E38" s="264"/>
      <c r="F38" s="303">
        <f>'数据-取费表'!B36</f>
        <v>1.4999999999999999E-2</v>
      </c>
      <c r="G38" s="263" t="s">
        <v>117</v>
      </c>
    </row>
    <row r="39" spans="1:7" s="258" customFormat="1" ht="13.5" customHeight="1">
      <c r="A39" s="948" t="s">
        <v>783</v>
      </c>
      <c r="B39" s="254" t="s">
        <v>104</v>
      </c>
      <c r="C39" s="276">
        <f>ROUND(C33*F20,0)</f>
        <v>29</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71</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70</v>
      </c>
      <c r="D42" s="282"/>
      <c r="E42" s="282"/>
      <c r="F42" s="283"/>
      <c r="G42" s="3176" t="s">
        <v>121</v>
      </c>
    </row>
    <row r="43" spans="1:7" ht="13.5" customHeight="1">
      <c r="A43" s="951" t="s">
        <v>792</v>
      </c>
      <c r="B43" s="259" t="s">
        <v>1060</v>
      </c>
      <c r="C43" s="282">
        <f ca="1">ROUND(IF('数据-取费表'!B22&lt;=1,C39*F22*'数据-取费表'!B21/2,C39*(POWER((1+F22),'数据-取费表'!B21/2)-1)),0)</f>
        <v>1</v>
      </c>
      <c r="D43" s="282"/>
      <c r="E43" s="282"/>
      <c r="F43" s="283"/>
      <c r="G43" s="3177"/>
    </row>
    <row r="44" spans="1:7" ht="13.5" customHeight="1">
      <c r="A44" s="951" t="s">
        <v>793</v>
      </c>
      <c r="B44" s="259" t="s">
        <v>1062</v>
      </c>
      <c r="C44" s="282">
        <f ca="1">ROUND(IF('数据-取费表'!B22&lt;=1,C40*F22*'数据-取费表'!B21/2,C40*(POWER((1+F22),'数据-取费表'!B21/2)-1)),4)</f>
        <v>1E-3</v>
      </c>
      <c r="D44" s="282"/>
      <c r="E44" s="282"/>
      <c r="F44" s="283"/>
      <c r="G44" s="3178"/>
    </row>
    <row r="45" spans="1:7" s="258" customFormat="1" ht="13.5" customHeight="1">
      <c r="A45" s="948" t="s">
        <v>786</v>
      </c>
      <c r="B45" s="288" t="s">
        <v>112</v>
      </c>
      <c r="C45" s="289">
        <f>C46</f>
        <v>225</v>
      </c>
      <c r="D45" s="279">
        <f>C47</f>
        <v>3.0000000000000001E-3</v>
      </c>
      <c r="E45" s="280" t="s">
        <v>129</v>
      </c>
      <c r="F45" s="290"/>
      <c r="G45" s="291" t="s">
        <v>1068</v>
      </c>
    </row>
    <row r="46" spans="1:7" s="258" customFormat="1" ht="13.5" customHeight="1">
      <c r="A46" s="951" t="s">
        <v>794</v>
      </c>
      <c r="B46" s="292" t="s">
        <v>1061</v>
      </c>
      <c r="C46" s="293">
        <f>ROUND((C33+C39)*F27,0)</f>
        <v>225</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1947</v>
      </c>
      <c r="D49" s="276"/>
      <c r="E49" s="276"/>
      <c r="F49" s="308"/>
      <c r="G49" s="278" t="s">
        <v>1069</v>
      </c>
    </row>
    <row r="50" spans="1:7" s="302" customFormat="1" ht="26">
      <c r="A50" s="948" t="s">
        <v>789</v>
      </c>
      <c r="B50" s="254" t="s">
        <v>124</v>
      </c>
      <c r="C50" s="276"/>
      <c r="D50" s="276"/>
      <c r="E50" s="276"/>
      <c r="F50" s="308">
        <f>IF('数据-取费表'!B24=0,'数据-取费表'!N16,1)</f>
        <v>0.9</v>
      </c>
      <c r="G50" s="291" t="s">
        <v>125</v>
      </c>
    </row>
    <row r="51" spans="1:7" ht="16.5" customHeight="1">
      <c r="A51" s="948" t="s">
        <v>790</v>
      </c>
      <c r="B51" s="254" t="s">
        <v>132</v>
      </c>
      <c r="C51" s="276">
        <f ca="1">ROUND(C49*F50,0)</f>
        <v>1752</v>
      </c>
      <c r="D51" s="276"/>
      <c r="E51" s="276"/>
      <c r="F51" s="308"/>
      <c r="G51" s="278" t="s">
        <v>64</v>
      </c>
    </row>
    <row r="52" spans="1:7" s="252" customFormat="1" ht="16.5" thickBot="1">
      <c r="A52" s="309" t="s">
        <v>65</v>
      </c>
      <c r="B52" s="310"/>
      <c r="C52" s="311">
        <f ca="1">C31+C51</f>
        <v>30229</v>
      </c>
      <c r="D52" s="310"/>
      <c r="E52" s="310"/>
      <c r="F52" s="310"/>
      <c r="G52" s="312"/>
    </row>
    <row r="55" spans="1:7" ht="15.5">
      <c r="B55" s="314" t="s">
        <v>66</v>
      </c>
      <c r="C55" s="315"/>
    </row>
    <row r="56" spans="1:7" ht="13">
      <c r="B56" s="317" t="s">
        <v>67</v>
      </c>
      <c r="C56" s="318">
        <f ca="1">ROUND(C51/C52,3)</f>
        <v>5.8000000000000003E-2</v>
      </c>
    </row>
    <row r="57" spans="1:7" ht="13">
      <c r="B57" s="317" t="s">
        <v>68</v>
      </c>
      <c r="C57" s="319">
        <f ca="1">1-C56</f>
        <v>0.94199999999999995</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855" customWidth="1"/>
    <col min="2" max="5" width="10.1796875" style="813" customWidth="1"/>
    <col min="6" max="6" width="9" style="813"/>
    <col min="7" max="8" width="9" style="828"/>
    <col min="9" max="16384" width="9" style="813"/>
  </cols>
  <sheetData>
    <row r="1" spans="1:19">
      <c r="A1" s="3315" t="s">
        <v>156</v>
      </c>
      <c r="B1" s="3315"/>
      <c r="C1" s="3315"/>
      <c r="D1" s="3315"/>
      <c r="E1" s="3315"/>
      <c r="F1" s="331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5" thickBot="1">
      <c r="A2" s="3316" t="s">
        <v>169</v>
      </c>
      <c r="B2" s="3316"/>
      <c r="C2" s="3316"/>
      <c r="D2" s="3316"/>
      <c r="E2" s="3316"/>
      <c r="F2" s="331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855" customWidth="1"/>
    <col min="2" max="2" width="10.1796875" style="813" customWidth="1"/>
  </cols>
  <sheetData>
    <row r="1" spans="1:6">
      <c r="A1" s="3315" t="s">
        <v>867</v>
      </c>
      <c r="B1" s="3315"/>
    </row>
    <row r="2" spans="1:6" ht="14.5" thickBot="1">
      <c r="A2" s="1057"/>
      <c r="B2" s="1057"/>
    </row>
    <row r="3" spans="1:6" ht="14.5" thickBot="1">
      <c r="A3" s="1057"/>
      <c r="B3" s="1057"/>
      <c r="C3" s="1061" t="s">
        <v>870</v>
      </c>
      <c r="D3" s="1061" t="s">
        <v>871</v>
      </c>
      <c r="E3" s="1061" t="s">
        <v>872</v>
      </c>
      <c r="F3" s="1061" t="s">
        <v>873</v>
      </c>
    </row>
    <row r="4" spans="1:6" ht="14.5" thickBot="1">
      <c r="A4" s="1059" t="s">
        <v>868</v>
      </c>
      <c r="B4" s="1060" t="s">
        <v>869</v>
      </c>
      <c r="C4" s="1061"/>
      <c r="D4" s="1061"/>
      <c r="E4" s="1061"/>
      <c r="F4" s="1061"/>
    </row>
    <row r="5" spans="1:6" ht="14.5" thickBot="1">
      <c r="A5" s="840" t="s">
        <v>874</v>
      </c>
      <c r="B5" s="841" t="s">
        <v>875</v>
      </c>
      <c r="C5" s="1062">
        <v>8.8999999999999996E-2</v>
      </c>
      <c r="D5" s="1062">
        <v>7.3999999999999996E-2</v>
      </c>
      <c r="E5" s="1062">
        <v>7.4999999999999997E-2</v>
      </c>
      <c r="F5" s="1063">
        <v>0.1</v>
      </c>
    </row>
    <row r="6" spans="1:6" ht="14.5" thickBot="1">
      <c r="A6" s="840" t="s">
        <v>212</v>
      </c>
      <c r="B6" s="834" t="s">
        <v>876</v>
      </c>
      <c r="C6" s="1064">
        <v>0.1</v>
      </c>
      <c r="D6" s="1064">
        <v>9.0999999999999998E-2</v>
      </c>
      <c r="E6" s="1064">
        <v>9.0999999999999998E-2</v>
      </c>
      <c r="F6" s="1065">
        <v>0.1</v>
      </c>
    </row>
    <row r="7" spans="1:6" ht="14.5" thickBot="1">
      <c r="A7" s="840" t="s">
        <v>212</v>
      </c>
      <c r="B7" s="844" t="s">
        <v>201</v>
      </c>
      <c r="C7" s="1064">
        <v>8.5999999999999993E-2</v>
      </c>
      <c r="D7" s="1064">
        <v>9.6000000000000002E-2</v>
      </c>
      <c r="E7" s="1064">
        <v>7.5999999999999998E-2</v>
      </c>
      <c r="F7" s="1065">
        <v>0.1</v>
      </c>
    </row>
    <row r="8" spans="1:6" ht="14.5" thickBot="1">
      <c r="A8" s="840" t="s">
        <v>212</v>
      </c>
      <c r="B8" s="834" t="s">
        <v>213</v>
      </c>
      <c r="C8" s="1064">
        <v>9.9000000000000005E-2</v>
      </c>
      <c r="D8" s="1064">
        <v>9.8000000000000004E-2</v>
      </c>
      <c r="E8" s="1064">
        <v>9.8000000000000004E-2</v>
      </c>
      <c r="F8" s="1065">
        <v>0.1</v>
      </c>
    </row>
    <row r="9" spans="1:6" ht="14.5" thickBot="1">
      <c r="A9" s="850" t="s">
        <v>212</v>
      </c>
      <c r="B9" s="845" t="s">
        <v>225</v>
      </c>
      <c r="C9" s="1066">
        <v>0.05</v>
      </c>
      <c r="D9" s="1074"/>
      <c r="E9" s="1074"/>
      <c r="F9" s="1075"/>
    </row>
    <row r="10" spans="1:6" ht="14.5" thickBot="1">
      <c r="A10" s="840" t="s">
        <v>269</v>
      </c>
      <c r="B10" s="841" t="s">
        <v>877</v>
      </c>
      <c r="C10" s="1062">
        <v>8.8999999999999996E-2</v>
      </c>
      <c r="D10" s="1062">
        <v>7.2999999999999995E-2</v>
      </c>
      <c r="E10" s="1062">
        <v>8.2000000000000003E-2</v>
      </c>
      <c r="F10" s="1063">
        <v>0.1</v>
      </c>
    </row>
    <row r="11" spans="1:6" ht="14.5" thickBot="1">
      <c r="A11" s="840" t="s">
        <v>269</v>
      </c>
      <c r="B11" s="844" t="s">
        <v>188</v>
      </c>
      <c r="C11" s="1064">
        <v>8.8999999999999996E-2</v>
      </c>
      <c r="D11" s="1064">
        <v>7.2999999999999995E-2</v>
      </c>
      <c r="E11" s="1064">
        <v>8.2000000000000003E-2</v>
      </c>
      <c r="F11" s="1065">
        <v>0.1</v>
      </c>
    </row>
    <row r="12" spans="1:6" ht="14.5" thickBot="1">
      <c r="A12" s="840" t="s">
        <v>269</v>
      </c>
      <c r="B12" s="844" t="s">
        <v>138</v>
      </c>
      <c r="C12" s="1064">
        <v>6.0999999999999999E-2</v>
      </c>
      <c r="D12" s="1064">
        <v>7.0999999999999994E-2</v>
      </c>
      <c r="E12" s="1064">
        <v>9.6000000000000002E-2</v>
      </c>
      <c r="F12" s="1065">
        <v>0.1</v>
      </c>
    </row>
    <row r="13" spans="1:6" ht="14.5" thickBot="1">
      <c r="A13" s="840" t="s">
        <v>269</v>
      </c>
      <c r="B13" s="844" t="s">
        <v>214</v>
      </c>
      <c r="C13" s="1064">
        <v>6.9000000000000006E-2</v>
      </c>
      <c r="D13" s="1064">
        <v>6.5000000000000002E-2</v>
      </c>
      <c r="E13" s="1064">
        <v>6.6000000000000003E-2</v>
      </c>
      <c r="F13" s="1065">
        <v>0.1</v>
      </c>
    </row>
    <row r="14" spans="1:6" ht="14.5" thickBot="1">
      <c r="A14" s="840" t="s">
        <v>269</v>
      </c>
      <c r="B14" s="844" t="s">
        <v>226</v>
      </c>
      <c r="C14" s="1064">
        <v>0.1</v>
      </c>
      <c r="D14" s="1064">
        <v>6.5000000000000002E-2</v>
      </c>
      <c r="E14" s="1064">
        <v>7.0000000000000007E-2</v>
      </c>
      <c r="F14" s="1065">
        <v>0.1</v>
      </c>
    </row>
    <row r="15" spans="1:6" ht="14.5" thickBot="1">
      <c r="A15" s="840" t="s">
        <v>269</v>
      </c>
      <c r="B15" s="844" t="s">
        <v>237</v>
      </c>
      <c r="C15" s="1064">
        <v>9.8000000000000004E-2</v>
      </c>
      <c r="D15" s="1064">
        <v>8.8999999999999996E-2</v>
      </c>
      <c r="E15" s="1064">
        <v>8.8999999999999996E-2</v>
      </c>
      <c r="F15" s="1065">
        <v>0.1</v>
      </c>
    </row>
    <row r="16" spans="1:6" ht="14.5" thickBot="1">
      <c r="A16" s="840" t="s">
        <v>269</v>
      </c>
      <c r="B16" s="844" t="s">
        <v>248</v>
      </c>
      <c r="C16" s="1064">
        <v>7.0000000000000007E-2</v>
      </c>
      <c r="D16" s="1064">
        <v>9.2999999999999999E-2</v>
      </c>
      <c r="E16" s="1064">
        <v>9.6000000000000002E-2</v>
      </c>
      <c r="F16" s="1065">
        <v>0.1</v>
      </c>
    </row>
    <row r="17" spans="1:6" ht="14.5" thickBot="1">
      <c r="A17" s="840" t="s">
        <v>269</v>
      </c>
      <c r="B17" s="844" t="s">
        <v>259</v>
      </c>
      <c r="C17" s="1064">
        <v>9.5000000000000001E-2</v>
      </c>
      <c r="D17" s="1064">
        <v>0.1</v>
      </c>
      <c r="E17" s="1064">
        <v>0.1</v>
      </c>
      <c r="F17" s="1076"/>
    </row>
    <row r="18" spans="1:6" ht="14.5" thickBot="1">
      <c r="A18" s="840" t="s">
        <v>269</v>
      </c>
      <c r="B18" s="844" t="s">
        <v>271</v>
      </c>
      <c r="C18" s="1064">
        <v>7.3999999999999996E-2</v>
      </c>
      <c r="D18" s="1064">
        <v>9.9000000000000005E-2</v>
      </c>
      <c r="E18" s="1064">
        <v>0.1</v>
      </c>
      <c r="F18" s="1076"/>
    </row>
    <row r="19" spans="1:6" ht="14.5" thickBot="1">
      <c r="A19" s="840" t="s">
        <v>269</v>
      </c>
      <c r="B19" s="844" t="s">
        <v>281</v>
      </c>
      <c r="C19" s="1064">
        <v>9.9000000000000005E-2</v>
      </c>
      <c r="D19" s="1064">
        <v>7.5999999999999998E-2</v>
      </c>
      <c r="E19" s="1064">
        <v>8.6999999999999994E-2</v>
      </c>
      <c r="F19" s="1076"/>
    </row>
    <row r="20" spans="1:6" ht="14.5" thickBot="1">
      <c r="A20" s="840" t="s">
        <v>269</v>
      </c>
      <c r="B20" s="844" t="s">
        <v>291</v>
      </c>
      <c r="C20" s="1064">
        <v>9.8000000000000004E-2</v>
      </c>
      <c r="D20" s="1064">
        <v>8.5000000000000006E-2</v>
      </c>
      <c r="E20" s="1064">
        <v>8.2000000000000003E-2</v>
      </c>
      <c r="F20" s="1076"/>
    </row>
    <row r="21" spans="1:6" ht="14.5" thickBot="1">
      <c r="A21" s="840" t="s">
        <v>269</v>
      </c>
      <c r="B21" s="844" t="s">
        <v>301</v>
      </c>
      <c r="C21" s="1064">
        <v>6.6000000000000003E-2</v>
      </c>
      <c r="D21" s="1064">
        <v>6.4000000000000001E-2</v>
      </c>
      <c r="E21" s="1064">
        <v>6.5000000000000002E-2</v>
      </c>
      <c r="F21" s="1076"/>
    </row>
    <row r="22" spans="1:6" ht="14.5" thickBot="1">
      <c r="A22" s="840" t="s">
        <v>269</v>
      </c>
      <c r="B22" s="844" t="s">
        <v>878</v>
      </c>
      <c r="C22" s="1064">
        <v>0.08</v>
      </c>
      <c r="D22" s="1064">
        <v>9.8000000000000004E-2</v>
      </c>
      <c r="E22" s="1064">
        <v>9.8000000000000004E-2</v>
      </c>
      <c r="F22" s="1076"/>
    </row>
    <row r="23" spans="1:6" ht="14.5" thickBot="1">
      <c r="A23" s="840" t="s">
        <v>269</v>
      </c>
      <c r="B23" s="844" t="s">
        <v>322</v>
      </c>
      <c r="C23" s="1064">
        <v>9.9000000000000005E-2</v>
      </c>
      <c r="D23" s="1064">
        <v>9.8000000000000004E-2</v>
      </c>
      <c r="E23" s="1064">
        <v>9.0999999999999998E-2</v>
      </c>
      <c r="F23" s="1076"/>
    </row>
    <row r="24" spans="1:6" ht="14.5" thickBot="1">
      <c r="A24" s="840" t="s">
        <v>269</v>
      </c>
      <c r="B24" s="844" t="s">
        <v>333</v>
      </c>
      <c r="C24" s="1064">
        <v>8.8999999999999996E-2</v>
      </c>
      <c r="D24" s="1064">
        <v>9.7000000000000003E-2</v>
      </c>
      <c r="E24" s="1064">
        <v>7.0000000000000007E-2</v>
      </c>
      <c r="F24" s="1076"/>
    </row>
    <row r="25" spans="1:6" ht="14.5" thickBot="1">
      <c r="A25" s="840" t="s">
        <v>269</v>
      </c>
      <c r="B25" s="844" t="s">
        <v>343</v>
      </c>
      <c r="C25" s="1064">
        <v>8.8999999999999996E-2</v>
      </c>
      <c r="D25" s="1064">
        <v>0.1</v>
      </c>
      <c r="E25" s="1064">
        <v>8.1000000000000003E-2</v>
      </c>
      <c r="F25" s="1076"/>
    </row>
    <row r="26" spans="1:6" ht="14.5" thickBot="1">
      <c r="A26" s="840" t="s">
        <v>269</v>
      </c>
      <c r="B26" s="844" t="s">
        <v>353</v>
      </c>
      <c r="C26" s="1077"/>
      <c r="D26" s="1064">
        <v>9.6000000000000002E-2</v>
      </c>
      <c r="E26" s="1064">
        <v>9.2999999999999999E-2</v>
      </c>
      <c r="F26" s="1076"/>
    </row>
    <row r="27" spans="1:6" ht="14.5" thickBot="1">
      <c r="A27" s="840" t="s">
        <v>269</v>
      </c>
      <c r="B27" s="844" t="s">
        <v>363</v>
      </c>
      <c r="C27" s="1077"/>
      <c r="D27" s="1064">
        <v>7.5999999999999998E-2</v>
      </c>
      <c r="E27" s="1064">
        <v>9.1999999999999998E-2</v>
      </c>
      <c r="F27" s="1076"/>
    </row>
    <row r="28" spans="1:6" ht="14.5" thickBot="1">
      <c r="A28" s="850" t="s">
        <v>269</v>
      </c>
      <c r="B28" s="845" t="s">
        <v>373</v>
      </c>
      <c r="C28" s="1074"/>
      <c r="D28" s="1066">
        <v>7.5999999999999998E-2</v>
      </c>
      <c r="E28" s="1066">
        <v>9.1999999999999998E-2</v>
      </c>
      <c r="F28" s="1075"/>
    </row>
    <row r="29" spans="1:6" ht="14.5" thickBot="1">
      <c r="A29" s="840" t="s">
        <v>442</v>
      </c>
      <c r="B29" s="841" t="s">
        <v>879</v>
      </c>
      <c r="C29" s="1062">
        <v>6.4000000000000001E-2</v>
      </c>
      <c r="D29" s="1062">
        <v>6.5000000000000002E-2</v>
      </c>
      <c r="E29" s="1062">
        <v>6.9000000000000006E-2</v>
      </c>
      <c r="F29" s="1063">
        <v>0.1</v>
      </c>
    </row>
    <row r="30" spans="1:6" ht="14.5" thickBot="1">
      <c r="A30" s="840" t="s">
        <v>442</v>
      </c>
      <c r="B30" s="844" t="s">
        <v>189</v>
      </c>
      <c r="C30" s="1064">
        <v>6.4000000000000001E-2</v>
      </c>
      <c r="D30" s="1064">
        <v>9.9000000000000005E-2</v>
      </c>
      <c r="E30" s="1064">
        <v>0.1</v>
      </c>
      <c r="F30" s="1065">
        <v>0.1</v>
      </c>
    </row>
    <row r="31" spans="1:6" ht="14.5" thickBot="1">
      <c r="A31" s="840" t="s">
        <v>442</v>
      </c>
      <c r="B31" s="844" t="s">
        <v>202</v>
      </c>
      <c r="C31" s="1064">
        <v>0.1</v>
      </c>
      <c r="D31" s="1064">
        <v>9.5000000000000001E-2</v>
      </c>
      <c r="E31" s="1064">
        <v>8.8999999999999996E-2</v>
      </c>
      <c r="F31" s="1065">
        <v>0.1</v>
      </c>
    </row>
    <row r="32" spans="1:6" ht="14.5" thickBot="1">
      <c r="A32" s="840" t="s">
        <v>442</v>
      </c>
      <c r="B32" s="844" t="s">
        <v>215</v>
      </c>
      <c r="C32" s="1064">
        <v>0.05</v>
      </c>
      <c r="D32" s="1064">
        <v>0.05</v>
      </c>
      <c r="E32" s="1064">
        <v>8.7999999999999995E-2</v>
      </c>
      <c r="F32" s="1065">
        <v>0.1</v>
      </c>
    </row>
    <row r="33" spans="1:6" ht="14.5" thickBot="1">
      <c r="A33" s="840" t="s">
        <v>442</v>
      </c>
      <c r="B33" s="844" t="s">
        <v>227</v>
      </c>
      <c r="C33" s="1064">
        <v>7.4999999999999997E-2</v>
      </c>
      <c r="D33" s="1064">
        <v>9.4E-2</v>
      </c>
      <c r="E33" s="1064">
        <v>9.7000000000000003E-2</v>
      </c>
      <c r="F33" s="1065">
        <v>0.1</v>
      </c>
    </row>
    <row r="34" spans="1:6" ht="14.5" thickBot="1">
      <c r="A34" s="840" t="s">
        <v>442</v>
      </c>
      <c r="B34" s="844" t="s">
        <v>238</v>
      </c>
      <c r="C34" s="1064">
        <v>9.8000000000000004E-2</v>
      </c>
      <c r="D34" s="1064">
        <v>8.5999999999999993E-2</v>
      </c>
      <c r="E34" s="1064">
        <v>9.7000000000000003E-2</v>
      </c>
      <c r="F34" s="1065">
        <v>0.1</v>
      </c>
    </row>
    <row r="35" spans="1:6" ht="14.5" thickBot="1">
      <c r="A35" s="840" t="s">
        <v>442</v>
      </c>
      <c r="B35" s="844" t="s">
        <v>249</v>
      </c>
      <c r="C35" s="1064">
        <v>5.8999999999999997E-2</v>
      </c>
      <c r="D35" s="1064">
        <v>6.5000000000000002E-2</v>
      </c>
      <c r="E35" s="1064">
        <v>7.0000000000000007E-2</v>
      </c>
      <c r="F35" s="1065">
        <v>0.1</v>
      </c>
    </row>
    <row r="36" spans="1:6" ht="14.5" thickBot="1">
      <c r="A36" s="840" t="s">
        <v>442</v>
      </c>
      <c r="B36" s="844" t="s">
        <v>260</v>
      </c>
      <c r="C36" s="1064">
        <v>6.3E-2</v>
      </c>
      <c r="D36" s="1064">
        <v>0.1</v>
      </c>
      <c r="E36" s="1064">
        <v>0.1</v>
      </c>
      <c r="F36" s="1065">
        <v>0.1</v>
      </c>
    </row>
    <row r="37" spans="1:6" ht="14.5" thickBot="1">
      <c r="A37" s="840" t="s">
        <v>442</v>
      </c>
      <c r="B37" s="844" t="s">
        <v>272</v>
      </c>
      <c r="C37" s="1064">
        <v>7.3999999999999996E-2</v>
      </c>
      <c r="D37" s="1064">
        <v>0.1</v>
      </c>
      <c r="E37" s="1064">
        <v>0.1</v>
      </c>
      <c r="F37" s="1065">
        <v>0.1</v>
      </c>
    </row>
    <row r="38" spans="1:6" ht="14.5" thickBot="1">
      <c r="A38" s="840" t="s">
        <v>442</v>
      </c>
      <c r="B38" s="844" t="s">
        <v>282</v>
      </c>
      <c r="C38" s="1064">
        <v>0.1</v>
      </c>
      <c r="D38" s="1064">
        <v>9.6000000000000002E-2</v>
      </c>
      <c r="E38" s="1064">
        <v>9.6000000000000002E-2</v>
      </c>
      <c r="F38" s="1076"/>
    </row>
    <row r="39" spans="1:6" ht="14.5" thickBot="1">
      <c r="A39" s="840" t="s">
        <v>442</v>
      </c>
      <c r="B39" s="844" t="s">
        <v>292</v>
      </c>
      <c r="C39" s="1064">
        <v>0.1</v>
      </c>
      <c r="D39" s="1064">
        <v>9.6000000000000002E-2</v>
      </c>
      <c r="E39" s="1064">
        <v>9.6000000000000002E-2</v>
      </c>
      <c r="F39" s="1076"/>
    </row>
    <row r="40" spans="1:6" ht="14.5" thickBot="1">
      <c r="A40" s="840" t="s">
        <v>442</v>
      </c>
      <c r="B40" s="844" t="s">
        <v>302</v>
      </c>
      <c r="C40" s="1064">
        <v>9.6000000000000002E-2</v>
      </c>
      <c r="D40" s="1064">
        <v>0.1</v>
      </c>
      <c r="E40" s="1064">
        <v>9.9000000000000005E-2</v>
      </c>
      <c r="F40" s="1076"/>
    </row>
    <row r="41" spans="1:6" ht="14.5" thickBot="1">
      <c r="A41" s="840" t="s">
        <v>442</v>
      </c>
      <c r="B41" s="844" t="s">
        <v>312</v>
      </c>
      <c r="C41" s="1064">
        <v>9.6000000000000002E-2</v>
      </c>
      <c r="D41" s="1064">
        <v>9.8000000000000004E-2</v>
      </c>
      <c r="E41" s="1064">
        <v>9.8000000000000004E-2</v>
      </c>
      <c r="F41" s="1076"/>
    </row>
    <row r="42" spans="1:6" ht="14.5" thickBot="1">
      <c r="A42" s="840" t="s">
        <v>442</v>
      </c>
      <c r="B42" s="844" t="s">
        <v>323</v>
      </c>
      <c r="C42" s="1064">
        <v>0.1</v>
      </c>
      <c r="D42" s="1064">
        <v>8.7999999999999995E-2</v>
      </c>
      <c r="E42" s="1064">
        <v>0.1</v>
      </c>
      <c r="F42" s="1076"/>
    </row>
    <row r="43" spans="1:6" ht="14.5" thickBot="1">
      <c r="A43" s="840" t="s">
        <v>442</v>
      </c>
      <c r="B43" s="844" t="s">
        <v>334</v>
      </c>
      <c r="C43" s="1064">
        <v>9.8000000000000004E-2</v>
      </c>
      <c r="D43" s="1064">
        <v>9.7000000000000003E-2</v>
      </c>
      <c r="E43" s="1064">
        <v>9.6000000000000002E-2</v>
      </c>
      <c r="F43" s="1076"/>
    </row>
    <row r="44" spans="1:6" ht="14.5" thickBot="1">
      <c r="A44" s="840" t="s">
        <v>442</v>
      </c>
      <c r="B44" s="844" t="s">
        <v>344</v>
      </c>
      <c r="C44" s="1064">
        <v>8.5999999999999993E-2</v>
      </c>
      <c r="D44" s="1064">
        <v>7.9000000000000001E-2</v>
      </c>
      <c r="E44" s="1064">
        <v>7.0999999999999994E-2</v>
      </c>
      <c r="F44" s="1076"/>
    </row>
    <row r="45" spans="1:6" ht="14.5" thickBot="1">
      <c r="A45" s="840" t="s">
        <v>442</v>
      </c>
      <c r="B45" s="844" t="s">
        <v>354</v>
      </c>
      <c r="C45" s="1064">
        <v>9.8000000000000004E-2</v>
      </c>
      <c r="D45" s="1064">
        <v>9.6000000000000002E-2</v>
      </c>
      <c r="E45" s="1064">
        <v>9.6000000000000002E-2</v>
      </c>
      <c r="F45" s="1076"/>
    </row>
    <row r="46" spans="1:6" ht="14.5" thickBot="1">
      <c r="A46" s="840" t="s">
        <v>442</v>
      </c>
      <c r="B46" s="844" t="s">
        <v>364</v>
      </c>
      <c r="C46" s="1064">
        <v>8.5999999999999993E-2</v>
      </c>
      <c r="D46" s="1064">
        <v>9.8000000000000004E-2</v>
      </c>
      <c r="E46" s="1064">
        <v>8.7999999999999995E-2</v>
      </c>
      <c r="F46" s="1076"/>
    </row>
    <row r="47" spans="1:6" ht="14.5" thickBot="1">
      <c r="A47" s="840" t="s">
        <v>442</v>
      </c>
      <c r="B47" s="844" t="s">
        <v>374</v>
      </c>
      <c r="C47" s="1064">
        <v>9.6000000000000002E-2</v>
      </c>
      <c r="D47" s="1077"/>
      <c r="E47" s="1064">
        <v>6.9000000000000006E-2</v>
      </c>
      <c r="F47" s="1076"/>
    </row>
    <row r="48" spans="1:6" ht="14.5" thickBot="1">
      <c r="A48" s="850" t="s">
        <v>442</v>
      </c>
      <c r="B48" s="845" t="s">
        <v>383</v>
      </c>
      <c r="C48" s="1066">
        <v>9.8000000000000004E-2</v>
      </c>
      <c r="D48" s="1074"/>
      <c r="E48" s="1066">
        <v>9.5000000000000001E-2</v>
      </c>
      <c r="F48" s="1075"/>
    </row>
    <row r="49" spans="1:6" ht="14.5" thickBot="1">
      <c r="A49" s="840" t="s">
        <v>137</v>
      </c>
      <c r="B49" s="841" t="s">
        <v>880</v>
      </c>
      <c r="C49" s="1062">
        <v>9.7000000000000003E-2</v>
      </c>
      <c r="D49" s="1062">
        <v>9.5000000000000001E-2</v>
      </c>
      <c r="E49" s="1062">
        <v>9.7000000000000003E-2</v>
      </c>
      <c r="F49" s="1063">
        <v>0.1</v>
      </c>
    </row>
    <row r="50" spans="1:6" ht="14.5" thickBot="1">
      <c r="A50" s="840" t="s">
        <v>137</v>
      </c>
      <c r="B50" s="834" t="s">
        <v>190</v>
      </c>
      <c r="C50" s="1064">
        <v>7.4999999999999997E-2</v>
      </c>
      <c r="D50" s="1064">
        <v>9.5000000000000001E-2</v>
      </c>
      <c r="E50" s="1064">
        <v>0.1</v>
      </c>
      <c r="F50" s="1065">
        <v>0.1</v>
      </c>
    </row>
    <row r="51" spans="1:6" ht="14.5" thickBot="1">
      <c r="A51" s="840" t="s">
        <v>137</v>
      </c>
      <c r="B51" s="834" t="s">
        <v>203</v>
      </c>
      <c r="C51" s="1064">
        <v>9.8000000000000004E-2</v>
      </c>
      <c r="D51" s="1064">
        <v>8.8999999999999996E-2</v>
      </c>
      <c r="E51" s="1064">
        <v>0.1</v>
      </c>
      <c r="F51" s="1065">
        <v>0.1</v>
      </c>
    </row>
    <row r="52" spans="1:6" ht="14.5" thickBot="1">
      <c r="A52" s="840" t="s">
        <v>137</v>
      </c>
      <c r="B52" s="834" t="s">
        <v>216</v>
      </c>
      <c r="C52" s="1064">
        <v>9.8000000000000004E-2</v>
      </c>
      <c r="D52" s="1064">
        <v>9.7000000000000003E-2</v>
      </c>
      <c r="E52" s="1064">
        <v>8.1000000000000003E-2</v>
      </c>
      <c r="F52" s="1065">
        <v>0.1</v>
      </c>
    </row>
    <row r="53" spans="1:6" ht="14.5" thickBot="1">
      <c r="A53" s="840" t="s">
        <v>137</v>
      </c>
      <c r="B53" s="834" t="s">
        <v>228</v>
      </c>
      <c r="C53" s="1064">
        <v>9.7000000000000003E-2</v>
      </c>
      <c r="D53" s="1064">
        <v>7.5999999999999998E-2</v>
      </c>
      <c r="E53" s="1064">
        <v>7.0999999999999994E-2</v>
      </c>
      <c r="F53" s="1065">
        <v>0.1</v>
      </c>
    </row>
    <row r="54" spans="1:6" ht="14.5" thickBot="1">
      <c r="A54" s="840" t="s">
        <v>137</v>
      </c>
      <c r="B54" s="834" t="s">
        <v>239</v>
      </c>
      <c r="C54" s="1064">
        <v>7.5999999999999998E-2</v>
      </c>
      <c r="D54" s="1064">
        <v>0.1</v>
      </c>
      <c r="E54" s="1064">
        <v>9.9000000000000005E-2</v>
      </c>
      <c r="F54" s="1065">
        <v>0.1</v>
      </c>
    </row>
    <row r="55" spans="1:6" ht="14.5" thickBot="1">
      <c r="A55" s="840" t="s">
        <v>137</v>
      </c>
      <c r="B55" s="834" t="s">
        <v>250</v>
      </c>
      <c r="C55" s="1064">
        <v>0.1</v>
      </c>
      <c r="D55" s="1064">
        <v>0.1</v>
      </c>
      <c r="E55" s="1064">
        <v>9.6000000000000002E-2</v>
      </c>
      <c r="F55" s="1065">
        <v>0.1</v>
      </c>
    </row>
    <row r="56" spans="1:6" ht="14.5" thickBot="1">
      <c r="A56" s="840" t="s">
        <v>137</v>
      </c>
      <c r="B56" s="834" t="s">
        <v>261</v>
      </c>
      <c r="C56" s="1064">
        <v>0.1</v>
      </c>
      <c r="D56" s="1064">
        <v>9.6000000000000002E-2</v>
      </c>
      <c r="E56" s="1064">
        <v>5.1999999999999998E-2</v>
      </c>
      <c r="F56" s="1065">
        <v>0.1</v>
      </c>
    </row>
    <row r="57" spans="1:6" ht="14.5" thickBot="1">
      <c r="A57" s="840" t="s">
        <v>137</v>
      </c>
      <c r="B57" s="834" t="s">
        <v>273</v>
      </c>
      <c r="C57" s="1064">
        <v>9.7000000000000003E-2</v>
      </c>
      <c r="D57" s="1064">
        <v>9.6000000000000002E-2</v>
      </c>
      <c r="E57" s="1064">
        <v>9.6000000000000002E-2</v>
      </c>
      <c r="F57" s="1065">
        <v>0.1</v>
      </c>
    </row>
    <row r="58" spans="1:6" ht="14.5" thickBot="1">
      <c r="A58" s="840" t="s">
        <v>137</v>
      </c>
      <c r="B58" s="834" t="s">
        <v>283</v>
      </c>
      <c r="C58" s="1064">
        <v>9.6000000000000002E-2</v>
      </c>
      <c r="D58" s="1064">
        <v>9.9000000000000005E-2</v>
      </c>
      <c r="E58" s="1064">
        <v>9.6000000000000002E-2</v>
      </c>
      <c r="F58" s="1065">
        <v>0.1</v>
      </c>
    </row>
    <row r="59" spans="1:6" ht="14.5" thickBot="1">
      <c r="A59" s="840" t="s">
        <v>137</v>
      </c>
      <c r="B59" s="834" t="s">
        <v>293</v>
      </c>
      <c r="C59" s="1064">
        <v>7.1999999999999995E-2</v>
      </c>
      <c r="D59" s="1064">
        <v>9.6000000000000002E-2</v>
      </c>
      <c r="E59" s="1064">
        <v>7.0999999999999994E-2</v>
      </c>
      <c r="F59" s="1065">
        <v>0.1</v>
      </c>
    </row>
    <row r="60" spans="1:6" ht="14.5" thickBot="1">
      <c r="A60" s="840" t="s">
        <v>137</v>
      </c>
      <c r="B60" s="834" t="s">
        <v>303</v>
      </c>
      <c r="C60" s="1064">
        <v>9.6000000000000002E-2</v>
      </c>
      <c r="D60" s="1064">
        <v>8.8999999999999996E-2</v>
      </c>
      <c r="E60" s="1064">
        <v>9.6000000000000002E-2</v>
      </c>
      <c r="F60" s="1065">
        <v>0.1</v>
      </c>
    </row>
    <row r="61" spans="1:6" ht="14.5" thickBot="1">
      <c r="A61" s="840" t="s">
        <v>137</v>
      </c>
      <c r="B61" s="834" t="s">
        <v>313</v>
      </c>
      <c r="C61" s="1064">
        <v>8.8999999999999996E-2</v>
      </c>
      <c r="D61" s="1064">
        <v>9.8000000000000004E-2</v>
      </c>
      <c r="E61" s="1064">
        <v>8.7999999999999995E-2</v>
      </c>
      <c r="F61" s="1076"/>
    </row>
    <row r="62" spans="1:6" ht="14.5" thickBot="1">
      <c r="A62" s="840" t="s">
        <v>137</v>
      </c>
      <c r="B62" s="834" t="s">
        <v>324</v>
      </c>
      <c r="C62" s="1064">
        <v>9.8000000000000004E-2</v>
      </c>
      <c r="D62" s="1064">
        <v>9.2999999999999999E-2</v>
      </c>
      <c r="E62" s="1064">
        <v>9.7000000000000003E-2</v>
      </c>
      <c r="F62" s="1076"/>
    </row>
    <row r="63" spans="1:6" ht="14.5" thickBot="1">
      <c r="A63" s="840" t="s">
        <v>137</v>
      </c>
      <c r="B63" s="834" t="s">
        <v>335</v>
      </c>
      <c r="C63" s="1064">
        <v>9.6000000000000002E-2</v>
      </c>
      <c r="D63" s="1064">
        <v>9.8000000000000004E-2</v>
      </c>
      <c r="E63" s="1064">
        <v>0.09</v>
      </c>
      <c r="F63" s="1076"/>
    </row>
    <row r="64" spans="1:6" ht="14.5" thickBot="1">
      <c r="A64" s="840" t="s">
        <v>137</v>
      </c>
      <c r="B64" s="834" t="s">
        <v>345</v>
      </c>
      <c r="C64" s="1064">
        <v>9.9000000000000005E-2</v>
      </c>
      <c r="D64" s="1064">
        <v>9.7000000000000003E-2</v>
      </c>
      <c r="E64" s="1064">
        <v>9.9000000000000005E-2</v>
      </c>
      <c r="F64" s="1076"/>
    </row>
    <row r="65" spans="1:6" ht="14.5" thickBot="1">
      <c r="A65" s="840" t="s">
        <v>137</v>
      </c>
      <c r="B65" s="834" t="s">
        <v>355</v>
      </c>
      <c r="C65" s="1064">
        <v>9.8000000000000004E-2</v>
      </c>
      <c r="D65" s="1064">
        <v>9.6000000000000002E-2</v>
      </c>
      <c r="E65" s="1064">
        <v>9.6000000000000002E-2</v>
      </c>
      <c r="F65" s="1076"/>
    </row>
    <row r="66" spans="1:6" ht="14.5" thickBot="1">
      <c r="A66" s="840" t="s">
        <v>137</v>
      </c>
      <c r="B66" s="834" t="s">
        <v>365</v>
      </c>
      <c r="C66" s="1064">
        <v>9.6000000000000002E-2</v>
      </c>
      <c r="D66" s="1064">
        <v>9.1999999999999998E-2</v>
      </c>
      <c r="E66" s="1064">
        <v>9.6000000000000002E-2</v>
      </c>
      <c r="F66" s="1076"/>
    </row>
    <row r="67" spans="1:6" ht="14.5" thickBot="1">
      <c r="A67" s="840" t="s">
        <v>137</v>
      </c>
      <c r="B67" s="834" t="s">
        <v>375</v>
      </c>
      <c r="C67" s="1064">
        <v>9.4E-2</v>
      </c>
      <c r="D67" s="1064">
        <v>0.1</v>
      </c>
      <c r="E67" s="1064">
        <v>8.7999999999999995E-2</v>
      </c>
      <c r="F67" s="1076"/>
    </row>
    <row r="68" spans="1:6" ht="14.5" thickBot="1">
      <c r="A68" s="840" t="s">
        <v>137</v>
      </c>
      <c r="B68" s="834" t="s">
        <v>384</v>
      </c>
      <c r="C68" s="1064">
        <v>0.1</v>
      </c>
      <c r="D68" s="1064">
        <v>8.7999999999999995E-2</v>
      </c>
      <c r="E68" s="1064">
        <v>9.7000000000000003E-2</v>
      </c>
      <c r="F68" s="1076"/>
    </row>
    <row r="69" spans="1:6" ht="14.5" thickBot="1">
      <c r="A69" s="840" t="s">
        <v>137</v>
      </c>
      <c r="B69" s="834" t="s">
        <v>393</v>
      </c>
      <c r="C69" s="1064">
        <v>6.4000000000000001E-2</v>
      </c>
      <c r="D69" s="1064">
        <v>0.1</v>
      </c>
      <c r="E69" s="1064">
        <v>0.1</v>
      </c>
      <c r="F69" s="1076"/>
    </row>
    <row r="70" spans="1:6" ht="14.5" thickBot="1">
      <c r="A70" s="840" t="s">
        <v>137</v>
      </c>
      <c r="B70" s="834" t="s">
        <v>401</v>
      </c>
      <c r="C70" s="1064">
        <v>9.0999999999999998E-2</v>
      </c>
      <c r="D70" s="1077"/>
      <c r="E70" s="1077"/>
      <c r="F70" s="1076"/>
    </row>
    <row r="71" spans="1:6" ht="14.5" thickBot="1">
      <c r="A71" s="840" t="s">
        <v>137</v>
      </c>
      <c r="B71" s="834" t="s">
        <v>408</v>
      </c>
      <c r="C71" s="1064">
        <v>0.1</v>
      </c>
      <c r="D71" s="1077"/>
      <c r="E71" s="1077"/>
      <c r="F71" s="1076"/>
    </row>
    <row r="72" spans="1:6" ht="26.5" thickBot="1">
      <c r="A72" s="840" t="s">
        <v>137</v>
      </c>
      <c r="B72" s="834" t="s">
        <v>881</v>
      </c>
      <c r="C72" s="1077"/>
      <c r="D72" s="1077"/>
      <c r="E72" s="1077"/>
      <c r="F72" s="1065">
        <v>0.05</v>
      </c>
    </row>
    <row r="73" spans="1:6" ht="26.5" thickBot="1">
      <c r="A73" s="840" t="s">
        <v>137</v>
      </c>
      <c r="B73" s="834" t="s">
        <v>882</v>
      </c>
      <c r="C73" s="1077"/>
      <c r="D73" s="1077"/>
      <c r="E73" s="1077"/>
      <c r="F73" s="1065">
        <v>0.05</v>
      </c>
    </row>
    <row r="74" spans="1:6" ht="26.5" thickBot="1">
      <c r="A74" s="840" t="s">
        <v>137</v>
      </c>
      <c r="B74" s="834" t="s">
        <v>883</v>
      </c>
      <c r="C74" s="1077"/>
      <c r="D74" s="1077"/>
      <c r="E74" s="1077"/>
      <c r="F74" s="1065">
        <v>0.05</v>
      </c>
    </row>
    <row r="75" spans="1:6" ht="26.5" thickBot="1">
      <c r="A75" s="850" t="s">
        <v>137</v>
      </c>
      <c r="B75" s="846" t="s">
        <v>884</v>
      </c>
      <c r="C75" s="1074"/>
      <c r="D75" s="1074"/>
      <c r="E75" s="1074"/>
      <c r="F75" s="1067">
        <v>0.05</v>
      </c>
    </row>
    <row r="76" spans="1:6" ht="14.5" thickBot="1">
      <c r="A76" s="840" t="s">
        <v>523</v>
      </c>
      <c r="B76" s="841" t="s">
        <v>885</v>
      </c>
      <c r="C76" s="1062">
        <v>0.1</v>
      </c>
      <c r="D76" s="1062">
        <v>0.1</v>
      </c>
      <c r="E76" s="1062">
        <v>0.1</v>
      </c>
      <c r="F76" s="1063">
        <v>0.1</v>
      </c>
    </row>
    <row r="77" spans="1:6" ht="14.5" thickBot="1">
      <c r="A77" s="840" t="s">
        <v>523</v>
      </c>
      <c r="B77" s="834" t="s">
        <v>191</v>
      </c>
      <c r="C77" s="1064">
        <v>8.7999999999999995E-2</v>
      </c>
      <c r="D77" s="1064">
        <v>8.6999999999999994E-2</v>
      </c>
      <c r="E77" s="1064">
        <v>7.9000000000000001E-2</v>
      </c>
      <c r="F77" s="1065">
        <v>0.1</v>
      </c>
    </row>
    <row r="78" spans="1:6" ht="14.5" thickBot="1">
      <c r="A78" s="840" t="s">
        <v>523</v>
      </c>
      <c r="B78" s="834" t="s">
        <v>204</v>
      </c>
      <c r="C78" s="1064">
        <v>8.6999999999999994E-2</v>
      </c>
      <c r="D78" s="1064">
        <v>8.4000000000000005E-2</v>
      </c>
      <c r="E78" s="1064">
        <v>9.6000000000000002E-2</v>
      </c>
      <c r="F78" s="1065">
        <v>0.1</v>
      </c>
    </row>
    <row r="79" spans="1:6" ht="14.5" thickBot="1">
      <c r="A79" s="840" t="s">
        <v>523</v>
      </c>
      <c r="B79" s="834" t="s">
        <v>217</v>
      </c>
      <c r="C79" s="1064">
        <v>9.8000000000000004E-2</v>
      </c>
      <c r="D79" s="1064">
        <v>9.8000000000000004E-2</v>
      </c>
      <c r="E79" s="1064">
        <v>9.0999999999999998E-2</v>
      </c>
      <c r="F79" s="1065">
        <v>0.1</v>
      </c>
    </row>
    <row r="80" spans="1:6" ht="14.5" thickBot="1">
      <c r="A80" s="840" t="s">
        <v>523</v>
      </c>
      <c r="B80" s="834" t="s">
        <v>229</v>
      </c>
      <c r="C80" s="1064">
        <v>9.6000000000000002E-2</v>
      </c>
      <c r="D80" s="1064">
        <v>9.6000000000000002E-2</v>
      </c>
      <c r="E80" s="1064">
        <v>0.1</v>
      </c>
      <c r="F80" s="1065">
        <v>0.1</v>
      </c>
    </row>
    <row r="81" spans="1:6" ht="14.5" thickBot="1">
      <c r="A81" s="840" t="s">
        <v>523</v>
      </c>
      <c r="B81" s="834" t="s">
        <v>240</v>
      </c>
      <c r="C81" s="1064">
        <v>9.9000000000000005E-2</v>
      </c>
      <c r="D81" s="1064">
        <v>9.9000000000000005E-2</v>
      </c>
      <c r="E81" s="1064">
        <v>9.8000000000000004E-2</v>
      </c>
      <c r="F81" s="1065">
        <v>0.1</v>
      </c>
    </row>
    <row r="82" spans="1:6" ht="14.5" thickBot="1">
      <c r="A82" s="840" t="s">
        <v>523</v>
      </c>
      <c r="B82" s="834" t="s">
        <v>251</v>
      </c>
      <c r="C82" s="1064">
        <v>9.9000000000000005E-2</v>
      </c>
      <c r="D82" s="1064">
        <v>9.9000000000000005E-2</v>
      </c>
      <c r="E82" s="1064">
        <v>9.7000000000000003E-2</v>
      </c>
      <c r="F82" s="1065">
        <v>0.1</v>
      </c>
    </row>
    <row r="83" spans="1:6" ht="14.5" thickBot="1">
      <c r="A83" s="840" t="s">
        <v>523</v>
      </c>
      <c r="B83" s="834" t="s">
        <v>262</v>
      </c>
      <c r="C83" s="1064">
        <v>9.8000000000000004E-2</v>
      </c>
      <c r="D83" s="1064">
        <v>9.8000000000000004E-2</v>
      </c>
      <c r="E83" s="1064">
        <v>9.8000000000000004E-2</v>
      </c>
      <c r="F83" s="1065">
        <v>0.1</v>
      </c>
    </row>
    <row r="84" spans="1:6" ht="14.5" thickBot="1">
      <c r="A84" s="840" t="s">
        <v>523</v>
      </c>
      <c r="B84" s="834" t="s">
        <v>274</v>
      </c>
      <c r="C84" s="1064">
        <v>9.9000000000000005E-2</v>
      </c>
      <c r="D84" s="1064">
        <v>9.9000000000000005E-2</v>
      </c>
      <c r="E84" s="1064">
        <v>9.9000000000000005E-2</v>
      </c>
      <c r="F84" s="1065">
        <v>0.1</v>
      </c>
    </row>
    <row r="85" spans="1:6" ht="14.5" thickBot="1">
      <c r="A85" s="840" t="s">
        <v>523</v>
      </c>
      <c r="B85" s="834" t="s">
        <v>284</v>
      </c>
      <c r="C85" s="1064">
        <v>9.9000000000000005E-2</v>
      </c>
      <c r="D85" s="1064">
        <v>9.9000000000000005E-2</v>
      </c>
      <c r="E85" s="1064">
        <v>9.9000000000000005E-2</v>
      </c>
      <c r="F85" s="1065">
        <v>0.1</v>
      </c>
    </row>
    <row r="86" spans="1:6" ht="14.5" thickBot="1">
      <c r="A86" s="840" t="s">
        <v>523</v>
      </c>
      <c r="B86" s="834" t="s">
        <v>294</v>
      </c>
      <c r="C86" s="1064">
        <v>0.1</v>
      </c>
      <c r="D86" s="1064">
        <v>0.1</v>
      </c>
      <c r="E86" s="1064">
        <v>7.6999999999999999E-2</v>
      </c>
      <c r="F86" s="1065">
        <v>0.1</v>
      </c>
    </row>
    <row r="87" spans="1:6" ht="14.5" thickBot="1">
      <c r="A87" s="840" t="s">
        <v>523</v>
      </c>
      <c r="B87" s="834" t="s">
        <v>304</v>
      </c>
      <c r="C87" s="1064">
        <v>0.1</v>
      </c>
      <c r="D87" s="1064">
        <v>0.1</v>
      </c>
      <c r="E87" s="1064">
        <v>9.8000000000000004E-2</v>
      </c>
      <c r="F87" s="1076"/>
    </row>
    <row r="88" spans="1:6" ht="14.5" thickBot="1">
      <c r="A88" s="840" t="s">
        <v>523</v>
      </c>
      <c r="B88" s="834" t="s">
        <v>314</v>
      </c>
      <c r="C88" s="1064">
        <v>9.1999999999999998E-2</v>
      </c>
      <c r="D88" s="1064">
        <v>8.5000000000000006E-2</v>
      </c>
      <c r="E88" s="1064">
        <v>9.6000000000000002E-2</v>
      </c>
      <c r="F88" s="1076"/>
    </row>
    <row r="89" spans="1:6" ht="14.5" thickBot="1">
      <c r="A89" s="840" t="s">
        <v>523</v>
      </c>
      <c r="B89" s="834" t="s">
        <v>325</v>
      </c>
      <c r="C89" s="1064">
        <v>0.1</v>
      </c>
      <c r="D89" s="1064">
        <v>0.1</v>
      </c>
      <c r="E89" s="1064">
        <v>9.7000000000000003E-2</v>
      </c>
      <c r="F89" s="1076"/>
    </row>
    <row r="90" spans="1:6" ht="14.5" thickBot="1">
      <c r="A90" s="840" t="s">
        <v>523</v>
      </c>
      <c r="B90" s="834" t="s">
        <v>336</v>
      </c>
      <c r="C90" s="1064">
        <v>9.8000000000000004E-2</v>
      </c>
      <c r="D90" s="1064">
        <v>9.8000000000000004E-2</v>
      </c>
      <c r="E90" s="1064">
        <v>8.7999999999999995E-2</v>
      </c>
      <c r="F90" s="1076"/>
    </row>
    <row r="91" spans="1:6" ht="14.5" thickBot="1">
      <c r="A91" s="840" t="s">
        <v>523</v>
      </c>
      <c r="B91" s="834" t="s">
        <v>346</v>
      </c>
      <c r="C91" s="1064">
        <v>9.9000000000000005E-2</v>
      </c>
      <c r="D91" s="1064">
        <v>9.9000000000000005E-2</v>
      </c>
      <c r="E91" s="1064">
        <v>9.0999999999999998E-2</v>
      </c>
      <c r="F91" s="1076"/>
    </row>
    <row r="92" spans="1:6" ht="14.5" thickBot="1">
      <c r="A92" s="840" t="s">
        <v>523</v>
      </c>
      <c r="B92" s="834" t="s">
        <v>356</v>
      </c>
      <c r="C92" s="1064">
        <v>9.6000000000000002E-2</v>
      </c>
      <c r="D92" s="1064">
        <v>9.6000000000000002E-2</v>
      </c>
      <c r="E92" s="1064">
        <v>7.2999999999999995E-2</v>
      </c>
      <c r="F92" s="1076"/>
    </row>
    <row r="93" spans="1:6" ht="14.5" thickBot="1">
      <c r="A93" s="840" t="s">
        <v>523</v>
      </c>
      <c r="B93" s="834" t="s">
        <v>366</v>
      </c>
      <c r="C93" s="1064">
        <v>9.6000000000000002E-2</v>
      </c>
      <c r="D93" s="1064">
        <v>9.6000000000000002E-2</v>
      </c>
      <c r="E93" s="1064">
        <v>9.9000000000000005E-2</v>
      </c>
      <c r="F93" s="1076"/>
    </row>
    <row r="94" spans="1:6" ht="14.5" thickBot="1">
      <c r="A94" s="840" t="s">
        <v>523</v>
      </c>
      <c r="B94" s="834" t="s">
        <v>376</v>
      </c>
      <c r="C94" s="1064">
        <v>7.5999999999999998E-2</v>
      </c>
      <c r="D94" s="1064">
        <v>7.3999999999999996E-2</v>
      </c>
      <c r="E94" s="1064">
        <v>9.7000000000000003E-2</v>
      </c>
      <c r="F94" s="1076"/>
    </row>
    <row r="95" spans="1:6" ht="14.5" thickBot="1">
      <c r="A95" s="840" t="s">
        <v>523</v>
      </c>
      <c r="B95" s="834" t="s">
        <v>385</v>
      </c>
      <c r="C95" s="1064">
        <v>9.9000000000000005E-2</v>
      </c>
      <c r="D95" s="1064">
        <v>9.4E-2</v>
      </c>
      <c r="E95" s="1064">
        <v>9.6000000000000002E-2</v>
      </c>
      <c r="F95" s="1076"/>
    </row>
    <row r="96" spans="1:6" ht="14.5" thickBot="1">
      <c r="A96" s="840" t="s">
        <v>523</v>
      </c>
      <c r="B96" s="834" t="s">
        <v>394</v>
      </c>
      <c r="C96" s="1064">
        <v>9.9000000000000005E-2</v>
      </c>
      <c r="D96" s="1064">
        <v>9.9000000000000005E-2</v>
      </c>
      <c r="E96" s="1064">
        <v>9.9000000000000005E-2</v>
      </c>
      <c r="F96" s="1076"/>
    </row>
    <row r="97" spans="1:6" ht="14.5" thickBot="1">
      <c r="A97" s="840" t="s">
        <v>523</v>
      </c>
      <c r="B97" s="834" t="s">
        <v>402</v>
      </c>
      <c r="C97" s="1064">
        <v>9.8000000000000004E-2</v>
      </c>
      <c r="D97" s="1064">
        <v>9.8000000000000004E-2</v>
      </c>
      <c r="E97" s="1064">
        <v>9.7000000000000003E-2</v>
      </c>
      <c r="F97" s="1076"/>
    </row>
    <row r="98" spans="1:6" ht="14.5" thickBot="1">
      <c r="A98" s="840" t="s">
        <v>523</v>
      </c>
      <c r="B98" s="834" t="s">
        <v>409</v>
      </c>
      <c r="C98" s="1064">
        <v>0.1</v>
      </c>
      <c r="D98" s="1064">
        <v>0.1</v>
      </c>
      <c r="E98" s="1064">
        <v>9.7000000000000003E-2</v>
      </c>
      <c r="F98" s="1076"/>
    </row>
    <row r="99" spans="1:6" ht="14.5" thickBot="1">
      <c r="A99" s="840" t="s">
        <v>523</v>
      </c>
      <c r="B99" s="834" t="s">
        <v>416</v>
      </c>
      <c r="C99" s="1064">
        <v>0.1</v>
      </c>
      <c r="D99" s="1064">
        <v>0.1</v>
      </c>
      <c r="E99" s="1077"/>
      <c r="F99" s="1076"/>
    </row>
    <row r="100" spans="1:6" ht="14.5" thickBot="1">
      <c r="A100" s="840" t="s">
        <v>523</v>
      </c>
      <c r="B100" s="834" t="s">
        <v>423</v>
      </c>
      <c r="C100" s="1064">
        <v>0.09</v>
      </c>
      <c r="D100" s="1064">
        <v>8.8999999999999996E-2</v>
      </c>
      <c r="E100" s="1077"/>
      <c r="F100" s="1076"/>
    </row>
    <row r="101" spans="1:6" ht="14.5" thickBot="1">
      <c r="A101" s="840" t="s">
        <v>523</v>
      </c>
      <c r="B101" s="834" t="s">
        <v>430</v>
      </c>
      <c r="C101" s="1064">
        <v>9.8000000000000004E-2</v>
      </c>
      <c r="D101" s="1064">
        <v>9.7000000000000003E-2</v>
      </c>
      <c r="E101" s="1077"/>
      <c r="F101" s="1076"/>
    </row>
    <row r="102" spans="1:6" ht="26.5" thickBot="1">
      <c r="A102" s="840" t="s">
        <v>523</v>
      </c>
      <c r="B102" s="834" t="s">
        <v>886</v>
      </c>
      <c r="C102" s="1077"/>
      <c r="D102" s="1077"/>
      <c r="E102" s="1077"/>
      <c r="F102" s="1065">
        <v>0.05</v>
      </c>
    </row>
    <row r="103" spans="1:6" ht="26.5" thickBot="1">
      <c r="A103" s="840" t="s">
        <v>523</v>
      </c>
      <c r="B103" s="834" t="s">
        <v>887</v>
      </c>
      <c r="C103" s="1077"/>
      <c r="D103" s="1077"/>
      <c r="E103" s="1077"/>
      <c r="F103" s="1065">
        <v>0.05</v>
      </c>
    </row>
    <row r="104" spans="1:6" ht="14.5" thickBot="1">
      <c r="A104" s="840" t="s">
        <v>523</v>
      </c>
      <c r="B104" s="834" t="s">
        <v>888</v>
      </c>
      <c r="C104" s="1077"/>
      <c r="D104" s="1077"/>
      <c r="E104" s="1077"/>
      <c r="F104" s="1065">
        <v>0.05</v>
      </c>
    </row>
    <row r="105" spans="1:6" ht="26.5" thickBot="1">
      <c r="A105" s="840" t="s">
        <v>523</v>
      </c>
      <c r="B105" s="834" t="s">
        <v>889</v>
      </c>
      <c r="C105" s="1077"/>
      <c r="D105" s="1077"/>
      <c r="E105" s="1077"/>
      <c r="F105" s="1065">
        <v>0.05</v>
      </c>
    </row>
    <row r="106" spans="1:6" ht="26.5" thickBot="1">
      <c r="A106" s="840" t="s">
        <v>523</v>
      </c>
      <c r="B106" s="834" t="s">
        <v>890</v>
      </c>
      <c r="C106" s="1077"/>
      <c r="D106" s="1077"/>
      <c r="E106" s="1077"/>
      <c r="F106" s="1065">
        <v>0.05</v>
      </c>
    </row>
    <row r="107" spans="1:6" ht="26.5" thickBot="1">
      <c r="A107" s="840" t="s">
        <v>523</v>
      </c>
      <c r="B107" s="834" t="s">
        <v>891</v>
      </c>
      <c r="C107" s="1077"/>
      <c r="D107" s="1077"/>
      <c r="E107" s="1077"/>
      <c r="F107" s="1065">
        <v>0.05</v>
      </c>
    </row>
    <row r="108" spans="1:6" ht="26.5" thickBot="1">
      <c r="A108" s="840" t="s">
        <v>523</v>
      </c>
      <c r="B108" s="834" t="s">
        <v>892</v>
      </c>
      <c r="C108" s="1077"/>
      <c r="D108" s="1077"/>
      <c r="E108" s="1077"/>
      <c r="F108" s="1065">
        <v>0.05</v>
      </c>
    </row>
    <row r="109" spans="1:6" ht="26.5" thickBot="1">
      <c r="A109" s="850" t="s">
        <v>523</v>
      </c>
      <c r="B109" s="846" t="s">
        <v>893</v>
      </c>
      <c r="C109" s="1074"/>
      <c r="D109" s="1074"/>
      <c r="E109" s="1074"/>
      <c r="F109" s="1067">
        <v>0.05</v>
      </c>
    </row>
    <row r="110" spans="1:6" ht="14.5" thickBot="1">
      <c r="A110" s="840" t="s">
        <v>56</v>
      </c>
      <c r="B110" s="841" t="s">
        <v>894</v>
      </c>
      <c r="C110" s="1062">
        <v>0.129</v>
      </c>
      <c r="D110" s="1062">
        <v>0.129</v>
      </c>
      <c r="E110" s="1062">
        <v>0.126</v>
      </c>
      <c r="F110" s="1063">
        <v>0.13</v>
      </c>
    </row>
    <row r="111" spans="1:6" ht="14.5" thickBot="1">
      <c r="A111" s="840" t="s">
        <v>56</v>
      </c>
      <c r="B111" s="834" t="s">
        <v>192</v>
      </c>
      <c r="C111" s="1064">
        <v>0.11</v>
      </c>
      <c r="D111" s="1064">
        <v>0.11</v>
      </c>
      <c r="E111" s="1064">
        <v>9.9000000000000005E-2</v>
      </c>
      <c r="F111" s="1065">
        <v>0.128</v>
      </c>
    </row>
    <row r="112" spans="1:6" ht="14.5" thickBot="1">
      <c r="A112" s="840" t="s">
        <v>56</v>
      </c>
      <c r="B112" s="834" t="s">
        <v>205</v>
      </c>
      <c r="C112" s="1064">
        <v>0.125</v>
      </c>
      <c r="D112" s="1064">
        <v>0.125</v>
      </c>
      <c r="E112" s="1064">
        <v>0.12</v>
      </c>
      <c r="F112" s="1065">
        <v>0.125</v>
      </c>
    </row>
    <row r="113" spans="1:6" ht="14.5" thickBot="1">
      <c r="A113" s="840" t="s">
        <v>56</v>
      </c>
      <c r="B113" s="834" t="s">
        <v>218</v>
      </c>
      <c r="C113" s="1064">
        <v>0.13</v>
      </c>
      <c r="D113" s="1064">
        <v>0.13</v>
      </c>
      <c r="E113" s="1064">
        <v>0.13</v>
      </c>
      <c r="F113" s="1065">
        <v>0.13</v>
      </c>
    </row>
    <row r="114" spans="1:6" ht="14.5" thickBot="1">
      <c r="A114" s="840" t="s">
        <v>56</v>
      </c>
      <c r="B114" s="834" t="s">
        <v>230</v>
      </c>
      <c r="C114" s="1064">
        <v>0.123</v>
      </c>
      <c r="D114" s="1064">
        <v>0.123</v>
      </c>
      <c r="E114" s="1064">
        <v>0.12</v>
      </c>
      <c r="F114" s="1065">
        <v>0.13</v>
      </c>
    </row>
    <row r="115" spans="1:6" ht="14.5" thickBot="1">
      <c r="A115" s="840" t="s">
        <v>56</v>
      </c>
      <c r="B115" s="834" t="s">
        <v>241</v>
      </c>
      <c r="C115" s="1064">
        <v>0.125</v>
      </c>
      <c r="D115" s="1064">
        <v>0.125</v>
      </c>
      <c r="E115" s="1064">
        <v>0.11700000000000001</v>
      </c>
      <c r="F115" s="1065">
        <v>0.13</v>
      </c>
    </row>
    <row r="116" spans="1:6" ht="14.5" thickBot="1">
      <c r="A116" s="840" t="s">
        <v>56</v>
      </c>
      <c r="B116" s="834" t="s">
        <v>252</v>
      </c>
      <c r="C116" s="1064">
        <v>0.11700000000000001</v>
      </c>
      <c r="D116" s="1064">
        <v>0.11700000000000001</v>
      </c>
      <c r="E116" s="1064">
        <v>8.7999999999999995E-2</v>
      </c>
      <c r="F116" s="1065">
        <v>0.13</v>
      </c>
    </row>
    <row r="117" spans="1:6" ht="14.5" thickBot="1">
      <c r="A117" s="840" t="s">
        <v>56</v>
      </c>
      <c r="B117" s="834" t="s">
        <v>263</v>
      </c>
      <c r="C117" s="1064">
        <v>0.13</v>
      </c>
      <c r="D117" s="1064">
        <v>0.13</v>
      </c>
      <c r="E117" s="1064">
        <v>0.129</v>
      </c>
      <c r="F117" s="1065">
        <v>0.13</v>
      </c>
    </row>
    <row r="118" spans="1:6" ht="14.5" thickBot="1">
      <c r="A118" s="840" t="s">
        <v>56</v>
      </c>
      <c r="B118" s="834" t="s">
        <v>275</v>
      </c>
      <c r="C118" s="1064">
        <v>0.123</v>
      </c>
      <c r="D118" s="1064">
        <v>0.123</v>
      </c>
      <c r="E118" s="1064">
        <v>0.11600000000000001</v>
      </c>
      <c r="F118" s="1065">
        <v>0.13</v>
      </c>
    </row>
    <row r="119" spans="1:6" ht="14.5" thickBot="1">
      <c r="A119" s="840" t="s">
        <v>56</v>
      </c>
      <c r="B119" s="834" t="s">
        <v>285</v>
      </c>
      <c r="C119" s="1064">
        <v>0.127</v>
      </c>
      <c r="D119" s="1064">
        <v>0.127</v>
      </c>
      <c r="E119" s="1064">
        <v>0.124</v>
      </c>
      <c r="F119" s="1065">
        <v>0.13</v>
      </c>
    </row>
    <row r="120" spans="1:6" ht="14.5" thickBot="1">
      <c r="A120" s="840" t="s">
        <v>56</v>
      </c>
      <c r="B120" s="834" t="s">
        <v>295</v>
      </c>
      <c r="C120" s="1064">
        <v>0.125</v>
      </c>
      <c r="D120" s="1064">
        <v>0.125</v>
      </c>
      <c r="E120" s="1064">
        <v>0.122</v>
      </c>
      <c r="F120" s="1065">
        <v>0.13</v>
      </c>
    </row>
    <row r="121" spans="1:6" ht="14.5" thickBot="1">
      <c r="A121" s="840" t="s">
        <v>56</v>
      </c>
      <c r="B121" s="834" t="s">
        <v>305</v>
      </c>
      <c r="C121" s="1064">
        <v>0.13</v>
      </c>
      <c r="D121" s="1064">
        <v>0.13</v>
      </c>
      <c r="E121" s="1064">
        <v>0.13</v>
      </c>
      <c r="F121" s="1065">
        <v>0.13</v>
      </c>
    </row>
    <row r="122" spans="1:6" ht="14.5" thickBot="1">
      <c r="A122" s="840" t="s">
        <v>56</v>
      </c>
      <c r="B122" s="834" t="s">
        <v>315</v>
      </c>
      <c r="C122" s="1064">
        <v>0.13</v>
      </c>
      <c r="D122" s="1064">
        <v>0.13</v>
      </c>
      <c r="E122" s="1064">
        <v>0.125</v>
      </c>
      <c r="F122" s="1065">
        <v>0.13</v>
      </c>
    </row>
    <row r="123" spans="1:6" ht="14.5" thickBot="1">
      <c r="A123" s="840" t="s">
        <v>56</v>
      </c>
      <c r="B123" s="834" t="s">
        <v>326</v>
      </c>
      <c r="C123" s="1064">
        <v>0.129</v>
      </c>
      <c r="D123" s="1064">
        <v>0.129</v>
      </c>
      <c r="E123" s="1064">
        <v>0.123</v>
      </c>
      <c r="F123" s="1065">
        <v>0.13</v>
      </c>
    </row>
    <row r="124" spans="1:6" ht="14.5" thickBot="1">
      <c r="A124" s="840" t="s">
        <v>56</v>
      </c>
      <c r="B124" s="834" t="s">
        <v>337</v>
      </c>
      <c r="C124" s="1064">
        <v>0.10199999999999999</v>
      </c>
      <c r="D124" s="1064">
        <v>0.10100000000000001</v>
      </c>
      <c r="E124" s="1064">
        <v>0.08</v>
      </c>
      <c r="F124" s="1076"/>
    </row>
    <row r="125" spans="1:6" ht="14.5" thickBot="1">
      <c r="A125" s="840" t="s">
        <v>56</v>
      </c>
      <c r="B125" s="834" t="s">
        <v>347</v>
      </c>
      <c r="C125" s="1064">
        <v>0.13</v>
      </c>
      <c r="D125" s="1064">
        <v>0.13</v>
      </c>
      <c r="E125" s="1064">
        <v>0.129</v>
      </c>
      <c r="F125" s="1076"/>
    </row>
    <row r="126" spans="1:6" ht="14.5" thickBot="1">
      <c r="A126" s="840" t="s">
        <v>56</v>
      </c>
      <c r="B126" s="834" t="s">
        <v>357</v>
      </c>
      <c r="C126" s="1064">
        <v>0.13</v>
      </c>
      <c r="D126" s="1064">
        <v>0.13</v>
      </c>
      <c r="E126" s="1064">
        <v>0.126</v>
      </c>
      <c r="F126" s="1076"/>
    </row>
    <row r="127" spans="1:6" ht="14.5" thickBot="1">
      <c r="A127" s="840" t="s">
        <v>56</v>
      </c>
      <c r="B127" s="834" t="s">
        <v>367</v>
      </c>
      <c r="C127" s="1064">
        <v>0.125</v>
      </c>
      <c r="D127" s="1064">
        <v>0.125</v>
      </c>
      <c r="E127" s="1064">
        <v>0.121</v>
      </c>
      <c r="F127" s="1076"/>
    </row>
    <row r="128" spans="1:6" ht="14.5" thickBot="1">
      <c r="A128" s="840" t="s">
        <v>56</v>
      </c>
      <c r="B128" s="834" t="s">
        <v>377</v>
      </c>
      <c r="C128" s="1064">
        <v>0.12</v>
      </c>
      <c r="D128" s="1064">
        <v>0.12</v>
      </c>
      <c r="E128" s="1064">
        <v>0.105</v>
      </c>
      <c r="F128" s="1076"/>
    </row>
    <row r="129" spans="1:6" ht="14.5" thickBot="1">
      <c r="A129" s="840" t="s">
        <v>56</v>
      </c>
      <c r="B129" s="834" t="s">
        <v>386</v>
      </c>
      <c r="C129" s="1064">
        <v>0.13</v>
      </c>
      <c r="D129" s="1064">
        <v>0.13</v>
      </c>
      <c r="E129" s="1064">
        <v>0.126</v>
      </c>
      <c r="F129" s="1076"/>
    </row>
    <row r="130" spans="1:6" ht="14.5" thickBot="1">
      <c r="A130" s="840" t="s">
        <v>56</v>
      </c>
      <c r="B130" s="834" t="s">
        <v>395</v>
      </c>
      <c r="C130" s="1064">
        <v>0.125</v>
      </c>
      <c r="D130" s="1064">
        <v>0.125</v>
      </c>
      <c r="E130" s="1064">
        <v>0.122</v>
      </c>
      <c r="F130" s="1076"/>
    </row>
    <row r="131" spans="1:6" ht="14.5" thickBot="1">
      <c r="A131" s="840" t="s">
        <v>56</v>
      </c>
      <c r="B131" s="834" t="s">
        <v>403</v>
      </c>
      <c r="C131" s="1064">
        <v>0.127</v>
      </c>
      <c r="D131" s="1064">
        <v>0.126</v>
      </c>
      <c r="E131" s="1064">
        <v>0.123</v>
      </c>
      <c r="F131" s="1076"/>
    </row>
    <row r="132" spans="1:6" ht="14.5" thickBot="1">
      <c r="A132" s="840" t="s">
        <v>56</v>
      </c>
      <c r="B132" s="834" t="s">
        <v>410</v>
      </c>
      <c r="C132" s="1064">
        <v>9.0999999999999998E-2</v>
      </c>
      <c r="D132" s="1064">
        <v>0.121</v>
      </c>
      <c r="E132" s="1064">
        <v>9.9000000000000005E-2</v>
      </c>
      <c r="F132" s="1076"/>
    </row>
    <row r="133" spans="1:6" ht="14.5" thickBot="1">
      <c r="A133" s="840" t="s">
        <v>56</v>
      </c>
      <c r="B133" s="834" t="s">
        <v>417</v>
      </c>
      <c r="C133" s="1064">
        <v>0.13</v>
      </c>
      <c r="D133" s="1064">
        <v>0.13</v>
      </c>
      <c r="E133" s="1064">
        <v>0.129</v>
      </c>
      <c r="F133" s="1076"/>
    </row>
    <row r="134" spans="1:6" ht="14.5" thickBot="1">
      <c r="A134" s="840" t="s">
        <v>56</v>
      </c>
      <c r="B134" s="834" t="s">
        <v>895</v>
      </c>
      <c r="C134" s="1064">
        <v>6.8000000000000005E-2</v>
      </c>
      <c r="D134" s="1064">
        <v>6.5000000000000002E-2</v>
      </c>
      <c r="E134" s="1064">
        <v>6.5000000000000002E-2</v>
      </c>
      <c r="F134" s="1065">
        <v>0.13</v>
      </c>
    </row>
    <row r="135" spans="1:6" ht="14.5" thickBot="1">
      <c r="A135" s="840" t="s">
        <v>56</v>
      </c>
      <c r="B135" s="834" t="s">
        <v>431</v>
      </c>
      <c r="C135" s="1064">
        <v>0.123</v>
      </c>
      <c r="D135" s="1064">
        <v>0.123</v>
      </c>
      <c r="E135" s="1064">
        <v>0.11</v>
      </c>
      <c r="F135" s="1076"/>
    </row>
    <row r="136" spans="1:6" ht="14.5" thickBot="1">
      <c r="A136" s="840" t="s">
        <v>56</v>
      </c>
      <c r="B136" s="834" t="s">
        <v>438</v>
      </c>
      <c r="C136" s="1064">
        <v>0.13</v>
      </c>
      <c r="D136" s="1064">
        <v>0.13</v>
      </c>
      <c r="E136" s="1064">
        <v>0.125</v>
      </c>
      <c r="F136" s="1076"/>
    </row>
    <row r="137" spans="1:6" ht="14.5" thickBot="1">
      <c r="A137" s="840" t="s">
        <v>56</v>
      </c>
      <c r="B137" s="834" t="s">
        <v>445</v>
      </c>
      <c r="C137" s="1064">
        <v>0.121</v>
      </c>
      <c r="D137" s="1064">
        <v>0.122</v>
      </c>
      <c r="E137" s="1064">
        <v>0.115</v>
      </c>
      <c r="F137" s="1076"/>
    </row>
    <row r="138" spans="1:6" ht="14.5" thickBot="1">
      <c r="A138" s="840" t="s">
        <v>56</v>
      </c>
      <c r="B138" s="834" t="s">
        <v>896</v>
      </c>
      <c r="C138" s="1064">
        <v>0.105</v>
      </c>
      <c r="D138" s="1064">
        <v>0.125</v>
      </c>
      <c r="E138" s="1064">
        <v>0.112</v>
      </c>
      <c r="F138" s="1076"/>
    </row>
    <row r="139" spans="1:6" ht="14.5" thickBot="1">
      <c r="A139" s="840" t="s">
        <v>56</v>
      </c>
      <c r="B139" s="834" t="s">
        <v>897</v>
      </c>
      <c r="C139" s="1064">
        <v>0.127</v>
      </c>
      <c r="D139" s="1064">
        <v>0.127</v>
      </c>
      <c r="E139" s="1064">
        <v>0.122</v>
      </c>
      <c r="F139" s="1065">
        <v>0.13</v>
      </c>
    </row>
    <row r="140" spans="1:6" ht="14.5" thickBot="1">
      <c r="A140" s="840" t="s">
        <v>56</v>
      </c>
      <c r="B140" s="834" t="s">
        <v>898</v>
      </c>
      <c r="C140" s="1064">
        <v>0.125</v>
      </c>
      <c r="D140" s="1064">
        <v>0.125</v>
      </c>
      <c r="E140" s="1064">
        <v>0.11899999999999999</v>
      </c>
      <c r="F140" s="1065">
        <v>0.13</v>
      </c>
    </row>
    <row r="141" spans="1:6" ht="14.5" thickBot="1">
      <c r="A141" s="840" t="s">
        <v>56</v>
      </c>
      <c r="B141" s="834" t="s">
        <v>464</v>
      </c>
      <c r="C141" s="1064">
        <v>0.125</v>
      </c>
      <c r="D141" s="1064">
        <v>0.125</v>
      </c>
      <c r="E141" s="1064">
        <v>0.11700000000000001</v>
      </c>
      <c r="F141" s="1076"/>
    </row>
    <row r="142" spans="1:6" ht="14.5" thickBot="1">
      <c r="A142" s="840" t="s">
        <v>56</v>
      </c>
      <c r="B142" s="834" t="s">
        <v>469</v>
      </c>
      <c r="C142" s="1064">
        <v>0.125</v>
      </c>
      <c r="D142" s="1064">
        <v>0.125</v>
      </c>
      <c r="E142" s="1064">
        <v>0.115</v>
      </c>
      <c r="F142" s="1076"/>
    </row>
    <row r="143" spans="1:6" ht="14.5" thickBot="1">
      <c r="A143" s="840" t="s">
        <v>56</v>
      </c>
      <c r="B143" s="834" t="s">
        <v>474</v>
      </c>
      <c r="C143" s="1064">
        <v>0.121</v>
      </c>
      <c r="D143" s="1064">
        <v>0.121</v>
      </c>
      <c r="E143" s="1064">
        <v>0.108</v>
      </c>
      <c r="F143" s="1076"/>
    </row>
    <row r="144" spans="1:6" ht="14.5" thickBot="1">
      <c r="A144" s="840" t="s">
        <v>56</v>
      </c>
      <c r="B144" s="1068" t="s">
        <v>899</v>
      </c>
      <c r="C144" s="1069">
        <v>0.126</v>
      </c>
      <c r="D144" s="1069">
        <v>0.126</v>
      </c>
      <c r="E144" s="1069">
        <v>0.121</v>
      </c>
      <c r="F144" s="1076"/>
    </row>
    <row r="145" spans="1:6" ht="14.5" thickBot="1">
      <c r="A145" s="850" t="s">
        <v>56</v>
      </c>
      <c r="B145" s="1070" t="s">
        <v>900</v>
      </c>
      <c r="C145" s="1078"/>
      <c r="D145" s="1078"/>
      <c r="E145" s="1078"/>
      <c r="F145" s="1071">
        <v>0.05</v>
      </c>
    </row>
    <row r="146" spans="1:6" ht="26.5" thickBot="1">
      <c r="A146" s="1072" t="s">
        <v>56</v>
      </c>
      <c r="B146" s="844" t="s">
        <v>901</v>
      </c>
      <c r="C146" s="1077"/>
      <c r="D146" s="1077"/>
      <c r="E146" s="1077"/>
      <c r="F146" s="1073">
        <v>0.05</v>
      </c>
    </row>
    <row r="147" spans="1:6" ht="26.5" thickBot="1">
      <c r="A147" s="840" t="s">
        <v>56</v>
      </c>
      <c r="B147" s="834" t="s">
        <v>902</v>
      </c>
      <c r="C147" s="1077"/>
      <c r="D147" s="1077"/>
      <c r="E147" s="1077"/>
      <c r="F147" s="1065">
        <v>0.05</v>
      </c>
    </row>
    <row r="148" spans="1:6" ht="26.5" thickBot="1">
      <c r="A148" s="840" t="s">
        <v>56</v>
      </c>
      <c r="B148" s="834" t="s">
        <v>903</v>
      </c>
      <c r="C148" s="1077"/>
      <c r="D148" s="1077"/>
      <c r="E148" s="1077"/>
      <c r="F148" s="1065">
        <v>0.05</v>
      </c>
    </row>
    <row r="149" spans="1:6" ht="26.5" thickBot="1">
      <c r="A149" s="840" t="s">
        <v>56</v>
      </c>
      <c r="B149" s="834" t="s">
        <v>904</v>
      </c>
      <c r="C149" s="1077"/>
      <c r="D149" s="1077"/>
      <c r="E149" s="1077"/>
      <c r="F149" s="1065">
        <v>0.05</v>
      </c>
    </row>
    <row r="150" spans="1:6" ht="26.5" thickBot="1">
      <c r="A150" s="840" t="s">
        <v>56</v>
      </c>
      <c r="B150" s="834" t="s">
        <v>905</v>
      </c>
      <c r="C150" s="1077"/>
      <c r="D150" s="1077"/>
      <c r="E150" s="1077"/>
      <c r="F150" s="1065">
        <v>0.05</v>
      </c>
    </row>
    <row r="151" spans="1:6" ht="26.5" thickBot="1">
      <c r="A151" s="840" t="s">
        <v>56</v>
      </c>
      <c r="B151" s="834" t="s">
        <v>906</v>
      </c>
      <c r="C151" s="1077"/>
      <c r="D151" s="1077"/>
      <c r="E151" s="1077"/>
      <c r="F151" s="1065">
        <v>0.05</v>
      </c>
    </row>
    <row r="152" spans="1:6" ht="26.5" thickBot="1">
      <c r="A152" s="840" t="s">
        <v>56</v>
      </c>
      <c r="B152" s="834" t="s">
        <v>507</v>
      </c>
      <c r="C152" s="1077"/>
      <c r="D152" s="1077"/>
      <c r="E152" s="1077"/>
      <c r="F152" s="1065">
        <v>0.05</v>
      </c>
    </row>
    <row r="153" spans="1:6" ht="14.5" thickBot="1">
      <c r="A153" s="840" t="s">
        <v>56</v>
      </c>
      <c r="B153" s="834" t="s">
        <v>907</v>
      </c>
      <c r="C153" s="1077"/>
      <c r="D153" s="1077"/>
      <c r="E153" s="1077"/>
      <c r="F153" s="1065">
        <v>0.05</v>
      </c>
    </row>
    <row r="154" spans="1:6" ht="14.5" thickBot="1">
      <c r="A154" s="840" t="s">
        <v>56</v>
      </c>
      <c r="B154" s="834" t="s">
        <v>908</v>
      </c>
      <c r="C154" s="1077"/>
      <c r="D154" s="1077"/>
      <c r="E154" s="1077"/>
      <c r="F154" s="1065">
        <v>0.05</v>
      </c>
    </row>
    <row r="155" spans="1:6" ht="26.5" thickBot="1">
      <c r="A155" s="840" t="s">
        <v>56</v>
      </c>
      <c r="B155" s="834" t="s">
        <v>909</v>
      </c>
      <c r="C155" s="1077"/>
      <c r="D155" s="1077"/>
      <c r="E155" s="1077"/>
      <c r="F155" s="1065">
        <v>0.05</v>
      </c>
    </row>
    <row r="156" spans="1:6" ht="26.5" thickBot="1">
      <c r="A156" s="840" t="s">
        <v>56</v>
      </c>
      <c r="B156" s="834" t="s">
        <v>910</v>
      </c>
      <c r="C156" s="1077"/>
      <c r="D156" s="1077"/>
      <c r="E156" s="1077"/>
      <c r="F156" s="1065">
        <v>0.05</v>
      </c>
    </row>
    <row r="157" spans="1:6" ht="14.5" thickBot="1">
      <c r="A157" s="850" t="s">
        <v>56</v>
      </c>
      <c r="B157" s="846" t="s">
        <v>911</v>
      </c>
      <c r="C157" s="1074"/>
      <c r="D157" s="1074"/>
      <c r="E157" s="1074"/>
      <c r="F157" s="1067">
        <v>0.05</v>
      </c>
    </row>
    <row r="158" spans="1:6" ht="14.5" thickBot="1">
      <c r="A158" s="840" t="s">
        <v>526</v>
      </c>
      <c r="B158" s="841" t="s">
        <v>912</v>
      </c>
      <c r="C158" s="1062">
        <v>0.13</v>
      </c>
      <c r="D158" s="1062">
        <v>0.13</v>
      </c>
      <c r="E158" s="1062">
        <v>0.13</v>
      </c>
      <c r="F158" s="1063">
        <v>0.13</v>
      </c>
    </row>
    <row r="159" spans="1:6" ht="14.5" thickBot="1">
      <c r="A159" s="840" t="s">
        <v>526</v>
      </c>
      <c r="B159" s="834" t="s">
        <v>193</v>
      </c>
      <c r="C159" s="1064">
        <v>0.13</v>
      </c>
      <c r="D159" s="1064">
        <v>0.13</v>
      </c>
      <c r="E159" s="1064">
        <v>0.13</v>
      </c>
      <c r="F159" s="1065">
        <v>0.13</v>
      </c>
    </row>
    <row r="160" spans="1:6" ht="14.5" thickBot="1">
      <c r="A160" s="840" t="s">
        <v>526</v>
      </c>
      <c r="B160" s="834" t="s">
        <v>206</v>
      </c>
      <c r="C160" s="1064">
        <v>0.13</v>
      </c>
      <c r="D160" s="1064">
        <v>0.13</v>
      </c>
      <c r="E160" s="1064">
        <v>0.129</v>
      </c>
      <c r="F160" s="1065">
        <v>0.13</v>
      </c>
    </row>
    <row r="161" spans="1:6" ht="14.5" thickBot="1">
      <c r="A161" s="840" t="s">
        <v>526</v>
      </c>
      <c r="B161" s="834" t="s">
        <v>219</v>
      </c>
      <c r="C161" s="1064">
        <v>0.128</v>
      </c>
      <c r="D161" s="1064">
        <v>0.128</v>
      </c>
      <c r="E161" s="1064">
        <v>0.125</v>
      </c>
      <c r="F161" s="1065">
        <v>0.13</v>
      </c>
    </row>
    <row r="162" spans="1:6" ht="14.5" thickBot="1">
      <c r="A162" s="840" t="s">
        <v>526</v>
      </c>
      <c r="B162" s="834" t="s">
        <v>231</v>
      </c>
      <c r="C162" s="1064">
        <v>0.122</v>
      </c>
      <c r="D162" s="1064">
        <v>0.122</v>
      </c>
      <c r="E162" s="1064">
        <v>0.126</v>
      </c>
      <c r="F162" s="1065">
        <v>0.122</v>
      </c>
    </row>
    <row r="163" spans="1:6" ht="14.5" thickBot="1">
      <c r="A163" s="840" t="s">
        <v>526</v>
      </c>
      <c r="B163" s="834" t="s">
        <v>242</v>
      </c>
      <c r="C163" s="1064">
        <v>0.13</v>
      </c>
      <c r="D163" s="1064">
        <v>0.13</v>
      </c>
      <c r="E163" s="1064">
        <v>0.125</v>
      </c>
      <c r="F163" s="1065">
        <v>0.13</v>
      </c>
    </row>
    <row r="164" spans="1:6" ht="14.5" thickBot="1">
      <c r="A164" s="840" t="s">
        <v>526</v>
      </c>
      <c r="B164" s="834" t="s">
        <v>253</v>
      </c>
      <c r="C164" s="1064">
        <v>0.13</v>
      </c>
      <c r="D164" s="1064">
        <v>0.13</v>
      </c>
      <c r="E164" s="1064">
        <v>0.13</v>
      </c>
      <c r="F164" s="1065">
        <v>0.13</v>
      </c>
    </row>
    <row r="165" spans="1:6" ht="14.5" thickBot="1">
      <c r="A165" s="840" t="s">
        <v>526</v>
      </c>
      <c r="B165" s="834" t="s">
        <v>264</v>
      </c>
      <c r="C165" s="1064">
        <v>0.13</v>
      </c>
      <c r="D165" s="1064">
        <v>0.13</v>
      </c>
      <c r="E165" s="1064">
        <v>0.124</v>
      </c>
      <c r="F165" s="1065">
        <v>0.13</v>
      </c>
    </row>
    <row r="166" spans="1:6" ht="14.5" thickBot="1">
      <c r="A166" s="840" t="s">
        <v>526</v>
      </c>
      <c r="B166" s="834" t="s">
        <v>276</v>
      </c>
      <c r="C166" s="1064">
        <v>0.13</v>
      </c>
      <c r="D166" s="1064">
        <v>0.13</v>
      </c>
      <c r="E166" s="1064">
        <v>0.13</v>
      </c>
      <c r="F166" s="1065">
        <v>0.13</v>
      </c>
    </row>
    <row r="167" spans="1:6" ht="14.5" thickBot="1">
      <c r="A167" s="840" t="s">
        <v>526</v>
      </c>
      <c r="B167" s="834" t="s">
        <v>286</v>
      </c>
      <c r="C167" s="1064">
        <v>0.125</v>
      </c>
      <c r="D167" s="1064">
        <v>0.125</v>
      </c>
      <c r="E167" s="1064">
        <v>0.121</v>
      </c>
      <c r="F167" s="1076"/>
    </row>
    <row r="168" spans="1:6" ht="14.5" thickBot="1">
      <c r="A168" s="840" t="s">
        <v>526</v>
      </c>
      <c r="B168" s="834" t="s">
        <v>296</v>
      </c>
      <c r="C168" s="1064">
        <v>0.13</v>
      </c>
      <c r="D168" s="1064">
        <v>0.13</v>
      </c>
      <c r="E168" s="1064">
        <v>0.126</v>
      </c>
      <c r="F168" s="1076"/>
    </row>
    <row r="169" spans="1:6" ht="14.5" thickBot="1">
      <c r="A169" s="840" t="s">
        <v>526</v>
      </c>
      <c r="B169" s="834" t="s">
        <v>306</v>
      </c>
      <c r="C169" s="1064">
        <v>0.128</v>
      </c>
      <c r="D169" s="1064">
        <v>0.129</v>
      </c>
      <c r="E169" s="1064">
        <v>0.13</v>
      </c>
      <c r="F169" s="1076"/>
    </row>
    <row r="170" spans="1:6" ht="14.5" thickBot="1">
      <c r="A170" s="840" t="s">
        <v>526</v>
      </c>
      <c r="B170" s="834" t="s">
        <v>316</v>
      </c>
      <c r="C170" s="1064">
        <v>0.14099999999999999</v>
      </c>
      <c r="D170" s="1064">
        <v>0.13</v>
      </c>
      <c r="E170" s="1064">
        <v>0.125</v>
      </c>
      <c r="F170" s="1076"/>
    </row>
    <row r="171" spans="1:6" ht="14.5" thickBot="1">
      <c r="A171" s="840" t="s">
        <v>526</v>
      </c>
      <c r="B171" s="834" t="s">
        <v>913</v>
      </c>
      <c r="C171" s="1064">
        <v>0.127</v>
      </c>
      <c r="D171" s="1064">
        <v>0.126</v>
      </c>
      <c r="E171" s="1064">
        <v>0.126</v>
      </c>
      <c r="F171" s="1065">
        <v>0.11799999999999999</v>
      </c>
    </row>
    <row r="172" spans="1:6" ht="14.5" thickBot="1">
      <c r="A172" s="840" t="s">
        <v>526</v>
      </c>
      <c r="B172" s="834" t="s">
        <v>914</v>
      </c>
      <c r="C172" s="1064">
        <v>0.13</v>
      </c>
      <c r="D172" s="1064">
        <v>0.13</v>
      </c>
      <c r="E172" s="1064">
        <v>0.13</v>
      </c>
      <c r="F172" s="1076"/>
    </row>
    <row r="173" spans="1:6" ht="14.5" thickBot="1">
      <c r="A173" s="840" t="s">
        <v>526</v>
      </c>
      <c r="B173" s="834" t="s">
        <v>348</v>
      </c>
      <c r="C173" s="1064">
        <v>0.13</v>
      </c>
      <c r="D173" s="1064">
        <v>0.13</v>
      </c>
      <c r="E173" s="1064">
        <v>0.13</v>
      </c>
      <c r="F173" s="1076"/>
    </row>
    <row r="174" spans="1:6" ht="14.5" thickBot="1">
      <c r="A174" s="840" t="s">
        <v>526</v>
      </c>
      <c r="B174" s="834" t="s">
        <v>915</v>
      </c>
      <c r="C174" s="1064">
        <v>0.13</v>
      </c>
      <c r="D174" s="1064">
        <v>0.13</v>
      </c>
      <c r="E174" s="1064">
        <v>0.13</v>
      </c>
      <c r="F174" s="1065">
        <v>0.13</v>
      </c>
    </row>
    <row r="175" spans="1:6" ht="14.5" thickBot="1">
      <c r="A175" s="840" t="s">
        <v>526</v>
      </c>
      <c r="B175" s="834" t="s">
        <v>916</v>
      </c>
      <c r="C175" s="1064">
        <v>0.13</v>
      </c>
      <c r="D175" s="1064">
        <v>0.13</v>
      </c>
      <c r="E175" s="1064">
        <v>0.13</v>
      </c>
      <c r="F175" s="1065">
        <v>0.13</v>
      </c>
    </row>
    <row r="176" spans="1:6" ht="14.5" thickBot="1">
      <c r="A176" s="840" t="s">
        <v>526</v>
      </c>
      <c r="B176" s="834" t="s">
        <v>378</v>
      </c>
      <c r="C176" s="1064">
        <v>0.13</v>
      </c>
      <c r="D176" s="1064">
        <v>0.13</v>
      </c>
      <c r="E176" s="1064">
        <v>0.13</v>
      </c>
      <c r="F176" s="1065">
        <v>0.13</v>
      </c>
    </row>
    <row r="177" spans="1:6" ht="14.5" thickBot="1">
      <c r="A177" s="840" t="s">
        <v>526</v>
      </c>
      <c r="B177" s="834" t="s">
        <v>917</v>
      </c>
      <c r="C177" s="1064">
        <v>0.13</v>
      </c>
      <c r="D177" s="1064">
        <v>0.13</v>
      </c>
      <c r="E177" s="1064">
        <v>0.13</v>
      </c>
      <c r="F177" s="1065">
        <v>0.13</v>
      </c>
    </row>
    <row r="178" spans="1:6" ht="14.5" thickBot="1">
      <c r="A178" s="840" t="s">
        <v>526</v>
      </c>
      <c r="B178" s="834" t="s">
        <v>396</v>
      </c>
      <c r="C178" s="1064">
        <v>0.13</v>
      </c>
      <c r="D178" s="1064">
        <v>0.13</v>
      </c>
      <c r="E178" s="1064">
        <v>0.13</v>
      </c>
      <c r="F178" s="1065">
        <v>0.127</v>
      </c>
    </row>
    <row r="179" spans="1:6" ht="14.5" thickBot="1">
      <c r="A179" s="840" t="s">
        <v>526</v>
      </c>
      <c r="B179" s="834" t="s">
        <v>404</v>
      </c>
      <c r="C179" s="1064">
        <v>0.13</v>
      </c>
      <c r="D179" s="1064">
        <v>0.13</v>
      </c>
      <c r="E179" s="1064">
        <v>0.13</v>
      </c>
      <c r="F179" s="1076"/>
    </row>
    <row r="180" spans="1:6" ht="14.5" thickBot="1">
      <c r="A180" s="840" t="s">
        <v>526</v>
      </c>
      <c r="B180" s="834" t="s">
        <v>918</v>
      </c>
      <c r="C180" s="1064">
        <v>0.13</v>
      </c>
      <c r="D180" s="1064">
        <v>0.13</v>
      </c>
      <c r="E180" s="1064">
        <v>0.125</v>
      </c>
      <c r="F180" s="1065">
        <v>0.13</v>
      </c>
    </row>
    <row r="181" spans="1:6" ht="14.5" thickBot="1">
      <c r="A181" s="840" t="s">
        <v>526</v>
      </c>
      <c r="B181" s="834" t="s">
        <v>418</v>
      </c>
      <c r="C181" s="1064">
        <v>0.122</v>
      </c>
      <c r="D181" s="1064">
        <v>0.123</v>
      </c>
      <c r="E181" s="1064">
        <v>0.126</v>
      </c>
      <c r="F181" s="1065">
        <v>0.121</v>
      </c>
    </row>
    <row r="182" spans="1:6" ht="14.5" thickBot="1">
      <c r="A182" s="840" t="s">
        <v>526</v>
      </c>
      <c r="B182" s="834" t="s">
        <v>425</v>
      </c>
      <c r="C182" s="1064">
        <v>0.125</v>
      </c>
      <c r="D182" s="1064">
        <v>0.125</v>
      </c>
      <c r="E182" s="1064">
        <v>0.11700000000000001</v>
      </c>
      <c r="F182" s="1065">
        <v>0.13</v>
      </c>
    </row>
    <row r="183" spans="1:6" ht="14.5" thickBot="1">
      <c r="A183" s="840" t="s">
        <v>526</v>
      </c>
      <c r="B183" s="834" t="s">
        <v>432</v>
      </c>
      <c r="C183" s="1064">
        <v>0.127</v>
      </c>
      <c r="D183" s="1064">
        <v>0.127</v>
      </c>
      <c r="E183" s="1064">
        <v>0.128</v>
      </c>
      <c r="F183" s="1076"/>
    </row>
    <row r="184" spans="1:6" ht="14.5" thickBot="1">
      <c r="A184" s="840" t="s">
        <v>526</v>
      </c>
      <c r="B184" s="834" t="s">
        <v>439</v>
      </c>
      <c r="C184" s="1064">
        <v>0.125</v>
      </c>
      <c r="D184" s="1064">
        <v>0.125</v>
      </c>
      <c r="E184" s="1064">
        <v>0.127</v>
      </c>
      <c r="F184" s="1076"/>
    </row>
    <row r="185" spans="1:6" ht="14.5" thickBot="1">
      <c r="A185" s="840" t="s">
        <v>526</v>
      </c>
      <c r="B185" s="834" t="s">
        <v>919</v>
      </c>
      <c r="C185" s="1064">
        <v>0.127</v>
      </c>
      <c r="D185" s="1064">
        <v>0.127</v>
      </c>
      <c r="E185" s="1064">
        <v>0.128</v>
      </c>
      <c r="F185" s="1065">
        <v>0.13</v>
      </c>
    </row>
    <row r="186" spans="1:6" ht="26.5" thickBot="1">
      <c r="A186" s="840" t="s">
        <v>526</v>
      </c>
      <c r="B186" s="834" t="s">
        <v>920</v>
      </c>
      <c r="C186" s="1077"/>
      <c r="D186" s="1077"/>
      <c r="E186" s="1077"/>
      <c r="F186" s="1065">
        <v>0.05</v>
      </c>
    </row>
    <row r="187" spans="1:6" ht="14.5" thickBot="1">
      <c r="A187" s="840" t="s">
        <v>526</v>
      </c>
      <c r="B187" s="834" t="s">
        <v>921</v>
      </c>
      <c r="C187" s="1077"/>
      <c r="D187" s="1077"/>
      <c r="E187" s="1077"/>
      <c r="F187" s="1065">
        <v>0.05</v>
      </c>
    </row>
    <row r="188" spans="1:6" ht="26.5" thickBot="1">
      <c r="A188" s="840" t="s">
        <v>526</v>
      </c>
      <c r="B188" s="834" t="s">
        <v>922</v>
      </c>
      <c r="C188" s="1077"/>
      <c r="D188" s="1077"/>
      <c r="E188" s="1077"/>
      <c r="F188" s="1065">
        <v>0.05</v>
      </c>
    </row>
    <row r="189" spans="1:6" ht="26.5" thickBot="1">
      <c r="A189" s="840" t="s">
        <v>526</v>
      </c>
      <c r="B189" s="834" t="s">
        <v>923</v>
      </c>
      <c r="C189" s="1077"/>
      <c r="D189" s="1077"/>
      <c r="E189" s="1077"/>
      <c r="F189" s="1065">
        <v>0.05</v>
      </c>
    </row>
    <row r="190" spans="1:6" ht="26.5" thickBot="1">
      <c r="A190" s="840" t="s">
        <v>526</v>
      </c>
      <c r="B190" s="834" t="s">
        <v>924</v>
      </c>
      <c r="C190" s="1077"/>
      <c r="D190" s="1077"/>
      <c r="E190" s="1077"/>
      <c r="F190" s="1065">
        <v>0.05</v>
      </c>
    </row>
    <row r="191" spans="1:6" ht="26.5" thickBot="1">
      <c r="A191" s="840" t="s">
        <v>526</v>
      </c>
      <c r="B191" s="834" t="s">
        <v>925</v>
      </c>
      <c r="C191" s="1077"/>
      <c r="D191" s="1077"/>
      <c r="E191" s="1077"/>
      <c r="F191" s="1065">
        <v>0.05</v>
      </c>
    </row>
    <row r="192" spans="1:6" ht="26.5" thickBot="1">
      <c r="A192" s="840" t="s">
        <v>526</v>
      </c>
      <c r="B192" s="834" t="s">
        <v>926</v>
      </c>
      <c r="C192" s="1077"/>
      <c r="D192" s="1077"/>
      <c r="E192" s="1077"/>
      <c r="F192" s="1065">
        <v>0.05</v>
      </c>
    </row>
    <row r="193" spans="1:6" ht="26.5" thickBot="1">
      <c r="A193" s="840" t="s">
        <v>526</v>
      </c>
      <c r="B193" s="834" t="s">
        <v>927</v>
      </c>
      <c r="C193" s="1077"/>
      <c r="D193" s="1077"/>
      <c r="E193" s="1077"/>
      <c r="F193" s="1065">
        <v>0.05</v>
      </c>
    </row>
    <row r="194" spans="1:6" ht="26.5" thickBot="1">
      <c r="A194" s="840" t="s">
        <v>526</v>
      </c>
      <c r="B194" s="834" t="s">
        <v>928</v>
      </c>
      <c r="C194" s="1077"/>
      <c r="D194" s="1077"/>
      <c r="E194" s="1077"/>
      <c r="F194" s="1065">
        <v>0.05</v>
      </c>
    </row>
    <row r="195" spans="1:6" ht="14.5" thickBot="1">
      <c r="A195" s="840" t="s">
        <v>526</v>
      </c>
      <c r="B195" s="834" t="s">
        <v>929</v>
      </c>
      <c r="C195" s="1077"/>
      <c r="D195" s="1077"/>
      <c r="E195" s="1077"/>
      <c r="F195" s="1065">
        <v>0.05</v>
      </c>
    </row>
    <row r="196" spans="1:6" ht="26.5" thickBot="1">
      <c r="A196" s="840" t="s">
        <v>526</v>
      </c>
      <c r="B196" s="834" t="s">
        <v>930</v>
      </c>
      <c r="C196" s="1077"/>
      <c r="D196" s="1077"/>
      <c r="E196" s="1077"/>
      <c r="F196" s="1065">
        <v>0.05</v>
      </c>
    </row>
    <row r="197" spans="1:6" ht="26.5" thickBot="1">
      <c r="A197" s="840" t="s">
        <v>526</v>
      </c>
      <c r="B197" s="834" t="s">
        <v>931</v>
      </c>
      <c r="C197" s="1077"/>
      <c r="D197" s="1077"/>
      <c r="E197" s="1077"/>
      <c r="F197" s="1065">
        <v>0.05</v>
      </c>
    </row>
    <row r="198" spans="1:6" ht="26.5" thickBot="1">
      <c r="A198" s="840" t="s">
        <v>526</v>
      </c>
      <c r="B198" s="834" t="s">
        <v>932</v>
      </c>
      <c r="C198" s="1077"/>
      <c r="D198" s="1077"/>
      <c r="E198" s="1077"/>
      <c r="F198" s="1065">
        <v>0.05</v>
      </c>
    </row>
    <row r="199" spans="1:6" ht="26.5" thickBot="1">
      <c r="A199" s="840" t="s">
        <v>526</v>
      </c>
      <c r="B199" s="834" t="s">
        <v>933</v>
      </c>
      <c r="C199" s="1077"/>
      <c r="D199" s="1077"/>
      <c r="E199" s="1077"/>
      <c r="F199" s="1065">
        <v>0.05</v>
      </c>
    </row>
    <row r="200" spans="1:6" ht="26.5" thickBot="1">
      <c r="A200" s="840" t="s">
        <v>526</v>
      </c>
      <c r="B200" s="834" t="s">
        <v>934</v>
      </c>
      <c r="C200" s="1077"/>
      <c r="D200" s="1077"/>
      <c r="E200" s="1077"/>
      <c r="F200" s="1065">
        <v>0.05</v>
      </c>
    </row>
    <row r="201" spans="1:6" ht="26.5" thickBot="1">
      <c r="A201" s="840" t="s">
        <v>526</v>
      </c>
      <c r="B201" s="834" t="s">
        <v>935</v>
      </c>
      <c r="C201" s="1077"/>
      <c r="D201" s="1077"/>
      <c r="E201" s="1077"/>
      <c r="F201" s="1065">
        <v>0.05</v>
      </c>
    </row>
    <row r="202" spans="1:6" ht="26.5" thickBot="1">
      <c r="A202" s="840" t="s">
        <v>526</v>
      </c>
      <c r="B202" s="834" t="s">
        <v>936</v>
      </c>
      <c r="C202" s="1077"/>
      <c r="D202" s="1077"/>
      <c r="E202" s="1077"/>
      <c r="F202" s="1065">
        <v>0.05</v>
      </c>
    </row>
    <row r="203" spans="1:6" ht="26.5" thickBot="1">
      <c r="A203" s="840" t="s">
        <v>526</v>
      </c>
      <c r="B203" s="834" t="s">
        <v>937</v>
      </c>
      <c r="C203" s="1077"/>
      <c r="D203" s="1077"/>
      <c r="E203" s="1077"/>
      <c r="F203" s="1065">
        <v>0.05</v>
      </c>
    </row>
    <row r="204" spans="1:6" ht="14.5" thickBot="1">
      <c r="A204" s="840" t="s">
        <v>526</v>
      </c>
      <c r="B204" s="834" t="s">
        <v>938</v>
      </c>
      <c r="C204" s="1077"/>
      <c r="D204" s="1077"/>
      <c r="E204" s="1077"/>
      <c r="F204" s="1065">
        <v>0.05</v>
      </c>
    </row>
    <row r="205" spans="1:6" ht="14.5" thickBot="1">
      <c r="A205" s="850" t="s">
        <v>526</v>
      </c>
      <c r="B205" s="846" t="s">
        <v>939</v>
      </c>
      <c r="C205" s="1074"/>
      <c r="D205" s="1074"/>
      <c r="E205" s="1074"/>
      <c r="F205" s="1067">
        <v>0.05</v>
      </c>
    </row>
    <row r="206" spans="1:6" ht="14.5" thickBot="1">
      <c r="A206" s="840" t="s">
        <v>528</v>
      </c>
      <c r="B206" s="841" t="s">
        <v>940</v>
      </c>
      <c r="C206" s="1062">
        <v>0.15</v>
      </c>
      <c r="D206" s="1062">
        <v>0.15</v>
      </c>
      <c r="E206" s="1062">
        <v>0.15</v>
      </c>
      <c r="F206" s="1063">
        <v>0.15</v>
      </c>
    </row>
    <row r="207" spans="1:6" ht="14.5" thickBot="1">
      <c r="A207" s="840" t="s">
        <v>528</v>
      </c>
      <c r="B207" s="834" t="s">
        <v>194</v>
      </c>
      <c r="C207" s="1064">
        <v>0.15</v>
      </c>
      <c r="D207" s="1064">
        <v>0.15</v>
      </c>
      <c r="E207" s="1064">
        <v>0.15</v>
      </c>
      <c r="F207" s="1065">
        <v>0.14399999999999999</v>
      </c>
    </row>
    <row r="208" spans="1:6" ht="14.5" thickBot="1">
      <c r="A208" s="840" t="s">
        <v>528</v>
      </c>
      <c r="B208" s="834" t="s">
        <v>207</v>
      </c>
      <c r="C208" s="1064">
        <v>0.15</v>
      </c>
      <c r="D208" s="1064">
        <v>0.15</v>
      </c>
      <c r="E208" s="1064">
        <v>0.15</v>
      </c>
      <c r="F208" s="1065">
        <v>0.15</v>
      </c>
    </row>
    <row r="209" spans="1:6" ht="14.5" thickBot="1">
      <c r="A209" s="840" t="s">
        <v>528</v>
      </c>
      <c r="B209" s="834" t="s">
        <v>220</v>
      </c>
      <c r="C209" s="1064">
        <v>0.13700000000000001</v>
      </c>
      <c r="D209" s="1064">
        <v>0.13700000000000001</v>
      </c>
      <c r="E209" s="1064">
        <v>0.14000000000000001</v>
      </c>
      <c r="F209" s="1065">
        <v>0.11700000000000001</v>
      </c>
    </row>
    <row r="210" spans="1:6" ht="14.5" thickBot="1">
      <c r="A210" s="840" t="s">
        <v>528</v>
      </c>
      <c r="B210" s="834" t="s">
        <v>941</v>
      </c>
      <c r="C210" s="1064">
        <v>0.15</v>
      </c>
      <c r="D210" s="1064">
        <v>0.15</v>
      </c>
      <c r="E210" s="1064">
        <v>0.15</v>
      </c>
      <c r="F210" s="1065">
        <v>0.13800000000000001</v>
      </c>
    </row>
    <row r="211" spans="1:6" ht="14.5" thickBot="1">
      <c r="A211" s="840" t="s">
        <v>528</v>
      </c>
      <c r="B211" s="834" t="s">
        <v>942</v>
      </c>
      <c r="C211" s="1064">
        <v>0.13700000000000001</v>
      </c>
      <c r="D211" s="1064">
        <v>0.13500000000000001</v>
      </c>
      <c r="E211" s="1064">
        <v>0.13600000000000001</v>
      </c>
      <c r="F211" s="1065">
        <v>0.1</v>
      </c>
    </row>
    <row r="212" spans="1:6" ht="14.5" thickBot="1">
      <c r="A212" s="840" t="s">
        <v>528</v>
      </c>
      <c r="B212" s="834" t="s">
        <v>943</v>
      </c>
      <c r="C212" s="1064">
        <v>0.15</v>
      </c>
      <c r="D212" s="1064">
        <v>0.15</v>
      </c>
      <c r="E212" s="1064">
        <v>0.14799999999999999</v>
      </c>
      <c r="F212" s="1065">
        <v>0.13600000000000001</v>
      </c>
    </row>
    <row r="213" spans="1:6" ht="14.5" thickBot="1">
      <c r="A213" s="840" t="s">
        <v>528</v>
      </c>
      <c r="B213" s="834" t="s">
        <v>265</v>
      </c>
      <c r="C213" s="1064">
        <v>0.15</v>
      </c>
      <c r="D213" s="1064">
        <v>0.15</v>
      </c>
      <c r="E213" s="1064">
        <v>0.15</v>
      </c>
      <c r="F213" s="1065">
        <v>0.13800000000000001</v>
      </c>
    </row>
    <row r="214" spans="1:6" ht="14.5" thickBot="1">
      <c r="A214" s="840" t="s">
        <v>528</v>
      </c>
      <c r="B214" s="834" t="s">
        <v>277</v>
      </c>
      <c r="C214" s="1064">
        <v>9.0999999999999998E-2</v>
      </c>
      <c r="D214" s="1064">
        <v>0.09</v>
      </c>
      <c r="E214" s="1064">
        <v>9.1999999999999998E-2</v>
      </c>
      <c r="F214" s="1076"/>
    </row>
    <row r="215" spans="1:6" ht="14.5" thickBot="1">
      <c r="A215" s="840" t="s">
        <v>528</v>
      </c>
      <c r="B215" s="834" t="s">
        <v>944</v>
      </c>
      <c r="C215" s="1064">
        <v>0.15</v>
      </c>
      <c r="D215" s="1064">
        <v>0.15</v>
      </c>
      <c r="E215" s="1064">
        <v>0.15</v>
      </c>
      <c r="F215" s="1065">
        <v>0.15</v>
      </c>
    </row>
    <row r="216" spans="1:6" ht="14.5" thickBot="1">
      <c r="A216" s="840" t="s">
        <v>528</v>
      </c>
      <c r="B216" s="834" t="s">
        <v>297</v>
      </c>
      <c r="C216" s="1064">
        <v>0.14699999999999999</v>
      </c>
      <c r="D216" s="1064">
        <v>0.14699999999999999</v>
      </c>
      <c r="E216" s="1064">
        <v>0.15</v>
      </c>
      <c r="F216" s="1065">
        <v>0.14000000000000001</v>
      </c>
    </row>
    <row r="217" spans="1:6" ht="14.5" thickBot="1">
      <c r="A217" s="840" t="s">
        <v>528</v>
      </c>
      <c r="B217" s="834" t="s">
        <v>307</v>
      </c>
      <c r="C217" s="1064">
        <v>0.15</v>
      </c>
      <c r="D217" s="1064">
        <v>0.15</v>
      </c>
      <c r="E217" s="1064">
        <v>0.15</v>
      </c>
      <c r="F217" s="1065">
        <v>0.15</v>
      </c>
    </row>
    <row r="218" spans="1:6" ht="14.5" thickBot="1">
      <c r="A218" s="840" t="s">
        <v>528</v>
      </c>
      <c r="B218" s="834" t="s">
        <v>945</v>
      </c>
      <c r="C218" s="1064">
        <v>0.15</v>
      </c>
      <c r="D218" s="1064">
        <v>0.15</v>
      </c>
      <c r="E218" s="1064">
        <v>0.15</v>
      </c>
      <c r="F218" s="1065">
        <v>0.15</v>
      </c>
    </row>
    <row r="219" spans="1:6" ht="14.5" thickBot="1">
      <c r="A219" s="840" t="s">
        <v>528</v>
      </c>
      <c r="B219" s="834" t="s">
        <v>328</v>
      </c>
      <c r="C219" s="1064">
        <v>0.15</v>
      </c>
      <c r="D219" s="1064">
        <v>0.15</v>
      </c>
      <c r="E219" s="1064">
        <v>0.15</v>
      </c>
      <c r="F219" s="1065">
        <v>0.14799999999999999</v>
      </c>
    </row>
    <row r="220" spans="1:6" ht="14.5" thickBot="1">
      <c r="A220" s="840" t="s">
        <v>528</v>
      </c>
      <c r="B220" s="834" t="s">
        <v>946</v>
      </c>
      <c r="C220" s="1064">
        <v>0.15</v>
      </c>
      <c r="D220" s="1064">
        <v>0.15</v>
      </c>
      <c r="E220" s="1064">
        <v>0.15</v>
      </c>
      <c r="F220" s="1065">
        <v>0.15</v>
      </c>
    </row>
    <row r="221" spans="1:6" ht="14.5" thickBot="1">
      <c r="A221" s="840" t="s">
        <v>528</v>
      </c>
      <c r="B221" s="834" t="s">
        <v>349</v>
      </c>
      <c r="C221" s="1064"/>
      <c r="D221" s="1077"/>
      <c r="E221" s="1077"/>
      <c r="F221" s="1065">
        <v>0.14799999999999999</v>
      </c>
    </row>
    <row r="222" spans="1:6" ht="14.5" thickBot="1">
      <c r="A222" s="840" t="s">
        <v>528</v>
      </c>
      <c r="B222" s="834" t="s">
        <v>359</v>
      </c>
      <c r="C222" s="1064"/>
      <c r="D222" s="1077"/>
      <c r="E222" s="1077"/>
      <c r="F222" s="1065">
        <v>0.1</v>
      </c>
    </row>
    <row r="223" spans="1:6" ht="14.5" thickBot="1">
      <c r="A223" s="840" t="s">
        <v>528</v>
      </c>
      <c r="B223" s="834" t="s">
        <v>369</v>
      </c>
      <c r="C223" s="1064"/>
      <c r="D223" s="1077"/>
      <c r="E223" s="1077"/>
      <c r="F223" s="1065">
        <v>0.15</v>
      </c>
    </row>
    <row r="224" spans="1:6" ht="14.5" thickBot="1">
      <c r="A224" s="840" t="s">
        <v>528</v>
      </c>
      <c r="B224" s="834" t="s">
        <v>379</v>
      </c>
      <c r="C224" s="1064"/>
      <c r="D224" s="1077"/>
      <c r="E224" s="1077"/>
      <c r="F224" s="1065">
        <v>0.15</v>
      </c>
    </row>
    <row r="225" spans="1:6" ht="14.5" thickBot="1">
      <c r="A225" s="840" t="s">
        <v>528</v>
      </c>
      <c r="B225" s="834" t="s">
        <v>947</v>
      </c>
      <c r="C225" s="1064">
        <v>0.15</v>
      </c>
      <c r="D225" s="1064">
        <v>0.15</v>
      </c>
      <c r="E225" s="1064">
        <v>0.15</v>
      </c>
      <c r="F225" s="1065">
        <v>0.15</v>
      </c>
    </row>
    <row r="226" spans="1:6" ht="14.5" thickBot="1">
      <c r="A226" s="840" t="s">
        <v>528</v>
      </c>
      <c r="B226" s="834" t="s">
        <v>397</v>
      </c>
      <c r="C226" s="1064">
        <v>0.15</v>
      </c>
      <c r="D226" s="1064">
        <v>0.15</v>
      </c>
      <c r="E226" s="1064">
        <v>0.15</v>
      </c>
      <c r="F226" s="1065">
        <v>0.14799999999999999</v>
      </c>
    </row>
    <row r="227" spans="1:6" ht="14.5" thickBot="1">
      <c r="A227" s="840" t="s">
        <v>528</v>
      </c>
      <c r="B227" s="834" t="s">
        <v>948</v>
      </c>
      <c r="C227" s="1064">
        <v>0.15</v>
      </c>
      <c r="D227" s="1064">
        <v>0.15</v>
      </c>
      <c r="E227" s="1064">
        <v>0.15</v>
      </c>
      <c r="F227" s="1065">
        <v>0.15</v>
      </c>
    </row>
    <row r="228" spans="1:6" ht="14.5" thickBot="1">
      <c r="A228" s="840" t="s">
        <v>528</v>
      </c>
      <c r="B228" s="834" t="s">
        <v>412</v>
      </c>
      <c r="C228" s="1064">
        <v>0.15</v>
      </c>
      <c r="D228" s="1064">
        <v>0.15</v>
      </c>
      <c r="E228" s="1064">
        <v>0.15</v>
      </c>
      <c r="F228" s="1065">
        <v>0.15</v>
      </c>
    </row>
    <row r="229" spans="1:6" ht="14.5" thickBot="1">
      <c r="A229" s="840" t="s">
        <v>528</v>
      </c>
      <c r="B229" s="834" t="s">
        <v>419</v>
      </c>
      <c r="C229" s="1064">
        <v>0.15</v>
      </c>
      <c r="D229" s="1064">
        <v>0.15</v>
      </c>
      <c r="E229" s="1064">
        <v>0.15</v>
      </c>
      <c r="F229" s="1076"/>
    </row>
    <row r="230" spans="1:6" ht="14.5" thickBot="1">
      <c r="A230" s="840" t="s">
        <v>528</v>
      </c>
      <c r="B230" s="834" t="s">
        <v>426</v>
      </c>
      <c r="C230" s="1064">
        <v>0.14499999999999999</v>
      </c>
      <c r="D230" s="1064">
        <v>0.14499999999999999</v>
      </c>
      <c r="E230" s="1064">
        <v>0.14399999999999999</v>
      </c>
      <c r="F230" s="1076"/>
    </row>
    <row r="231" spans="1:6" ht="14.5" thickBot="1">
      <c r="A231" s="840" t="s">
        <v>528</v>
      </c>
      <c r="B231" s="834" t="s">
        <v>949</v>
      </c>
      <c r="C231" s="1064">
        <v>0.128</v>
      </c>
      <c r="D231" s="1064">
        <v>0.125</v>
      </c>
      <c r="E231" s="1064">
        <v>0.13200000000000001</v>
      </c>
      <c r="F231" s="1076"/>
    </row>
    <row r="232" spans="1:6" ht="14.5" thickBot="1">
      <c r="A232" s="840" t="s">
        <v>528</v>
      </c>
      <c r="B232" s="834" t="s">
        <v>950</v>
      </c>
      <c r="C232" s="1064">
        <v>0.14499999999999999</v>
      </c>
      <c r="D232" s="1064">
        <v>0.14399999999999999</v>
      </c>
      <c r="E232" s="1064">
        <v>0.14599999999999999</v>
      </c>
      <c r="F232" s="1065">
        <v>0.13800000000000001</v>
      </c>
    </row>
    <row r="233" spans="1:6" ht="14.5" thickBot="1">
      <c r="A233" s="840" t="s">
        <v>528</v>
      </c>
      <c r="B233" s="834" t="s">
        <v>951</v>
      </c>
      <c r="C233" s="1064">
        <v>0.14499999999999999</v>
      </c>
      <c r="D233" s="1064">
        <v>0.14299999999999999</v>
      </c>
      <c r="E233" s="1064">
        <v>0.14199999999999999</v>
      </c>
      <c r="F233" s="1076"/>
    </row>
    <row r="234" spans="1:6" ht="14.5" thickBot="1">
      <c r="A234" s="840" t="s">
        <v>528</v>
      </c>
      <c r="B234" s="834" t="s">
        <v>952</v>
      </c>
      <c r="C234" s="1064">
        <v>0.14000000000000001</v>
      </c>
      <c r="D234" s="1064">
        <v>0.14000000000000001</v>
      </c>
      <c r="E234" s="1064">
        <v>0.14399999999999999</v>
      </c>
      <c r="F234" s="1076"/>
    </row>
    <row r="235" spans="1:6" ht="14.5" thickBot="1">
      <c r="A235" s="840" t="s">
        <v>528</v>
      </c>
      <c r="B235" s="834" t="s">
        <v>953</v>
      </c>
      <c r="C235" s="1064">
        <v>0.14099999999999999</v>
      </c>
      <c r="D235" s="1064">
        <v>0.14199999999999999</v>
      </c>
      <c r="E235" s="1064">
        <v>0.14499999999999999</v>
      </c>
      <c r="F235" s="1065">
        <v>0.15</v>
      </c>
    </row>
    <row r="236" spans="1:6" ht="14.5" thickBot="1">
      <c r="A236" s="840" t="s">
        <v>528</v>
      </c>
      <c r="B236" s="834" t="s">
        <v>461</v>
      </c>
      <c r="C236" s="1077"/>
      <c r="D236" s="1077"/>
      <c r="E236" s="1077"/>
      <c r="F236" s="1065">
        <v>0.14299999999999999</v>
      </c>
    </row>
    <row r="237" spans="1:6" ht="26.5" thickBot="1">
      <c r="A237" s="840" t="s">
        <v>528</v>
      </c>
      <c r="B237" s="834" t="s">
        <v>954</v>
      </c>
      <c r="C237" s="1077"/>
      <c r="D237" s="1077"/>
      <c r="E237" s="1077"/>
      <c r="F237" s="1065">
        <v>0.05</v>
      </c>
    </row>
    <row r="238" spans="1:6" ht="26.5" thickBot="1">
      <c r="A238" s="840" t="s">
        <v>528</v>
      </c>
      <c r="B238" s="834" t="s">
        <v>955</v>
      </c>
      <c r="C238" s="1077"/>
      <c r="D238" s="1077"/>
      <c r="E238" s="1077"/>
      <c r="F238" s="1065">
        <v>0.05</v>
      </c>
    </row>
    <row r="239" spans="1:6" ht="26.5" thickBot="1">
      <c r="A239" s="840" t="s">
        <v>528</v>
      </c>
      <c r="B239" s="834" t="s">
        <v>956</v>
      </c>
      <c r="C239" s="1077"/>
      <c r="D239" s="1077"/>
      <c r="E239" s="1077"/>
      <c r="F239" s="1065">
        <v>0.05</v>
      </c>
    </row>
    <row r="240" spans="1:6" ht="26.5" thickBot="1">
      <c r="A240" s="840" t="s">
        <v>528</v>
      </c>
      <c r="B240" s="834" t="s">
        <v>957</v>
      </c>
      <c r="C240" s="1077"/>
      <c r="D240" s="1077"/>
      <c r="E240" s="1077"/>
      <c r="F240" s="1065">
        <v>0.05</v>
      </c>
    </row>
    <row r="241" spans="1:6" ht="26.5" thickBot="1">
      <c r="A241" s="840" t="s">
        <v>528</v>
      </c>
      <c r="B241" s="834" t="s">
        <v>958</v>
      </c>
      <c r="C241" s="1077"/>
      <c r="D241" s="1077"/>
      <c r="E241" s="1077"/>
      <c r="F241" s="1065">
        <v>0.05</v>
      </c>
    </row>
    <row r="242" spans="1:6" ht="26.5" thickBot="1">
      <c r="A242" s="840" t="s">
        <v>528</v>
      </c>
      <c r="B242" s="834" t="s">
        <v>959</v>
      </c>
      <c r="C242" s="1077"/>
      <c r="D242" s="1077"/>
      <c r="E242" s="1077"/>
      <c r="F242" s="1065">
        <v>0.05</v>
      </c>
    </row>
    <row r="243" spans="1:6" ht="26.5" thickBot="1">
      <c r="A243" s="840" t="s">
        <v>528</v>
      </c>
      <c r="B243" s="834" t="s">
        <v>960</v>
      </c>
      <c r="C243" s="1077"/>
      <c r="D243" s="1077"/>
      <c r="E243" s="1077"/>
      <c r="F243" s="1065">
        <v>0.05</v>
      </c>
    </row>
    <row r="244" spans="1:6" ht="26.5" thickBot="1">
      <c r="A244" s="850" t="s">
        <v>528</v>
      </c>
      <c r="B244" s="846" t="s">
        <v>961</v>
      </c>
      <c r="C244" s="1074"/>
      <c r="D244" s="1074"/>
      <c r="E244" s="1074"/>
      <c r="F244" s="1067">
        <v>0.05</v>
      </c>
    </row>
    <row r="245" spans="1:6" ht="14.5" thickBot="1">
      <c r="A245" s="840" t="s">
        <v>530</v>
      </c>
      <c r="B245" s="841" t="s">
        <v>962</v>
      </c>
      <c r="C245" s="1062">
        <v>0.15</v>
      </c>
      <c r="D245" s="1062">
        <v>0.15</v>
      </c>
      <c r="E245" s="1062">
        <v>0.15</v>
      </c>
      <c r="F245" s="1063">
        <v>0.14299999999999999</v>
      </c>
    </row>
    <row r="246" spans="1:6" ht="14.5" thickBot="1">
      <c r="A246" s="840" t="s">
        <v>530</v>
      </c>
      <c r="B246" s="834" t="s">
        <v>195</v>
      </c>
      <c r="C246" s="1064">
        <v>0.15</v>
      </c>
      <c r="D246" s="1064">
        <v>0.15</v>
      </c>
      <c r="E246" s="1064">
        <v>0.15</v>
      </c>
      <c r="F246" s="1065">
        <v>0.114</v>
      </c>
    </row>
    <row r="247" spans="1:6" ht="14.5" thickBot="1">
      <c r="A247" s="840" t="s">
        <v>530</v>
      </c>
      <c r="B247" s="834" t="s">
        <v>963</v>
      </c>
      <c r="C247" s="1064">
        <v>0.15</v>
      </c>
      <c r="D247" s="1064">
        <v>0.15</v>
      </c>
      <c r="E247" s="1064">
        <v>0.15</v>
      </c>
      <c r="F247" s="1065">
        <v>0.15</v>
      </c>
    </row>
    <row r="248" spans="1:6" ht="14.5" thickBot="1">
      <c r="A248" s="840" t="s">
        <v>530</v>
      </c>
      <c r="B248" s="834" t="s">
        <v>964</v>
      </c>
      <c r="C248" s="1064">
        <v>0.15</v>
      </c>
      <c r="D248" s="1064">
        <v>0.15</v>
      </c>
      <c r="E248" s="1064">
        <v>0.15</v>
      </c>
      <c r="F248" s="1065">
        <v>0.14000000000000001</v>
      </c>
    </row>
    <row r="249" spans="1:6" ht="14.5" thickBot="1">
      <c r="A249" s="840" t="s">
        <v>530</v>
      </c>
      <c r="B249" s="834" t="s">
        <v>965</v>
      </c>
      <c r="C249" s="1064">
        <v>0.15</v>
      </c>
      <c r="D249" s="1064">
        <v>0.14899999999999999</v>
      </c>
      <c r="E249" s="1064">
        <v>0.15</v>
      </c>
      <c r="F249" s="1065">
        <v>0.1</v>
      </c>
    </row>
    <row r="250" spans="1:6" ht="14.5" thickBot="1">
      <c r="A250" s="840" t="s">
        <v>530</v>
      </c>
      <c r="B250" s="834" t="s">
        <v>966</v>
      </c>
      <c r="C250" s="1064">
        <v>0.15</v>
      </c>
      <c r="D250" s="1064">
        <v>0.15</v>
      </c>
      <c r="E250" s="1064">
        <v>0.15</v>
      </c>
      <c r="F250" s="1065">
        <v>0.14399999999999999</v>
      </c>
    </row>
    <row r="251" spans="1:6" ht="14.5" thickBot="1">
      <c r="A251" s="840" t="s">
        <v>530</v>
      </c>
      <c r="B251" s="834" t="s">
        <v>255</v>
      </c>
      <c r="C251" s="1064">
        <v>0.15</v>
      </c>
      <c r="D251" s="1064">
        <v>0.15</v>
      </c>
      <c r="E251" s="1064">
        <v>0.15</v>
      </c>
      <c r="F251" s="1065">
        <v>0.14299999999999999</v>
      </c>
    </row>
    <row r="252" spans="1:6" ht="14.5" thickBot="1">
      <c r="A252" s="840" t="s">
        <v>530</v>
      </c>
      <c r="B252" s="834" t="s">
        <v>266</v>
      </c>
      <c r="C252" s="1064">
        <v>0.15</v>
      </c>
      <c r="D252" s="1064">
        <v>0.15</v>
      </c>
      <c r="E252" s="1064">
        <v>0.15</v>
      </c>
      <c r="F252" s="1065">
        <v>0.1</v>
      </c>
    </row>
    <row r="253" spans="1:6" ht="14.5" thickBot="1">
      <c r="A253" s="840" t="s">
        <v>530</v>
      </c>
      <c r="B253" s="834" t="s">
        <v>278</v>
      </c>
      <c r="C253" s="1064">
        <v>0.15</v>
      </c>
      <c r="D253" s="1064">
        <v>0.15</v>
      </c>
      <c r="E253" s="1064">
        <v>0.15</v>
      </c>
      <c r="F253" s="1065">
        <v>0.1</v>
      </c>
    </row>
    <row r="254" spans="1:6" ht="14.5" thickBot="1">
      <c r="A254" s="840" t="s">
        <v>530</v>
      </c>
      <c r="B254" s="834" t="s">
        <v>288</v>
      </c>
      <c r="C254" s="1077"/>
      <c r="D254" s="1077"/>
      <c r="E254" s="1077"/>
      <c r="F254" s="1065">
        <v>0.15</v>
      </c>
    </row>
    <row r="255" spans="1:6" ht="14.5" thickBot="1">
      <c r="A255" s="840" t="s">
        <v>530</v>
      </c>
      <c r="B255" s="834" t="s">
        <v>298</v>
      </c>
      <c r="C255" s="1077"/>
      <c r="D255" s="1077"/>
      <c r="E255" s="1077"/>
      <c r="F255" s="1065">
        <v>0.14299999999999999</v>
      </c>
    </row>
    <row r="256" spans="1:6" ht="14.5" thickBot="1">
      <c r="A256" s="840" t="s">
        <v>530</v>
      </c>
      <c r="B256" s="834" t="s">
        <v>967</v>
      </c>
      <c r="C256" s="1064">
        <v>0.14599999999999999</v>
      </c>
      <c r="D256" s="1064">
        <v>0.14699999999999999</v>
      </c>
      <c r="E256" s="1064">
        <v>0.15</v>
      </c>
      <c r="F256" s="1065">
        <v>0.13200000000000001</v>
      </c>
    </row>
    <row r="257" spans="1:6" ht="14.5" thickBot="1">
      <c r="A257" s="840" t="s">
        <v>530</v>
      </c>
      <c r="B257" s="834" t="s">
        <v>318</v>
      </c>
      <c r="C257" s="1064">
        <v>0.15</v>
      </c>
      <c r="D257" s="1064">
        <v>0.15</v>
      </c>
      <c r="E257" s="1064">
        <v>0.15</v>
      </c>
      <c r="F257" s="1065">
        <v>0.13900000000000001</v>
      </c>
    </row>
    <row r="258" spans="1:6" ht="14.5" thickBot="1">
      <c r="A258" s="840" t="s">
        <v>530</v>
      </c>
      <c r="B258" s="834" t="s">
        <v>329</v>
      </c>
      <c r="C258" s="1064">
        <v>0.15</v>
      </c>
      <c r="D258" s="1064">
        <v>0.15</v>
      </c>
      <c r="E258" s="1064">
        <v>0.15</v>
      </c>
      <c r="F258" s="1065">
        <v>0.13</v>
      </c>
    </row>
    <row r="259" spans="1:6" ht="14.5" thickBot="1">
      <c r="A259" s="840" t="s">
        <v>530</v>
      </c>
      <c r="B259" s="834" t="s">
        <v>968</v>
      </c>
      <c r="C259" s="1064">
        <v>0.14799999999999999</v>
      </c>
      <c r="D259" s="1064">
        <v>0.14899999999999999</v>
      </c>
      <c r="E259" s="1064">
        <v>0.15</v>
      </c>
      <c r="F259" s="1065">
        <v>0.13700000000000001</v>
      </c>
    </row>
    <row r="260" spans="1:6" ht="14.5" thickBot="1">
      <c r="A260" s="840" t="s">
        <v>530</v>
      </c>
      <c r="B260" s="834" t="s">
        <v>350</v>
      </c>
      <c r="C260" s="1064">
        <v>0.15</v>
      </c>
      <c r="D260" s="1064">
        <v>0.15</v>
      </c>
      <c r="E260" s="1064">
        <v>0.15</v>
      </c>
      <c r="F260" s="1065">
        <v>0.14199999999999999</v>
      </c>
    </row>
    <row r="261" spans="1:6" ht="14.5" thickBot="1">
      <c r="A261" s="840" t="s">
        <v>530</v>
      </c>
      <c r="B261" s="834" t="s">
        <v>360</v>
      </c>
      <c r="C261" s="1064">
        <v>0.15</v>
      </c>
      <c r="D261" s="1064">
        <v>0.15</v>
      </c>
      <c r="E261" s="1064">
        <v>0.14899999999999999</v>
      </c>
      <c r="F261" s="1065">
        <v>0.14799999999999999</v>
      </c>
    </row>
    <row r="262" spans="1:6" ht="14.5" thickBot="1">
      <c r="A262" s="840" t="s">
        <v>530</v>
      </c>
      <c r="B262" s="834" t="s">
        <v>370</v>
      </c>
      <c r="C262" s="1064">
        <v>0.15</v>
      </c>
      <c r="D262" s="1064">
        <v>0.15</v>
      </c>
      <c r="E262" s="1064">
        <v>0.15</v>
      </c>
      <c r="F262" s="1076"/>
    </row>
    <row r="263" spans="1:6" ht="14.5" thickBot="1">
      <c r="A263" s="840" t="s">
        <v>530</v>
      </c>
      <c r="B263" s="834" t="s">
        <v>969</v>
      </c>
      <c r="C263" s="1064">
        <v>0.14899999999999999</v>
      </c>
      <c r="D263" s="1064">
        <v>0.14899999999999999</v>
      </c>
      <c r="E263" s="1064">
        <v>0.15</v>
      </c>
      <c r="F263" s="1065">
        <v>0.13</v>
      </c>
    </row>
    <row r="264" spans="1:6" ht="14.5" thickBot="1">
      <c r="A264" s="840" t="s">
        <v>530</v>
      </c>
      <c r="B264" s="834" t="s">
        <v>389</v>
      </c>
      <c r="C264" s="1064">
        <v>0.14799999999999999</v>
      </c>
      <c r="D264" s="1064">
        <v>0.14699999999999999</v>
      </c>
      <c r="E264" s="1064">
        <v>0.15</v>
      </c>
      <c r="F264" s="1065">
        <v>7.8E-2</v>
      </c>
    </row>
    <row r="265" spans="1:6" ht="14.5" thickBot="1">
      <c r="A265" s="840" t="s">
        <v>530</v>
      </c>
      <c r="B265" s="834" t="s">
        <v>398</v>
      </c>
      <c r="C265" s="1064">
        <v>0.15</v>
      </c>
      <c r="D265" s="1064">
        <v>0.15</v>
      </c>
      <c r="E265" s="1064">
        <v>0.15</v>
      </c>
      <c r="F265" s="1065">
        <v>7.3999999999999996E-2</v>
      </c>
    </row>
    <row r="266" spans="1:6" ht="14.5" thickBot="1">
      <c r="A266" s="840" t="s">
        <v>530</v>
      </c>
      <c r="B266" s="834" t="s">
        <v>406</v>
      </c>
      <c r="C266" s="1064">
        <v>0.14699999999999999</v>
      </c>
      <c r="D266" s="1064">
        <v>0.14699999999999999</v>
      </c>
      <c r="E266" s="1064">
        <v>0.15</v>
      </c>
      <c r="F266" s="1065">
        <v>0.14299999999999999</v>
      </c>
    </row>
    <row r="267" spans="1:6" ht="14.5" thickBot="1">
      <c r="A267" s="840" t="s">
        <v>530</v>
      </c>
      <c r="B267" s="834" t="s">
        <v>413</v>
      </c>
      <c r="C267" s="1064">
        <v>0.14199999999999999</v>
      </c>
      <c r="D267" s="1064">
        <v>0.14299999999999999</v>
      </c>
      <c r="E267" s="1064">
        <v>0.15</v>
      </c>
      <c r="F267" s="1076"/>
    </row>
    <row r="268" spans="1:6" ht="14.5" thickBot="1">
      <c r="A268" s="840" t="s">
        <v>530</v>
      </c>
      <c r="B268" s="834" t="s">
        <v>970</v>
      </c>
      <c r="C268" s="1064">
        <v>0.15</v>
      </c>
      <c r="D268" s="1064">
        <v>0.15</v>
      </c>
      <c r="E268" s="1064">
        <v>0.15</v>
      </c>
      <c r="F268" s="1065">
        <v>0.13</v>
      </c>
    </row>
    <row r="269" spans="1:6" ht="14.5" thickBot="1">
      <c r="A269" s="840" t="s">
        <v>530</v>
      </c>
      <c r="B269" s="834" t="s">
        <v>427</v>
      </c>
      <c r="C269" s="1064">
        <v>0.15</v>
      </c>
      <c r="D269" s="1064">
        <v>0.15</v>
      </c>
      <c r="E269" s="1064">
        <v>0.15</v>
      </c>
      <c r="F269" s="1065">
        <v>0.14299999999999999</v>
      </c>
    </row>
    <row r="270" spans="1:6" ht="14.5" thickBot="1">
      <c r="A270" s="840" t="s">
        <v>530</v>
      </c>
      <c r="B270" s="834" t="s">
        <v>434</v>
      </c>
      <c r="C270" s="1064">
        <v>0.14499999999999999</v>
      </c>
      <c r="D270" s="1064">
        <v>0.14499999999999999</v>
      </c>
      <c r="E270" s="1064">
        <v>0.15</v>
      </c>
      <c r="F270" s="1065">
        <v>0.14699999999999999</v>
      </c>
    </row>
    <row r="271" spans="1:6" ht="14.5" thickBot="1">
      <c r="A271" s="840" t="s">
        <v>530</v>
      </c>
      <c r="B271" s="834" t="s">
        <v>441</v>
      </c>
      <c r="C271" s="1064">
        <v>0.15</v>
      </c>
      <c r="D271" s="1064">
        <v>0.15</v>
      </c>
      <c r="E271" s="1064">
        <v>0.15</v>
      </c>
      <c r="F271" s="1065">
        <v>0.13800000000000001</v>
      </c>
    </row>
    <row r="272" spans="1:6" ht="14.5" thickBot="1">
      <c r="A272" s="840" t="s">
        <v>530</v>
      </c>
      <c r="B272" s="834" t="s">
        <v>448</v>
      </c>
      <c r="C272" s="1077"/>
      <c r="D272" s="1077"/>
      <c r="E272" s="1077"/>
      <c r="F272" s="1065">
        <v>0.14000000000000001</v>
      </c>
    </row>
    <row r="273" spans="1:6" ht="14.5" thickBot="1">
      <c r="A273" s="840" t="s">
        <v>530</v>
      </c>
      <c r="B273" s="834" t="s">
        <v>971</v>
      </c>
      <c r="C273" s="1064">
        <v>0.14199999999999999</v>
      </c>
      <c r="D273" s="1064">
        <v>0.14299999999999999</v>
      </c>
      <c r="E273" s="1064">
        <v>0.15</v>
      </c>
      <c r="F273" s="1065">
        <v>0.1</v>
      </c>
    </row>
    <row r="274" spans="1:6" ht="14.5" thickBot="1">
      <c r="A274" s="840" t="s">
        <v>530</v>
      </c>
      <c r="B274" s="834" t="s">
        <v>972</v>
      </c>
      <c r="C274" s="1064">
        <v>0.14799999999999999</v>
      </c>
      <c r="D274" s="1064">
        <v>0.14799999999999999</v>
      </c>
      <c r="E274" s="1064">
        <v>0.15</v>
      </c>
      <c r="F274" s="1065">
        <v>6.7000000000000004E-2</v>
      </c>
    </row>
    <row r="275" spans="1:6" ht="14.5" thickBot="1">
      <c r="A275" s="840" t="s">
        <v>530</v>
      </c>
      <c r="B275" s="834" t="s">
        <v>973</v>
      </c>
      <c r="C275" s="1064">
        <v>0.15</v>
      </c>
      <c r="D275" s="1064">
        <v>0.15</v>
      </c>
      <c r="E275" s="1064">
        <v>0.15</v>
      </c>
      <c r="F275" s="1065">
        <v>0.15</v>
      </c>
    </row>
    <row r="276" spans="1:6" ht="14.5" thickBot="1">
      <c r="A276" s="840" t="s">
        <v>530</v>
      </c>
      <c r="B276" s="834" t="s">
        <v>974</v>
      </c>
      <c r="C276" s="1064">
        <v>0.14499999999999999</v>
      </c>
      <c r="D276" s="1064">
        <v>0.14299999999999999</v>
      </c>
      <c r="E276" s="1064">
        <v>0.15</v>
      </c>
      <c r="F276" s="1065">
        <v>5.8999999999999997E-2</v>
      </c>
    </row>
    <row r="277" spans="1:6" ht="14.5" thickBot="1">
      <c r="A277" s="840" t="s">
        <v>530</v>
      </c>
      <c r="B277" s="834" t="s">
        <v>975</v>
      </c>
      <c r="C277" s="1064">
        <v>0.15</v>
      </c>
      <c r="D277" s="1064">
        <v>0.15</v>
      </c>
      <c r="E277" s="1064">
        <v>0.15</v>
      </c>
      <c r="F277" s="1065">
        <v>0.121</v>
      </c>
    </row>
    <row r="278" spans="1:6" ht="14.5" thickBot="1">
      <c r="A278" s="840" t="s">
        <v>530</v>
      </c>
      <c r="B278" s="834" t="s">
        <v>976</v>
      </c>
      <c r="C278" s="1064">
        <v>0.15</v>
      </c>
      <c r="D278" s="1064">
        <v>0.15</v>
      </c>
      <c r="E278" s="1064">
        <v>0.15</v>
      </c>
      <c r="F278" s="1065">
        <v>0.13800000000000001</v>
      </c>
    </row>
    <row r="279" spans="1:6" ht="26.5" thickBot="1">
      <c r="A279" s="840" t="s">
        <v>530</v>
      </c>
      <c r="B279" s="834" t="s">
        <v>977</v>
      </c>
      <c r="C279" s="1077"/>
      <c r="D279" s="1077"/>
      <c r="E279" s="1077"/>
      <c r="F279" s="1065">
        <v>0.05</v>
      </c>
    </row>
    <row r="280" spans="1:6" ht="26.5" thickBot="1">
      <c r="A280" s="840" t="s">
        <v>530</v>
      </c>
      <c r="B280" s="834" t="s">
        <v>978</v>
      </c>
      <c r="C280" s="1077"/>
      <c r="D280" s="1077"/>
      <c r="E280" s="1077"/>
      <c r="F280" s="1065">
        <v>0.05</v>
      </c>
    </row>
    <row r="281" spans="1:6" ht="26.5" thickBot="1">
      <c r="A281" s="840" t="s">
        <v>530</v>
      </c>
      <c r="B281" s="834" t="s">
        <v>979</v>
      </c>
      <c r="C281" s="1077"/>
      <c r="D281" s="1077"/>
      <c r="E281" s="1077"/>
      <c r="F281" s="1065">
        <v>0.05</v>
      </c>
    </row>
    <row r="282" spans="1:6" ht="26.5" thickBot="1">
      <c r="A282" s="840" t="s">
        <v>530</v>
      </c>
      <c r="B282" s="834" t="s">
        <v>980</v>
      </c>
      <c r="C282" s="1077"/>
      <c r="D282" s="1077"/>
      <c r="E282" s="1077"/>
      <c r="F282" s="1065">
        <v>0.05</v>
      </c>
    </row>
    <row r="283" spans="1:6" ht="26.5" thickBot="1">
      <c r="A283" s="840" t="s">
        <v>530</v>
      </c>
      <c r="B283" s="834" t="s">
        <v>981</v>
      </c>
      <c r="C283" s="1077"/>
      <c r="D283" s="1077"/>
      <c r="E283" s="1077"/>
      <c r="F283" s="1065">
        <v>0.05</v>
      </c>
    </row>
    <row r="284" spans="1:6" ht="26.5" thickBot="1">
      <c r="A284" s="840" t="s">
        <v>530</v>
      </c>
      <c r="B284" s="834" t="s">
        <v>982</v>
      </c>
      <c r="C284" s="1077"/>
      <c r="D284" s="1077"/>
      <c r="E284" s="1077"/>
      <c r="F284" s="1065">
        <v>0.05</v>
      </c>
    </row>
    <row r="285" spans="1:6" ht="26.5" thickBot="1">
      <c r="A285" s="840" t="s">
        <v>530</v>
      </c>
      <c r="B285" s="834" t="s">
        <v>983</v>
      </c>
      <c r="C285" s="1077"/>
      <c r="D285" s="1077"/>
      <c r="E285" s="1077"/>
      <c r="F285" s="1065">
        <v>0.05</v>
      </c>
    </row>
    <row r="286" spans="1:6" ht="26.5" thickBot="1">
      <c r="A286" s="840" t="s">
        <v>530</v>
      </c>
      <c r="B286" s="834" t="s">
        <v>984</v>
      </c>
      <c r="C286" s="1077"/>
      <c r="D286" s="1077"/>
      <c r="E286" s="1077"/>
      <c r="F286" s="1065">
        <v>0.05</v>
      </c>
    </row>
    <row r="287" spans="1:6" ht="26.5" thickBot="1">
      <c r="A287" s="840" t="s">
        <v>530</v>
      </c>
      <c r="B287" s="834" t="s">
        <v>985</v>
      </c>
      <c r="C287" s="1077"/>
      <c r="D287" s="1077"/>
      <c r="E287" s="1077"/>
      <c r="F287" s="1065">
        <v>0.05</v>
      </c>
    </row>
    <row r="288" spans="1:6" ht="26.5" thickBot="1">
      <c r="A288" s="840" t="s">
        <v>530</v>
      </c>
      <c r="B288" s="834" t="s">
        <v>986</v>
      </c>
      <c r="C288" s="1077"/>
      <c r="D288" s="1077"/>
      <c r="E288" s="1077"/>
      <c r="F288" s="1065">
        <v>0.05</v>
      </c>
    </row>
    <row r="289" spans="1:6" ht="26.5" thickBot="1">
      <c r="A289" s="850" t="s">
        <v>530</v>
      </c>
      <c r="B289" s="846" t="s">
        <v>987</v>
      </c>
      <c r="C289" s="1074"/>
      <c r="D289" s="1074"/>
      <c r="E289" s="1074"/>
      <c r="F289" s="1067">
        <v>0.05</v>
      </c>
    </row>
    <row r="290" spans="1:6" ht="14.5" thickBot="1">
      <c r="A290" s="840" t="s">
        <v>534</v>
      </c>
      <c r="B290" s="841" t="s">
        <v>988</v>
      </c>
      <c r="C290" s="1062">
        <v>0.15</v>
      </c>
      <c r="D290" s="1062">
        <v>0.15</v>
      </c>
      <c r="E290" s="1062">
        <v>0.15</v>
      </c>
      <c r="F290" s="1079"/>
    </row>
    <row r="291" spans="1:6" ht="14.5" thickBot="1">
      <c r="A291" s="840" t="s">
        <v>534</v>
      </c>
      <c r="B291" s="834" t="s">
        <v>196</v>
      </c>
      <c r="C291" s="1064">
        <v>0.15</v>
      </c>
      <c r="D291" s="1064">
        <v>0.15</v>
      </c>
      <c r="E291" s="1064">
        <v>0.15</v>
      </c>
      <c r="F291" s="1076"/>
    </row>
    <row r="292" spans="1:6" ht="14.5" thickBot="1">
      <c r="A292" s="840" t="s">
        <v>534</v>
      </c>
      <c r="B292" s="834" t="s">
        <v>989</v>
      </c>
      <c r="C292" s="1064">
        <v>0.15</v>
      </c>
      <c r="D292" s="1064">
        <v>0.15</v>
      </c>
      <c r="E292" s="1064">
        <v>0.15</v>
      </c>
      <c r="F292" s="1065">
        <v>0.14699999999999999</v>
      </c>
    </row>
    <row r="293" spans="1:6" ht="14.5" thickBot="1">
      <c r="A293" s="840" t="s">
        <v>534</v>
      </c>
      <c r="B293" s="834" t="s">
        <v>990</v>
      </c>
      <c r="C293" s="1077"/>
      <c r="D293" s="1077"/>
      <c r="E293" s="1077"/>
      <c r="F293" s="1065">
        <v>0.1</v>
      </c>
    </row>
    <row r="294" spans="1:6" ht="14.5" thickBot="1">
      <c r="A294" s="840" t="s">
        <v>534</v>
      </c>
      <c r="B294" s="834" t="s">
        <v>991</v>
      </c>
      <c r="C294" s="1064">
        <v>0.15</v>
      </c>
      <c r="D294" s="1064">
        <v>0.15</v>
      </c>
      <c r="E294" s="1064">
        <v>0.15</v>
      </c>
      <c r="F294" s="1065">
        <v>0.15</v>
      </c>
    </row>
    <row r="295" spans="1:6" ht="14.5" thickBot="1">
      <c r="A295" s="840" t="s">
        <v>534</v>
      </c>
      <c r="B295" s="834" t="s">
        <v>234</v>
      </c>
      <c r="C295" s="1064">
        <v>0.15</v>
      </c>
      <c r="D295" s="1064">
        <v>0.15</v>
      </c>
      <c r="E295" s="1064">
        <v>0.15</v>
      </c>
      <c r="F295" s="1065">
        <v>0.15</v>
      </c>
    </row>
    <row r="296" spans="1:6" ht="14.5" thickBot="1">
      <c r="A296" s="840" t="s">
        <v>534</v>
      </c>
      <c r="B296" s="834" t="s">
        <v>992</v>
      </c>
      <c r="C296" s="1064">
        <v>0.15</v>
      </c>
      <c r="D296" s="1064">
        <v>0.15</v>
      </c>
      <c r="E296" s="1064">
        <v>0.15</v>
      </c>
      <c r="F296" s="1065">
        <v>0.15</v>
      </c>
    </row>
    <row r="297" spans="1:6" ht="14.5" thickBot="1">
      <c r="A297" s="840" t="s">
        <v>534</v>
      </c>
      <c r="B297" s="834" t="s">
        <v>993</v>
      </c>
      <c r="C297" s="1064">
        <v>0.14799999999999999</v>
      </c>
      <c r="D297" s="1064">
        <v>0.14899999999999999</v>
      </c>
      <c r="E297" s="1064">
        <v>0.15</v>
      </c>
      <c r="F297" s="1065">
        <v>0.13700000000000001</v>
      </c>
    </row>
    <row r="298" spans="1:6" ht="14.5" thickBot="1">
      <c r="A298" s="840" t="s">
        <v>534</v>
      </c>
      <c r="B298" s="834" t="s">
        <v>267</v>
      </c>
      <c r="C298" s="1064">
        <v>0.13400000000000001</v>
      </c>
      <c r="D298" s="1064">
        <v>0.13400000000000001</v>
      </c>
      <c r="E298" s="1064">
        <v>0.14499999999999999</v>
      </c>
      <c r="F298" s="1065">
        <v>0.14799999999999999</v>
      </c>
    </row>
    <row r="299" spans="1:6" ht="14.5" thickBot="1">
      <c r="A299" s="840" t="s">
        <v>534</v>
      </c>
      <c r="B299" s="834" t="s">
        <v>279</v>
      </c>
      <c r="C299" s="1064">
        <v>0.15</v>
      </c>
      <c r="D299" s="1064">
        <v>0.15</v>
      </c>
      <c r="E299" s="1064">
        <v>0.15</v>
      </c>
      <c r="F299" s="1076"/>
    </row>
    <row r="300" spans="1:6" ht="14.5" thickBot="1">
      <c r="A300" s="840" t="s">
        <v>534</v>
      </c>
      <c r="B300" s="834" t="s">
        <v>994</v>
      </c>
      <c r="C300" s="1064">
        <v>0.15</v>
      </c>
      <c r="D300" s="1064">
        <v>0.15</v>
      </c>
      <c r="E300" s="1064">
        <v>0.15</v>
      </c>
      <c r="F300" s="1065">
        <v>0.15</v>
      </c>
    </row>
    <row r="301" spans="1:6" ht="14.5" thickBot="1">
      <c r="A301" s="840" t="s">
        <v>534</v>
      </c>
      <c r="B301" s="834" t="s">
        <v>299</v>
      </c>
      <c r="C301" s="1064">
        <v>0.15</v>
      </c>
      <c r="D301" s="1064">
        <v>0.15</v>
      </c>
      <c r="E301" s="1064">
        <v>0.15</v>
      </c>
      <c r="F301" s="1076"/>
    </row>
    <row r="302" spans="1:6" ht="14.5" thickBot="1">
      <c r="A302" s="840" t="s">
        <v>534</v>
      </c>
      <c r="B302" s="834" t="s">
        <v>995</v>
      </c>
      <c r="C302" s="1064">
        <v>0.15</v>
      </c>
      <c r="D302" s="1064">
        <v>0.15</v>
      </c>
      <c r="E302" s="1064">
        <v>0.15</v>
      </c>
      <c r="F302" s="1065">
        <v>0.15</v>
      </c>
    </row>
    <row r="303" spans="1:6" ht="14.5" thickBot="1">
      <c r="A303" s="840" t="s">
        <v>534</v>
      </c>
      <c r="B303" s="834" t="s">
        <v>319</v>
      </c>
      <c r="C303" s="1064">
        <v>0.15</v>
      </c>
      <c r="D303" s="1064">
        <v>0.15</v>
      </c>
      <c r="E303" s="1064">
        <v>0.15</v>
      </c>
      <c r="F303" s="1065">
        <v>0.15</v>
      </c>
    </row>
    <row r="304" spans="1:6" ht="14.5" thickBot="1">
      <c r="A304" s="840" t="s">
        <v>534</v>
      </c>
      <c r="B304" s="834" t="s">
        <v>330</v>
      </c>
      <c r="C304" s="1064">
        <v>0.15</v>
      </c>
      <c r="D304" s="1064">
        <v>0.15</v>
      </c>
      <c r="E304" s="1064">
        <v>0.15</v>
      </c>
      <c r="F304" s="1076"/>
    </row>
    <row r="305" spans="1:6" ht="14.5" thickBot="1">
      <c r="A305" s="840" t="s">
        <v>534</v>
      </c>
      <c r="B305" s="834" t="s">
        <v>996</v>
      </c>
      <c r="C305" s="1064">
        <v>0.15</v>
      </c>
      <c r="D305" s="1064">
        <v>0.15</v>
      </c>
      <c r="E305" s="1064">
        <v>0.15</v>
      </c>
      <c r="F305" s="1065">
        <v>0.14000000000000001</v>
      </c>
    </row>
    <row r="306" spans="1:6" ht="14.5" thickBot="1">
      <c r="A306" s="840" t="s">
        <v>534</v>
      </c>
      <c r="B306" s="834" t="s">
        <v>351</v>
      </c>
      <c r="C306" s="1064">
        <v>0.15</v>
      </c>
      <c r="D306" s="1064">
        <v>0.15</v>
      </c>
      <c r="E306" s="1064">
        <v>0.15</v>
      </c>
      <c r="F306" s="1076"/>
    </row>
    <row r="307" spans="1:6" ht="14.5" thickBot="1">
      <c r="A307" s="840" t="s">
        <v>534</v>
      </c>
      <c r="B307" s="834" t="s">
        <v>997</v>
      </c>
      <c r="C307" s="1064">
        <v>0.15</v>
      </c>
      <c r="D307" s="1064">
        <v>0.15</v>
      </c>
      <c r="E307" s="1064">
        <v>0.15</v>
      </c>
      <c r="F307" s="1065">
        <v>0.14299999999999999</v>
      </c>
    </row>
    <row r="308" spans="1:6" ht="14.5" thickBot="1">
      <c r="A308" s="840" t="s">
        <v>534</v>
      </c>
      <c r="B308" s="834" t="s">
        <v>371</v>
      </c>
      <c r="C308" s="1064">
        <v>0.15</v>
      </c>
      <c r="D308" s="1064">
        <v>0.15</v>
      </c>
      <c r="E308" s="1064">
        <v>0.15</v>
      </c>
      <c r="F308" s="1065">
        <v>0.15</v>
      </c>
    </row>
    <row r="309" spans="1:6" ht="14.5" thickBot="1">
      <c r="A309" s="840" t="s">
        <v>534</v>
      </c>
      <c r="B309" s="834" t="s">
        <v>381</v>
      </c>
      <c r="C309" s="1064">
        <v>0.15</v>
      </c>
      <c r="D309" s="1064">
        <v>0.15</v>
      </c>
      <c r="E309" s="1064">
        <v>0.15</v>
      </c>
      <c r="F309" s="1076"/>
    </row>
    <row r="310" spans="1:6" ht="14.5" thickBot="1">
      <c r="A310" s="840" t="s">
        <v>534</v>
      </c>
      <c r="B310" s="834" t="s">
        <v>998</v>
      </c>
      <c r="C310" s="1064">
        <v>0.15</v>
      </c>
      <c r="D310" s="1064">
        <v>0.15</v>
      </c>
      <c r="E310" s="1064">
        <v>0.15</v>
      </c>
      <c r="F310" s="1065">
        <v>0.13700000000000001</v>
      </c>
    </row>
    <row r="311" spans="1:6" ht="14.5" thickBot="1">
      <c r="A311" s="840" t="s">
        <v>534</v>
      </c>
      <c r="B311" s="834" t="s">
        <v>999</v>
      </c>
      <c r="C311" s="1064">
        <v>0.15</v>
      </c>
      <c r="D311" s="1064">
        <v>0.15</v>
      </c>
      <c r="E311" s="1064">
        <v>0.15</v>
      </c>
      <c r="F311" s="1065">
        <v>0.15</v>
      </c>
    </row>
    <row r="312" spans="1:6" ht="14.5" thickBot="1">
      <c r="A312" s="840" t="s">
        <v>534</v>
      </c>
      <c r="B312" s="834" t="s">
        <v>407</v>
      </c>
      <c r="C312" s="1064">
        <v>0.15</v>
      </c>
      <c r="D312" s="1064">
        <v>0.15</v>
      </c>
      <c r="E312" s="1064">
        <v>0.15</v>
      </c>
      <c r="F312" s="1065">
        <v>0.1</v>
      </c>
    </row>
    <row r="313" spans="1:6" ht="14.5" thickBot="1">
      <c r="A313" s="840" t="s">
        <v>534</v>
      </c>
      <c r="B313" s="834" t="s">
        <v>1000</v>
      </c>
      <c r="C313" s="1064">
        <v>0.15</v>
      </c>
      <c r="D313" s="1064">
        <v>0.15</v>
      </c>
      <c r="E313" s="1064">
        <v>0.15</v>
      </c>
      <c r="F313" s="1065">
        <v>0.15</v>
      </c>
    </row>
    <row r="314" spans="1:6" ht="26.5" thickBot="1">
      <c r="A314" s="840" t="s">
        <v>534</v>
      </c>
      <c r="B314" s="834" t="s">
        <v>1001</v>
      </c>
      <c r="C314" s="1077"/>
      <c r="D314" s="1077"/>
      <c r="E314" s="1077"/>
      <c r="F314" s="1065">
        <v>0.05</v>
      </c>
    </row>
    <row r="315" spans="1:6" ht="26.5" thickBot="1">
      <c r="A315" s="840" t="s">
        <v>534</v>
      </c>
      <c r="B315" s="834" t="s">
        <v>1002</v>
      </c>
      <c r="C315" s="1077"/>
      <c r="D315" s="1077"/>
      <c r="E315" s="1077"/>
      <c r="F315" s="1065">
        <v>0.05</v>
      </c>
    </row>
    <row r="316" spans="1:6" ht="26.5" thickBot="1">
      <c r="A316" s="850" t="s">
        <v>534</v>
      </c>
      <c r="B316" s="846" t="s">
        <v>1003</v>
      </c>
      <c r="C316" s="1074"/>
      <c r="D316" s="1074"/>
      <c r="E316" s="1074"/>
      <c r="F316" s="1067">
        <v>0.05</v>
      </c>
    </row>
    <row r="317" spans="1:6" ht="14.5" thickBot="1">
      <c r="A317" s="840" t="s">
        <v>1004</v>
      </c>
      <c r="B317" s="841" t="s">
        <v>1005</v>
      </c>
      <c r="C317" s="1062">
        <v>0.15</v>
      </c>
      <c r="D317" s="1062">
        <v>0.15</v>
      </c>
      <c r="E317" s="1062">
        <v>0.15</v>
      </c>
      <c r="F317" s="1063">
        <v>0.15</v>
      </c>
    </row>
    <row r="318" spans="1:6" ht="14.5" thickBot="1">
      <c r="A318" s="840" t="s">
        <v>1004</v>
      </c>
      <c r="B318" s="834" t="s">
        <v>1006</v>
      </c>
      <c r="C318" s="1064">
        <v>0.107</v>
      </c>
      <c r="D318" s="1064">
        <v>0.11</v>
      </c>
      <c r="E318" s="1064">
        <v>0.112</v>
      </c>
      <c r="F318" s="1076"/>
    </row>
    <row r="319" spans="1:6" ht="14.5" thickBot="1">
      <c r="A319" s="840" t="s">
        <v>1004</v>
      </c>
      <c r="B319" s="834" t="s">
        <v>1007</v>
      </c>
      <c r="C319" s="1064">
        <v>0.15</v>
      </c>
      <c r="D319" s="1064">
        <v>0.15</v>
      </c>
      <c r="E319" s="1064">
        <v>0.15</v>
      </c>
      <c r="F319" s="1065">
        <v>0.15</v>
      </c>
    </row>
    <row r="320" spans="1:6" ht="14.5" thickBot="1">
      <c r="A320" s="840" t="s">
        <v>1004</v>
      </c>
      <c r="B320" s="834" t="s">
        <v>223</v>
      </c>
      <c r="C320" s="1064">
        <v>0.15</v>
      </c>
      <c r="D320" s="1064">
        <v>0.15</v>
      </c>
      <c r="E320" s="1064">
        <v>0.15</v>
      </c>
      <c r="F320" s="1076"/>
    </row>
    <row r="321" spans="1:6" ht="14.5" thickBot="1">
      <c r="A321" s="840" t="s">
        <v>1004</v>
      </c>
      <c r="B321" s="834" t="s">
        <v>1008</v>
      </c>
      <c r="C321" s="1064">
        <v>0.15</v>
      </c>
      <c r="D321" s="1064">
        <v>0.15</v>
      </c>
      <c r="E321" s="1064">
        <v>0.15</v>
      </c>
      <c r="F321" s="1076"/>
    </row>
    <row r="322" spans="1:6" ht="14.5" thickBot="1">
      <c r="A322" s="840" t="s">
        <v>1004</v>
      </c>
      <c r="B322" s="834" t="s">
        <v>1009</v>
      </c>
      <c r="C322" s="1064">
        <v>0.15</v>
      </c>
      <c r="D322" s="1064">
        <v>0.15</v>
      </c>
      <c r="E322" s="1064">
        <v>0.15</v>
      </c>
      <c r="F322" s="1065">
        <v>0.15</v>
      </c>
    </row>
    <row r="323" spans="1:6" ht="14.5" thickBot="1">
      <c r="A323" s="840" t="s">
        <v>1004</v>
      </c>
      <c r="B323" s="834" t="s">
        <v>1010</v>
      </c>
      <c r="C323" s="1064">
        <v>0.15</v>
      </c>
      <c r="D323" s="1064">
        <v>0.15</v>
      </c>
      <c r="E323" s="1064">
        <v>0.15</v>
      </c>
      <c r="F323" s="1076"/>
    </row>
    <row r="324" spans="1:6" ht="14.5" thickBot="1">
      <c r="A324" s="840" t="s">
        <v>1004</v>
      </c>
      <c r="B324" s="834" t="s">
        <v>1011</v>
      </c>
      <c r="C324" s="1064">
        <v>0.15</v>
      </c>
      <c r="D324" s="1064">
        <v>0.15</v>
      </c>
      <c r="E324" s="1064">
        <v>0.15</v>
      </c>
      <c r="F324" s="1076"/>
    </row>
    <row r="325" spans="1:6" ht="14.5" thickBot="1">
      <c r="A325" s="840" t="s">
        <v>1004</v>
      </c>
      <c r="B325" s="834" t="s">
        <v>1012</v>
      </c>
      <c r="C325" s="1064">
        <v>0.15</v>
      </c>
      <c r="D325" s="1064">
        <v>0.15</v>
      </c>
      <c r="E325" s="1064">
        <v>0.15</v>
      </c>
      <c r="F325" s="1065">
        <v>0.14699999999999999</v>
      </c>
    </row>
    <row r="326" spans="1:6" ht="14.5" thickBot="1">
      <c r="A326" s="840" t="s">
        <v>1004</v>
      </c>
      <c r="B326" s="834" t="s">
        <v>290</v>
      </c>
      <c r="C326" s="1064">
        <v>0.15</v>
      </c>
      <c r="D326" s="1064">
        <v>0.15</v>
      </c>
      <c r="E326" s="1064">
        <v>0.15</v>
      </c>
      <c r="F326" s="1076"/>
    </row>
    <row r="327" spans="1:6" ht="14.5" thickBot="1">
      <c r="A327" s="840" t="s">
        <v>1004</v>
      </c>
      <c r="B327" s="834" t="s">
        <v>1013</v>
      </c>
      <c r="C327" s="1064">
        <v>0.15</v>
      </c>
      <c r="D327" s="1064">
        <v>0.15</v>
      </c>
      <c r="E327" s="1064">
        <v>0.15</v>
      </c>
      <c r="F327" s="1065">
        <v>0.15</v>
      </c>
    </row>
    <row r="328" spans="1:6" ht="14.5" thickBot="1">
      <c r="A328" s="840" t="s">
        <v>1004</v>
      </c>
      <c r="B328" s="834" t="s">
        <v>310</v>
      </c>
      <c r="C328" s="1064">
        <v>0.15</v>
      </c>
      <c r="D328" s="1064">
        <v>0.15</v>
      </c>
      <c r="E328" s="1064">
        <v>0.15</v>
      </c>
      <c r="F328" s="1065">
        <v>0.14099999999999999</v>
      </c>
    </row>
    <row r="329" spans="1:6" ht="14.5" thickBot="1">
      <c r="A329" s="840" t="s">
        <v>1004</v>
      </c>
      <c r="B329" s="834" t="s">
        <v>320</v>
      </c>
      <c r="C329" s="1064">
        <v>0.15</v>
      </c>
      <c r="D329" s="1064">
        <v>0.15</v>
      </c>
      <c r="E329" s="1064">
        <v>0.15</v>
      </c>
      <c r="F329" s="1065">
        <v>0.15</v>
      </c>
    </row>
    <row r="330" spans="1:6" ht="14.5" thickBot="1">
      <c r="A330" s="840" t="s">
        <v>1004</v>
      </c>
      <c r="B330" s="834" t="s">
        <v>331</v>
      </c>
      <c r="C330" s="1064">
        <v>0.15</v>
      </c>
      <c r="D330" s="1064">
        <v>0.15</v>
      </c>
      <c r="E330" s="1064">
        <v>0.15</v>
      </c>
      <c r="F330" s="1076"/>
    </row>
    <row r="331" spans="1:6" ht="14.5" thickBot="1">
      <c r="A331" s="840" t="s">
        <v>1004</v>
      </c>
      <c r="B331" s="834" t="s">
        <v>1014</v>
      </c>
      <c r="C331" s="1064">
        <v>0.15</v>
      </c>
      <c r="D331" s="1064">
        <v>0.15</v>
      </c>
      <c r="E331" s="1064">
        <v>0.15</v>
      </c>
      <c r="F331" s="1065">
        <v>0.15</v>
      </c>
    </row>
    <row r="332" spans="1:6" ht="14.5" thickBot="1">
      <c r="A332" s="840" t="s">
        <v>1004</v>
      </c>
      <c r="B332" s="834" t="s">
        <v>352</v>
      </c>
      <c r="C332" s="1064">
        <v>0.15</v>
      </c>
      <c r="D332" s="1064">
        <v>0.15</v>
      </c>
      <c r="E332" s="1064">
        <v>0.15</v>
      </c>
      <c r="F332" s="1065">
        <v>0.15</v>
      </c>
    </row>
    <row r="333" spans="1:6" ht="14.5" thickBot="1">
      <c r="A333" s="840" t="s">
        <v>1004</v>
      </c>
      <c r="B333" s="834" t="s">
        <v>1015</v>
      </c>
      <c r="C333" s="1064">
        <v>0.15</v>
      </c>
      <c r="D333" s="1064">
        <v>0.15</v>
      </c>
      <c r="E333" s="1064">
        <v>0.15</v>
      </c>
      <c r="F333" s="1065">
        <v>0.14099999999999999</v>
      </c>
    </row>
    <row r="334" spans="1:6" ht="14.5" thickBot="1">
      <c r="A334" s="840" t="s">
        <v>1004</v>
      </c>
      <c r="B334" s="834" t="s">
        <v>372</v>
      </c>
      <c r="C334" s="1064">
        <v>0.15</v>
      </c>
      <c r="D334" s="1064">
        <v>0.15</v>
      </c>
      <c r="E334" s="1064">
        <v>0.15</v>
      </c>
      <c r="F334" s="1065">
        <v>0.15</v>
      </c>
    </row>
    <row r="335" spans="1:6" ht="14.5" thickBot="1">
      <c r="A335" s="840" t="s">
        <v>1004</v>
      </c>
      <c r="B335" s="834" t="s">
        <v>382</v>
      </c>
      <c r="C335" s="1064">
        <v>0.15</v>
      </c>
      <c r="D335" s="1064">
        <v>0.15</v>
      </c>
      <c r="E335" s="1064">
        <v>0.15</v>
      </c>
      <c r="F335" s="1076"/>
    </row>
    <row r="336" spans="1:6" ht="14.5" thickBot="1">
      <c r="A336" s="840" t="s">
        <v>1004</v>
      </c>
      <c r="B336" s="834" t="s">
        <v>1016</v>
      </c>
      <c r="C336" s="1064">
        <v>0.15</v>
      </c>
      <c r="D336" s="1064">
        <v>0.15</v>
      </c>
      <c r="E336" s="1064">
        <v>0.15</v>
      </c>
      <c r="F336" s="1065">
        <v>0.11799999999999999</v>
      </c>
    </row>
    <row r="337" spans="1:6" ht="14.5" thickBot="1">
      <c r="A337" s="850" t="s">
        <v>1004</v>
      </c>
      <c r="B337" s="846" t="s">
        <v>400</v>
      </c>
      <c r="C337" s="1074"/>
      <c r="D337" s="1074"/>
      <c r="E337" s="1074"/>
      <c r="F337" s="1067">
        <v>0.14299999999999999</v>
      </c>
    </row>
    <row r="338" spans="1:6" ht="14.5" thickBot="1">
      <c r="A338" s="840" t="s">
        <v>1017</v>
      </c>
      <c r="B338" s="841" t="s">
        <v>1018</v>
      </c>
      <c r="C338" s="1062">
        <v>0.15</v>
      </c>
      <c r="D338" s="1062">
        <v>0.15</v>
      </c>
      <c r="E338" s="1062">
        <v>0.15</v>
      </c>
      <c r="F338" s="1079"/>
    </row>
    <row r="339" spans="1:6" ht="14.5" thickBot="1">
      <c r="A339" s="840" t="s">
        <v>1017</v>
      </c>
      <c r="B339" s="834" t="s">
        <v>1019</v>
      </c>
      <c r="C339" s="1064">
        <v>0.15</v>
      </c>
      <c r="D339" s="1064">
        <v>0.15</v>
      </c>
      <c r="E339" s="1064">
        <v>0.15</v>
      </c>
      <c r="F339" s="1076"/>
    </row>
    <row r="340" spans="1:6" ht="14.5" thickBot="1">
      <c r="A340" s="840" t="s">
        <v>1017</v>
      </c>
      <c r="B340" s="834" t="s">
        <v>1020</v>
      </c>
      <c r="C340" s="1064">
        <v>0.15</v>
      </c>
      <c r="D340" s="1064">
        <v>0.15</v>
      </c>
      <c r="E340" s="1064">
        <v>0.15</v>
      </c>
      <c r="F340" s="1076"/>
    </row>
    <row r="341" spans="1:6" ht="14.5" thickBot="1">
      <c r="A341" s="840" t="s">
        <v>1017</v>
      </c>
      <c r="B341" s="834" t="s">
        <v>1021</v>
      </c>
      <c r="C341" s="1064">
        <v>0.15</v>
      </c>
      <c r="D341" s="1064">
        <v>0.15</v>
      </c>
      <c r="E341" s="1064">
        <v>0.15</v>
      </c>
      <c r="F341" s="1065">
        <v>0.15</v>
      </c>
    </row>
    <row r="342" spans="1:6" ht="14.5" thickBot="1">
      <c r="A342" s="840" t="s">
        <v>1017</v>
      </c>
      <c r="B342" s="834" t="s">
        <v>1022</v>
      </c>
      <c r="C342" s="1064">
        <v>0.15</v>
      </c>
      <c r="D342" s="1064">
        <v>0.15</v>
      </c>
      <c r="E342" s="1064">
        <v>0.15</v>
      </c>
      <c r="F342" s="1065">
        <v>0.15</v>
      </c>
    </row>
    <row r="343" spans="1:6" ht="14.5" thickBot="1">
      <c r="A343" s="840" t="s">
        <v>1017</v>
      </c>
      <c r="B343" s="834" t="s">
        <v>1023</v>
      </c>
      <c r="C343" s="1064">
        <v>0.15</v>
      </c>
      <c r="D343" s="1064">
        <v>0.15</v>
      </c>
      <c r="E343" s="1064">
        <v>0.15</v>
      </c>
      <c r="F343" s="1065">
        <v>0.15</v>
      </c>
    </row>
    <row r="344" spans="1:6" ht="14.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3"/>
  <sheetViews>
    <sheetView workbookViewId="0">
      <selection activeCell="I1" sqref="I1"/>
    </sheetView>
  </sheetViews>
  <sheetFormatPr defaultRowHeight="14"/>
  <cols>
    <col min="1" max="1" width="4.90625" style="1638" customWidth="1"/>
    <col min="2" max="2" width="13.1796875" style="1644" customWidth="1"/>
    <col min="3" max="3" width="15.6328125" style="1644" customWidth="1"/>
    <col min="4" max="4" width="9.36328125" style="1644" bestFit="1" customWidth="1"/>
    <col min="5" max="5" width="13.453125" style="1644" customWidth="1"/>
    <col min="6" max="6" width="9" style="1644"/>
    <col min="7" max="7" width="9.36328125" style="1644" bestFit="1" customWidth="1"/>
    <col min="8" max="8" width="12.1796875" style="1644" customWidth="1"/>
    <col min="9" max="9" width="9" style="1644"/>
    <col min="10" max="10" width="9.36328125" style="1644" bestFit="1" customWidth="1"/>
    <col min="11" max="11" width="4" style="1638" customWidth="1"/>
    <col min="12" max="12" width="5.08984375" style="1644" customWidth="1"/>
    <col min="13" max="13" width="13.81640625" style="1644" customWidth="1"/>
    <col min="14" max="256" width="9" style="1644"/>
    <col min="257" max="257" width="4.90625" style="1635" customWidth="1"/>
    <col min="258" max="258" width="13.1796875" style="1635" customWidth="1"/>
    <col min="259" max="259" width="15.6328125" style="1635" customWidth="1"/>
    <col min="260" max="260" width="9.36328125" style="1635" bestFit="1" customWidth="1"/>
    <col min="261" max="261" width="13.453125" style="1635" customWidth="1"/>
    <col min="262" max="262" width="9" style="1635"/>
    <col min="263" max="263" width="9.36328125" style="1635" bestFit="1" customWidth="1"/>
    <col min="264" max="265" width="9" style="1635"/>
    <col min="266" max="266" width="9.36328125" style="1635" bestFit="1" customWidth="1"/>
    <col min="267" max="267" width="4" style="1635" customWidth="1"/>
    <col min="268" max="268" width="5.08984375" style="1635" customWidth="1"/>
    <col min="269" max="269" width="13.81640625" style="1635" customWidth="1"/>
    <col min="270" max="512" width="9" style="1635"/>
    <col min="513" max="513" width="4.90625" style="1635" customWidth="1"/>
    <col min="514" max="514" width="13.1796875" style="1635" customWidth="1"/>
    <col min="515" max="515" width="15.6328125" style="1635" customWidth="1"/>
    <col min="516" max="516" width="9.36328125" style="1635" bestFit="1" customWidth="1"/>
    <col min="517" max="517" width="13.453125" style="1635" customWidth="1"/>
    <col min="518" max="518" width="9" style="1635"/>
    <col min="519" max="519" width="9.36328125" style="1635" bestFit="1" customWidth="1"/>
    <col min="520" max="521" width="9" style="1635"/>
    <col min="522" max="522" width="9.36328125" style="1635" bestFit="1" customWidth="1"/>
    <col min="523" max="523" width="4" style="1635" customWidth="1"/>
    <col min="524" max="524" width="5.08984375" style="1635" customWidth="1"/>
    <col min="525" max="525" width="13.81640625" style="1635" customWidth="1"/>
    <col min="526" max="768" width="9" style="1635"/>
    <col min="769" max="769" width="4.90625" style="1635" customWidth="1"/>
    <col min="770" max="770" width="13.1796875" style="1635" customWidth="1"/>
    <col min="771" max="771" width="15.6328125" style="1635" customWidth="1"/>
    <col min="772" max="772" width="9.36328125" style="1635" bestFit="1" customWidth="1"/>
    <col min="773" max="773" width="13.453125" style="1635" customWidth="1"/>
    <col min="774" max="774" width="9" style="1635"/>
    <col min="775" max="775" width="9.36328125" style="1635" bestFit="1" customWidth="1"/>
    <col min="776" max="777" width="9" style="1635"/>
    <col min="778" max="778" width="9.36328125" style="1635" bestFit="1" customWidth="1"/>
    <col min="779" max="779" width="4" style="1635" customWidth="1"/>
    <col min="780" max="780" width="5.08984375" style="1635" customWidth="1"/>
    <col min="781" max="781" width="13.81640625" style="1635" customWidth="1"/>
    <col min="782" max="1024" width="9" style="1635"/>
    <col min="1025" max="1025" width="4.90625" style="1635" customWidth="1"/>
    <col min="1026" max="1026" width="13.1796875" style="1635" customWidth="1"/>
    <col min="1027" max="1027" width="15.6328125" style="1635" customWidth="1"/>
    <col min="1028" max="1028" width="9.36328125" style="1635" bestFit="1" customWidth="1"/>
    <col min="1029" max="1029" width="13.453125" style="1635" customWidth="1"/>
    <col min="1030" max="1030" width="9" style="1635"/>
    <col min="1031" max="1031" width="9.36328125" style="1635" bestFit="1" customWidth="1"/>
    <col min="1032" max="1033" width="9" style="1635"/>
    <col min="1034" max="1034" width="9.36328125" style="1635" bestFit="1" customWidth="1"/>
    <col min="1035" max="1035" width="4" style="1635" customWidth="1"/>
    <col min="1036" max="1036" width="5.08984375" style="1635" customWidth="1"/>
    <col min="1037" max="1037" width="13.81640625" style="1635" customWidth="1"/>
    <col min="1038" max="1280" width="9" style="1635"/>
    <col min="1281" max="1281" width="4.90625" style="1635" customWidth="1"/>
    <col min="1282" max="1282" width="13.1796875" style="1635" customWidth="1"/>
    <col min="1283" max="1283" width="15.6328125" style="1635" customWidth="1"/>
    <col min="1284" max="1284" width="9.36328125" style="1635" bestFit="1" customWidth="1"/>
    <col min="1285" max="1285" width="13.453125" style="1635" customWidth="1"/>
    <col min="1286" max="1286" width="9" style="1635"/>
    <col min="1287" max="1287" width="9.36328125" style="1635" bestFit="1" customWidth="1"/>
    <col min="1288" max="1289" width="9" style="1635"/>
    <col min="1290" max="1290" width="9.36328125" style="1635" bestFit="1" customWidth="1"/>
    <col min="1291" max="1291" width="4" style="1635" customWidth="1"/>
    <col min="1292" max="1292" width="5.08984375" style="1635" customWidth="1"/>
    <col min="1293" max="1293" width="13.81640625" style="1635" customWidth="1"/>
    <col min="1294" max="1536" width="9" style="1635"/>
    <col min="1537" max="1537" width="4.90625" style="1635" customWidth="1"/>
    <col min="1538" max="1538" width="13.1796875" style="1635" customWidth="1"/>
    <col min="1539" max="1539" width="15.6328125" style="1635" customWidth="1"/>
    <col min="1540" max="1540" width="9.36328125" style="1635" bestFit="1" customWidth="1"/>
    <col min="1541" max="1541" width="13.453125" style="1635" customWidth="1"/>
    <col min="1542" max="1542" width="9" style="1635"/>
    <col min="1543" max="1543" width="9.36328125" style="1635" bestFit="1" customWidth="1"/>
    <col min="1544" max="1545" width="9" style="1635"/>
    <col min="1546" max="1546" width="9.36328125" style="1635" bestFit="1" customWidth="1"/>
    <col min="1547" max="1547" width="4" style="1635" customWidth="1"/>
    <col min="1548" max="1548" width="5.08984375" style="1635" customWidth="1"/>
    <col min="1549" max="1549" width="13.81640625" style="1635" customWidth="1"/>
    <col min="1550" max="1792" width="9" style="1635"/>
    <col min="1793" max="1793" width="4.90625" style="1635" customWidth="1"/>
    <col min="1794" max="1794" width="13.1796875" style="1635" customWidth="1"/>
    <col min="1795" max="1795" width="15.6328125" style="1635" customWidth="1"/>
    <col min="1796" max="1796" width="9.36328125" style="1635" bestFit="1" customWidth="1"/>
    <col min="1797" max="1797" width="13.453125" style="1635" customWidth="1"/>
    <col min="1798" max="1798" width="9" style="1635"/>
    <col min="1799" max="1799" width="9.36328125" style="1635" bestFit="1" customWidth="1"/>
    <col min="1800" max="1801" width="9" style="1635"/>
    <col min="1802" max="1802" width="9.36328125" style="1635" bestFit="1" customWidth="1"/>
    <col min="1803" max="1803" width="4" style="1635" customWidth="1"/>
    <col min="1804" max="1804" width="5.08984375" style="1635" customWidth="1"/>
    <col min="1805" max="1805" width="13.81640625" style="1635" customWidth="1"/>
    <col min="1806" max="2048" width="9" style="1635"/>
    <col min="2049" max="2049" width="4.90625" style="1635" customWidth="1"/>
    <col min="2050" max="2050" width="13.1796875" style="1635" customWidth="1"/>
    <col min="2051" max="2051" width="15.6328125" style="1635" customWidth="1"/>
    <col min="2052" max="2052" width="9.36328125" style="1635" bestFit="1" customWidth="1"/>
    <col min="2053" max="2053" width="13.453125" style="1635" customWidth="1"/>
    <col min="2054" max="2054" width="9" style="1635"/>
    <col min="2055" max="2055" width="9.36328125" style="1635" bestFit="1" customWidth="1"/>
    <col min="2056" max="2057" width="9" style="1635"/>
    <col min="2058" max="2058" width="9.36328125" style="1635" bestFit="1" customWidth="1"/>
    <col min="2059" max="2059" width="4" style="1635" customWidth="1"/>
    <col min="2060" max="2060" width="5.08984375" style="1635" customWidth="1"/>
    <col min="2061" max="2061" width="13.81640625" style="1635" customWidth="1"/>
    <col min="2062" max="2304" width="9" style="1635"/>
    <col min="2305" max="2305" width="4.90625" style="1635" customWidth="1"/>
    <col min="2306" max="2306" width="13.1796875" style="1635" customWidth="1"/>
    <col min="2307" max="2307" width="15.6328125" style="1635" customWidth="1"/>
    <col min="2308" max="2308" width="9.36328125" style="1635" bestFit="1" customWidth="1"/>
    <col min="2309" max="2309" width="13.453125" style="1635" customWidth="1"/>
    <col min="2310" max="2310" width="9" style="1635"/>
    <col min="2311" max="2311" width="9.36328125" style="1635" bestFit="1" customWidth="1"/>
    <col min="2312" max="2313" width="9" style="1635"/>
    <col min="2314" max="2314" width="9.36328125" style="1635" bestFit="1" customWidth="1"/>
    <col min="2315" max="2315" width="4" style="1635" customWidth="1"/>
    <col min="2316" max="2316" width="5.08984375" style="1635" customWidth="1"/>
    <col min="2317" max="2317" width="13.81640625" style="1635" customWidth="1"/>
    <col min="2318" max="2560" width="9" style="1635"/>
    <col min="2561" max="2561" width="4.90625" style="1635" customWidth="1"/>
    <col min="2562" max="2562" width="13.1796875" style="1635" customWidth="1"/>
    <col min="2563" max="2563" width="15.6328125" style="1635" customWidth="1"/>
    <col min="2564" max="2564" width="9.36328125" style="1635" bestFit="1" customWidth="1"/>
    <col min="2565" max="2565" width="13.453125" style="1635" customWidth="1"/>
    <col min="2566" max="2566" width="9" style="1635"/>
    <col min="2567" max="2567" width="9.36328125" style="1635" bestFit="1" customWidth="1"/>
    <col min="2568" max="2569" width="9" style="1635"/>
    <col min="2570" max="2570" width="9.36328125" style="1635" bestFit="1" customWidth="1"/>
    <col min="2571" max="2571" width="4" style="1635" customWidth="1"/>
    <col min="2572" max="2572" width="5.08984375" style="1635" customWidth="1"/>
    <col min="2573" max="2573" width="13.81640625" style="1635" customWidth="1"/>
    <col min="2574" max="2816" width="9" style="1635"/>
    <col min="2817" max="2817" width="4.90625" style="1635" customWidth="1"/>
    <col min="2818" max="2818" width="13.1796875" style="1635" customWidth="1"/>
    <col min="2819" max="2819" width="15.6328125" style="1635" customWidth="1"/>
    <col min="2820" max="2820" width="9.36328125" style="1635" bestFit="1" customWidth="1"/>
    <col min="2821" max="2821" width="13.453125" style="1635" customWidth="1"/>
    <col min="2822" max="2822" width="9" style="1635"/>
    <col min="2823" max="2823" width="9.36328125" style="1635" bestFit="1" customWidth="1"/>
    <col min="2824" max="2825" width="9" style="1635"/>
    <col min="2826" max="2826" width="9.36328125" style="1635" bestFit="1" customWidth="1"/>
    <col min="2827" max="2827" width="4" style="1635" customWidth="1"/>
    <col min="2828" max="2828" width="5.08984375" style="1635" customWidth="1"/>
    <col min="2829" max="2829" width="13.81640625" style="1635" customWidth="1"/>
    <col min="2830" max="3072" width="9" style="1635"/>
    <col min="3073" max="3073" width="4.90625" style="1635" customWidth="1"/>
    <col min="3074" max="3074" width="13.1796875" style="1635" customWidth="1"/>
    <col min="3075" max="3075" width="15.6328125" style="1635" customWidth="1"/>
    <col min="3076" max="3076" width="9.36328125" style="1635" bestFit="1" customWidth="1"/>
    <col min="3077" max="3077" width="13.453125" style="1635" customWidth="1"/>
    <col min="3078" max="3078" width="9" style="1635"/>
    <col min="3079" max="3079" width="9.36328125" style="1635" bestFit="1" customWidth="1"/>
    <col min="3080" max="3081" width="9" style="1635"/>
    <col min="3082" max="3082" width="9.36328125" style="1635" bestFit="1" customWidth="1"/>
    <col min="3083" max="3083" width="4" style="1635" customWidth="1"/>
    <col min="3084" max="3084" width="5.08984375" style="1635" customWidth="1"/>
    <col min="3085" max="3085" width="13.81640625" style="1635" customWidth="1"/>
    <col min="3086" max="3328" width="9" style="1635"/>
    <col min="3329" max="3329" width="4.90625" style="1635" customWidth="1"/>
    <col min="3330" max="3330" width="13.1796875" style="1635" customWidth="1"/>
    <col min="3331" max="3331" width="15.6328125" style="1635" customWidth="1"/>
    <col min="3332" max="3332" width="9.36328125" style="1635" bestFit="1" customWidth="1"/>
    <col min="3333" max="3333" width="13.453125" style="1635" customWidth="1"/>
    <col min="3334" max="3334" width="9" style="1635"/>
    <col min="3335" max="3335" width="9.36328125" style="1635" bestFit="1" customWidth="1"/>
    <col min="3336" max="3337" width="9" style="1635"/>
    <col min="3338" max="3338" width="9.36328125" style="1635" bestFit="1" customWidth="1"/>
    <col min="3339" max="3339" width="4" style="1635" customWidth="1"/>
    <col min="3340" max="3340" width="5.08984375" style="1635" customWidth="1"/>
    <col min="3341" max="3341" width="13.81640625" style="1635" customWidth="1"/>
    <col min="3342" max="3584" width="9" style="1635"/>
    <col min="3585" max="3585" width="4.90625" style="1635" customWidth="1"/>
    <col min="3586" max="3586" width="13.1796875" style="1635" customWidth="1"/>
    <col min="3587" max="3587" width="15.6328125" style="1635" customWidth="1"/>
    <col min="3588" max="3588" width="9.36328125" style="1635" bestFit="1" customWidth="1"/>
    <col min="3589" max="3589" width="13.453125" style="1635" customWidth="1"/>
    <col min="3590" max="3590" width="9" style="1635"/>
    <col min="3591" max="3591" width="9.36328125" style="1635" bestFit="1" customWidth="1"/>
    <col min="3592" max="3593" width="9" style="1635"/>
    <col min="3594" max="3594" width="9.36328125" style="1635" bestFit="1" customWidth="1"/>
    <col min="3595" max="3595" width="4" style="1635" customWidth="1"/>
    <col min="3596" max="3596" width="5.08984375" style="1635" customWidth="1"/>
    <col min="3597" max="3597" width="13.81640625" style="1635" customWidth="1"/>
    <col min="3598" max="3840" width="9" style="1635"/>
    <col min="3841" max="3841" width="4.90625" style="1635" customWidth="1"/>
    <col min="3842" max="3842" width="13.1796875" style="1635" customWidth="1"/>
    <col min="3843" max="3843" width="15.6328125" style="1635" customWidth="1"/>
    <col min="3844" max="3844" width="9.36328125" style="1635" bestFit="1" customWidth="1"/>
    <col min="3845" max="3845" width="13.453125" style="1635" customWidth="1"/>
    <col min="3846" max="3846" width="9" style="1635"/>
    <col min="3847" max="3847" width="9.36328125" style="1635" bestFit="1" customWidth="1"/>
    <col min="3848" max="3849" width="9" style="1635"/>
    <col min="3850" max="3850" width="9.36328125" style="1635" bestFit="1" customWidth="1"/>
    <col min="3851" max="3851" width="4" style="1635" customWidth="1"/>
    <col min="3852" max="3852" width="5.08984375" style="1635" customWidth="1"/>
    <col min="3853" max="3853" width="13.81640625" style="1635" customWidth="1"/>
    <col min="3854" max="4096" width="9" style="1635"/>
    <col min="4097" max="4097" width="4.90625" style="1635" customWidth="1"/>
    <col min="4098" max="4098" width="13.1796875" style="1635" customWidth="1"/>
    <col min="4099" max="4099" width="15.6328125" style="1635" customWidth="1"/>
    <col min="4100" max="4100" width="9.36328125" style="1635" bestFit="1" customWidth="1"/>
    <col min="4101" max="4101" width="13.453125" style="1635" customWidth="1"/>
    <col min="4102" max="4102" width="9" style="1635"/>
    <col min="4103" max="4103" width="9.36328125" style="1635" bestFit="1" customWidth="1"/>
    <col min="4104" max="4105" width="9" style="1635"/>
    <col min="4106" max="4106" width="9.36328125" style="1635" bestFit="1" customWidth="1"/>
    <col min="4107" max="4107" width="4" style="1635" customWidth="1"/>
    <col min="4108" max="4108" width="5.08984375" style="1635" customWidth="1"/>
    <col min="4109" max="4109" width="13.81640625" style="1635" customWidth="1"/>
    <col min="4110" max="4352" width="9" style="1635"/>
    <col min="4353" max="4353" width="4.90625" style="1635" customWidth="1"/>
    <col min="4354" max="4354" width="13.1796875" style="1635" customWidth="1"/>
    <col min="4355" max="4355" width="15.6328125" style="1635" customWidth="1"/>
    <col min="4356" max="4356" width="9.36328125" style="1635" bestFit="1" customWidth="1"/>
    <col min="4357" max="4357" width="13.453125" style="1635" customWidth="1"/>
    <col min="4358" max="4358" width="9" style="1635"/>
    <col min="4359" max="4359" width="9.36328125" style="1635" bestFit="1" customWidth="1"/>
    <col min="4360" max="4361" width="9" style="1635"/>
    <col min="4362" max="4362" width="9.36328125" style="1635" bestFit="1" customWidth="1"/>
    <col min="4363" max="4363" width="4" style="1635" customWidth="1"/>
    <col min="4364" max="4364" width="5.08984375" style="1635" customWidth="1"/>
    <col min="4365" max="4365" width="13.81640625" style="1635" customWidth="1"/>
    <col min="4366" max="4608" width="9" style="1635"/>
    <col min="4609" max="4609" width="4.90625" style="1635" customWidth="1"/>
    <col min="4610" max="4610" width="13.1796875" style="1635" customWidth="1"/>
    <col min="4611" max="4611" width="15.6328125" style="1635" customWidth="1"/>
    <col min="4612" max="4612" width="9.36328125" style="1635" bestFit="1" customWidth="1"/>
    <col min="4613" max="4613" width="13.453125" style="1635" customWidth="1"/>
    <col min="4614" max="4614" width="9" style="1635"/>
    <col min="4615" max="4615" width="9.36328125" style="1635" bestFit="1" customWidth="1"/>
    <col min="4616" max="4617" width="9" style="1635"/>
    <col min="4618" max="4618" width="9.36328125" style="1635" bestFit="1" customWidth="1"/>
    <col min="4619" max="4619" width="4" style="1635" customWidth="1"/>
    <col min="4620" max="4620" width="5.08984375" style="1635" customWidth="1"/>
    <col min="4621" max="4621" width="13.81640625" style="1635" customWidth="1"/>
    <col min="4622" max="4864" width="9" style="1635"/>
    <col min="4865" max="4865" width="4.90625" style="1635" customWidth="1"/>
    <col min="4866" max="4866" width="13.1796875" style="1635" customWidth="1"/>
    <col min="4867" max="4867" width="15.6328125" style="1635" customWidth="1"/>
    <col min="4868" max="4868" width="9.36328125" style="1635" bestFit="1" customWidth="1"/>
    <col min="4869" max="4869" width="13.453125" style="1635" customWidth="1"/>
    <col min="4870" max="4870" width="9" style="1635"/>
    <col min="4871" max="4871" width="9.36328125" style="1635" bestFit="1" customWidth="1"/>
    <col min="4872" max="4873" width="9" style="1635"/>
    <col min="4874" max="4874" width="9.36328125" style="1635" bestFit="1" customWidth="1"/>
    <col min="4875" max="4875" width="4" style="1635" customWidth="1"/>
    <col min="4876" max="4876" width="5.08984375" style="1635" customWidth="1"/>
    <col min="4877" max="4877" width="13.81640625" style="1635" customWidth="1"/>
    <col min="4878" max="5120" width="9" style="1635"/>
    <col min="5121" max="5121" width="4.90625" style="1635" customWidth="1"/>
    <col min="5122" max="5122" width="13.1796875" style="1635" customWidth="1"/>
    <col min="5123" max="5123" width="15.6328125" style="1635" customWidth="1"/>
    <col min="5124" max="5124" width="9.36328125" style="1635" bestFit="1" customWidth="1"/>
    <col min="5125" max="5125" width="13.453125" style="1635" customWidth="1"/>
    <col min="5126" max="5126" width="9" style="1635"/>
    <col min="5127" max="5127" width="9.36328125" style="1635" bestFit="1" customWidth="1"/>
    <col min="5128" max="5129" width="9" style="1635"/>
    <col min="5130" max="5130" width="9.36328125" style="1635" bestFit="1" customWidth="1"/>
    <col min="5131" max="5131" width="4" style="1635" customWidth="1"/>
    <col min="5132" max="5132" width="5.08984375" style="1635" customWidth="1"/>
    <col min="5133" max="5133" width="13.81640625" style="1635" customWidth="1"/>
    <col min="5134" max="5376" width="9" style="1635"/>
    <col min="5377" max="5377" width="4.90625" style="1635" customWidth="1"/>
    <col min="5378" max="5378" width="13.1796875" style="1635" customWidth="1"/>
    <col min="5379" max="5379" width="15.6328125" style="1635" customWidth="1"/>
    <col min="5380" max="5380" width="9.36328125" style="1635" bestFit="1" customWidth="1"/>
    <col min="5381" max="5381" width="13.453125" style="1635" customWidth="1"/>
    <col min="5382" max="5382" width="9" style="1635"/>
    <col min="5383" max="5383" width="9.36328125" style="1635" bestFit="1" customWidth="1"/>
    <col min="5384" max="5385" width="9" style="1635"/>
    <col min="5386" max="5386" width="9.36328125" style="1635" bestFit="1" customWidth="1"/>
    <col min="5387" max="5387" width="4" style="1635" customWidth="1"/>
    <col min="5388" max="5388" width="5.08984375" style="1635" customWidth="1"/>
    <col min="5389" max="5389" width="13.81640625" style="1635" customWidth="1"/>
    <col min="5390" max="5632" width="9" style="1635"/>
    <col min="5633" max="5633" width="4.90625" style="1635" customWidth="1"/>
    <col min="5634" max="5634" width="13.1796875" style="1635" customWidth="1"/>
    <col min="5635" max="5635" width="15.6328125" style="1635" customWidth="1"/>
    <col min="5636" max="5636" width="9.36328125" style="1635" bestFit="1" customWidth="1"/>
    <col min="5637" max="5637" width="13.453125" style="1635" customWidth="1"/>
    <col min="5638" max="5638" width="9" style="1635"/>
    <col min="5639" max="5639" width="9.36328125" style="1635" bestFit="1" customWidth="1"/>
    <col min="5640" max="5641" width="9" style="1635"/>
    <col min="5642" max="5642" width="9.36328125" style="1635" bestFit="1" customWidth="1"/>
    <col min="5643" max="5643" width="4" style="1635" customWidth="1"/>
    <col min="5644" max="5644" width="5.08984375" style="1635" customWidth="1"/>
    <col min="5645" max="5645" width="13.81640625" style="1635" customWidth="1"/>
    <col min="5646" max="5888" width="9" style="1635"/>
    <col min="5889" max="5889" width="4.90625" style="1635" customWidth="1"/>
    <col min="5890" max="5890" width="13.1796875" style="1635" customWidth="1"/>
    <col min="5891" max="5891" width="15.6328125" style="1635" customWidth="1"/>
    <col min="5892" max="5892" width="9.36328125" style="1635" bestFit="1" customWidth="1"/>
    <col min="5893" max="5893" width="13.453125" style="1635" customWidth="1"/>
    <col min="5894" max="5894" width="9" style="1635"/>
    <col min="5895" max="5895" width="9.36328125" style="1635" bestFit="1" customWidth="1"/>
    <col min="5896" max="5897" width="9" style="1635"/>
    <col min="5898" max="5898" width="9.36328125" style="1635" bestFit="1" customWidth="1"/>
    <col min="5899" max="5899" width="4" style="1635" customWidth="1"/>
    <col min="5900" max="5900" width="5.08984375" style="1635" customWidth="1"/>
    <col min="5901" max="5901" width="13.81640625" style="1635" customWidth="1"/>
    <col min="5902" max="6144" width="9" style="1635"/>
    <col min="6145" max="6145" width="4.90625" style="1635" customWidth="1"/>
    <col min="6146" max="6146" width="13.1796875" style="1635" customWidth="1"/>
    <col min="6147" max="6147" width="15.6328125" style="1635" customWidth="1"/>
    <col min="6148" max="6148" width="9.36328125" style="1635" bestFit="1" customWidth="1"/>
    <col min="6149" max="6149" width="13.453125" style="1635" customWidth="1"/>
    <col min="6150" max="6150" width="9" style="1635"/>
    <col min="6151" max="6151" width="9.36328125" style="1635" bestFit="1" customWidth="1"/>
    <col min="6152" max="6153" width="9" style="1635"/>
    <col min="6154" max="6154" width="9.36328125" style="1635" bestFit="1" customWidth="1"/>
    <col min="6155" max="6155" width="4" style="1635" customWidth="1"/>
    <col min="6156" max="6156" width="5.08984375" style="1635" customWidth="1"/>
    <col min="6157" max="6157" width="13.81640625" style="1635" customWidth="1"/>
    <col min="6158" max="6400" width="9" style="1635"/>
    <col min="6401" max="6401" width="4.90625" style="1635" customWidth="1"/>
    <col min="6402" max="6402" width="13.1796875" style="1635" customWidth="1"/>
    <col min="6403" max="6403" width="15.6328125" style="1635" customWidth="1"/>
    <col min="6404" max="6404" width="9.36328125" style="1635" bestFit="1" customWidth="1"/>
    <col min="6405" max="6405" width="13.453125" style="1635" customWidth="1"/>
    <col min="6406" max="6406" width="9" style="1635"/>
    <col min="6407" max="6407" width="9.36328125" style="1635" bestFit="1" customWidth="1"/>
    <col min="6408" max="6409" width="9" style="1635"/>
    <col min="6410" max="6410" width="9.36328125" style="1635" bestFit="1" customWidth="1"/>
    <col min="6411" max="6411" width="4" style="1635" customWidth="1"/>
    <col min="6412" max="6412" width="5.08984375" style="1635" customWidth="1"/>
    <col min="6413" max="6413" width="13.81640625" style="1635" customWidth="1"/>
    <col min="6414" max="6656" width="9" style="1635"/>
    <col min="6657" max="6657" width="4.90625" style="1635" customWidth="1"/>
    <col min="6658" max="6658" width="13.1796875" style="1635" customWidth="1"/>
    <col min="6659" max="6659" width="15.6328125" style="1635" customWidth="1"/>
    <col min="6660" max="6660" width="9.36328125" style="1635" bestFit="1" customWidth="1"/>
    <col min="6661" max="6661" width="13.453125" style="1635" customWidth="1"/>
    <col min="6662" max="6662" width="9" style="1635"/>
    <col min="6663" max="6663" width="9.36328125" style="1635" bestFit="1" customWidth="1"/>
    <col min="6664" max="6665" width="9" style="1635"/>
    <col min="6666" max="6666" width="9.36328125" style="1635" bestFit="1" customWidth="1"/>
    <col min="6667" max="6667" width="4" style="1635" customWidth="1"/>
    <col min="6668" max="6668" width="5.08984375" style="1635" customWidth="1"/>
    <col min="6669" max="6669" width="13.81640625" style="1635" customWidth="1"/>
    <col min="6670" max="6912" width="9" style="1635"/>
    <col min="6913" max="6913" width="4.90625" style="1635" customWidth="1"/>
    <col min="6914" max="6914" width="13.1796875" style="1635" customWidth="1"/>
    <col min="6915" max="6915" width="15.6328125" style="1635" customWidth="1"/>
    <col min="6916" max="6916" width="9.36328125" style="1635" bestFit="1" customWidth="1"/>
    <col min="6917" max="6917" width="13.453125" style="1635" customWidth="1"/>
    <col min="6918" max="6918" width="9" style="1635"/>
    <col min="6919" max="6919" width="9.36328125" style="1635" bestFit="1" customWidth="1"/>
    <col min="6920" max="6921" width="9" style="1635"/>
    <col min="6922" max="6922" width="9.36328125" style="1635" bestFit="1" customWidth="1"/>
    <col min="6923" max="6923" width="4" style="1635" customWidth="1"/>
    <col min="6924" max="6924" width="5.08984375" style="1635" customWidth="1"/>
    <col min="6925" max="6925" width="13.81640625" style="1635" customWidth="1"/>
    <col min="6926" max="7168" width="9" style="1635"/>
    <col min="7169" max="7169" width="4.90625" style="1635" customWidth="1"/>
    <col min="7170" max="7170" width="13.1796875" style="1635" customWidth="1"/>
    <col min="7171" max="7171" width="15.6328125" style="1635" customWidth="1"/>
    <col min="7172" max="7172" width="9.36328125" style="1635" bestFit="1" customWidth="1"/>
    <col min="7173" max="7173" width="13.453125" style="1635" customWidth="1"/>
    <col min="7174" max="7174" width="9" style="1635"/>
    <col min="7175" max="7175" width="9.36328125" style="1635" bestFit="1" customWidth="1"/>
    <col min="7176" max="7177" width="9" style="1635"/>
    <col min="7178" max="7178" width="9.36328125" style="1635" bestFit="1" customWidth="1"/>
    <col min="7179" max="7179" width="4" style="1635" customWidth="1"/>
    <col min="7180" max="7180" width="5.08984375" style="1635" customWidth="1"/>
    <col min="7181" max="7181" width="13.81640625" style="1635" customWidth="1"/>
    <col min="7182" max="7424" width="9" style="1635"/>
    <col min="7425" max="7425" width="4.90625" style="1635" customWidth="1"/>
    <col min="7426" max="7426" width="13.1796875" style="1635" customWidth="1"/>
    <col min="7427" max="7427" width="15.6328125" style="1635" customWidth="1"/>
    <col min="7428" max="7428" width="9.36328125" style="1635" bestFit="1" customWidth="1"/>
    <col min="7429" max="7429" width="13.453125" style="1635" customWidth="1"/>
    <col min="7430" max="7430" width="9" style="1635"/>
    <col min="7431" max="7431" width="9.36328125" style="1635" bestFit="1" customWidth="1"/>
    <col min="7432" max="7433" width="9" style="1635"/>
    <col min="7434" max="7434" width="9.36328125" style="1635" bestFit="1" customWidth="1"/>
    <col min="7435" max="7435" width="4" style="1635" customWidth="1"/>
    <col min="7436" max="7436" width="5.08984375" style="1635" customWidth="1"/>
    <col min="7437" max="7437" width="13.81640625" style="1635" customWidth="1"/>
    <col min="7438" max="7680" width="9" style="1635"/>
    <col min="7681" max="7681" width="4.90625" style="1635" customWidth="1"/>
    <col min="7682" max="7682" width="13.1796875" style="1635" customWidth="1"/>
    <col min="7683" max="7683" width="15.6328125" style="1635" customWidth="1"/>
    <col min="7684" max="7684" width="9.36328125" style="1635" bestFit="1" customWidth="1"/>
    <col min="7685" max="7685" width="13.453125" style="1635" customWidth="1"/>
    <col min="7686" max="7686" width="9" style="1635"/>
    <col min="7687" max="7687" width="9.36328125" style="1635" bestFit="1" customWidth="1"/>
    <col min="7688" max="7689" width="9" style="1635"/>
    <col min="7690" max="7690" width="9.36328125" style="1635" bestFit="1" customWidth="1"/>
    <col min="7691" max="7691" width="4" style="1635" customWidth="1"/>
    <col min="7692" max="7692" width="5.08984375" style="1635" customWidth="1"/>
    <col min="7693" max="7693" width="13.81640625" style="1635" customWidth="1"/>
    <col min="7694" max="7936" width="9" style="1635"/>
    <col min="7937" max="7937" width="4.90625" style="1635" customWidth="1"/>
    <col min="7938" max="7938" width="13.1796875" style="1635" customWidth="1"/>
    <col min="7939" max="7939" width="15.6328125" style="1635" customWidth="1"/>
    <col min="7940" max="7940" width="9.36328125" style="1635" bestFit="1" customWidth="1"/>
    <col min="7941" max="7941" width="13.453125" style="1635" customWidth="1"/>
    <col min="7942" max="7942" width="9" style="1635"/>
    <col min="7943" max="7943" width="9.36328125" style="1635" bestFit="1" customWidth="1"/>
    <col min="7944" max="7945" width="9" style="1635"/>
    <col min="7946" max="7946" width="9.36328125" style="1635" bestFit="1" customWidth="1"/>
    <col min="7947" max="7947" width="4" style="1635" customWidth="1"/>
    <col min="7948" max="7948" width="5.08984375" style="1635" customWidth="1"/>
    <col min="7949" max="7949" width="13.81640625" style="1635" customWidth="1"/>
    <col min="7950" max="8192" width="9" style="1635"/>
    <col min="8193" max="8193" width="4.90625" style="1635" customWidth="1"/>
    <col min="8194" max="8194" width="13.1796875" style="1635" customWidth="1"/>
    <col min="8195" max="8195" width="15.6328125" style="1635" customWidth="1"/>
    <col min="8196" max="8196" width="9.36328125" style="1635" bestFit="1" customWidth="1"/>
    <col min="8197" max="8197" width="13.453125" style="1635" customWidth="1"/>
    <col min="8198" max="8198" width="9" style="1635"/>
    <col min="8199" max="8199" width="9.36328125" style="1635" bestFit="1" customWidth="1"/>
    <col min="8200" max="8201" width="9" style="1635"/>
    <col min="8202" max="8202" width="9.36328125" style="1635" bestFit="1" customWidth="1"/>
    <col min="8203" max="8203" width="4" style="1635" customWidth="1"/>
    <col min="8204" max="8204" width="5.08984375" style="1635" customWidth="1"/>
    <col min="8205" max="8205" width="13.81640625" style="1635" customWidth="1"/>
    <col min="8206" max="8448" width="9" style="1635"/>
    <col min="8449" max="8449" width="4.90625" style="1635" customWidth="1"/>
    <col min="8450" max="8450" width="13.1796875" style="1635" customWidth="1"/>
    <col min="8451" max="8451" width="15.6328125" style="1635" customWidth="1"/>
    <col min="8452" max="8452" width="9.36328125" style="1635" bestFit="1" customWidth="1"/>
    <col min="8453" max="8453" width="13.453125" style="1635" customWidth="1"/>
    <col min="8454" max="8454" width="9" style="1635"/>
    <col min="8455" max="8455" width="9.36328125" style="1635" bestFit="1" customWidth="1"/>
    <col min="8456" max="8457" width="9" style="1635"/>
    <col min="8458" max="8458" width="9.36328125" style="1635" bestFit="1" customWidth="1"/>
    <col min="8459" max="8459" width="4" style="1635" customWidth="1"/>
    <col min="8460" max="8460" width="5.08984375" style="1635" customWidth="1"/>
    <col min="8461" max="8461" width="13.81640625" style="1635" customWidth="1"/>
    <col min="8462" max="8704" width="9" style="1635"/>
    <col min="8705" max="8705" width="4.90625" style="1635" customWidth="1"/>
    <col min="8706" max="8706" width="13.1796875" style="1635" customWidth="1"/>
    <col min="8707" max="8707" width="15.6328125" style="1635" customWidth="1"/>
    <col min="8708" max="8708" width="9.36328125" style="1635" bestFit="1" customWidth="1"/>
    <col min="8709" max="8709" width="13.453125" style="1635" customWidth="1"/>
    <col min="8710" max="8710" width="9" style="1635"/>
    <col min="8711" max="8711" width="9.36328125" style="1635" bestFit="1" customWidth="1"/>
    <col min="8712" max="8713" width="9" style="1635"/>
    <col min="8714" max="8714" width="9.36328125" style="1635" bestFit="1" customWidth="1"/>
    <col min="8715" max="8715" width="4" style="1635" customWidth="1"/>
    <col min="8716" max="8716" width="5.08984375" style="1635" customWidth="1"/>
    <col min="8717" max="8717" width="13.81640625" style="1635" customWidth="1"/>
    <col min="8718" max="8960" width="9" style="1635"/>
    <col min="8961" max="8961" width="4.90625" style="1635" customWidth="1"/>
    <col min="8962" max="8962" width="13.1796875" style="1635" customWidth="1"/>
    <col min="8963" max="8963" width="15.6328125" style="1635" customWidth="1"/>
    <col min="8964" max="8964" width="9.36328125" style="1635" bestFit="1" customWidth="1"/>
    <col min="8965" max="8965" width="13.453125" style="1635" customWidth="1"/>
    <col min="8966" max="8966" width="9" style="1635"/>
    <col min="8967" max="8967" width="9.36328125" style="1635" bestFit="1" customWidth="1"/>
    <col min="8968" max="8969" width="9" style="1635"/>
    <col min="8970" max="8970" width="9.36328125" style="1635" bestFit="1" customWidth="1"/>
    <col min="8971" max="8971" width="4" style="1635" customWidth="1"/>
    <col min="8972" max="8972" width="5.08984375" style="1635" customWidth="1"/>
    <col min="8973" max="8973" width="13.81640625" style="1635" customWidth="1"/>
    <col min="8974" max="9216" width="9" style="1635"/>
    <col min="9217" max="9217" width="4.90625" style="1635" customWidth="1"/>
    <col min="9218" max="9218" width="13.1796875" style="1635" customWidth="1"/>
    <col min="9219" max="9219" width="15.6328125" style="1635" customWidth="1"/>
    <col min="9220" max="9220" width="9.36328125" style="1635" bestFit="1" customWidth="1"/>
    <col min="9221" max="9221" width="13.453125" style="1635" customWidth="1"/>
    <col min="9222" max="9222" width="9" style="1635"/>
    <col min="9223" max="9223" width="9.36328125" style="1635" bestFit="1" customWidth="1"/>
    <col min="9224" max="9225" width="9" style="1635"/>
    <col min="9226" max="9226" width="9.36328125" style="1635" bestFit="1" customWidth="1"/>
    <col min="9227" max="9227" width="4" style="1635" customWidth="1"/>
    <col min="9228" max="9228" width="5.08984375" style="1635" customWidth="1"/>
    <col min="9229" max="9229" width="13.81640625" style="1635" customWidth="1"/>
    <col min="9230" max="9472" width="9" style="1635"/>
    <col min="9473" max="9473" width="4.90625" style="1635" customWidth="1"/>
    <col min="9474" max="9474" width="13.1796875" style="1635" customWidth="1"/>
    <col min="9475" max="9475" width="15.6328125" style="1635" customWidth="1"/>
    <col min="9476" max="9476" width="9.36328125" style="1635" bestFit="1" customWidth="1"/>
    <col min="9477" max="9477" width="13.453125" style="1635" customWidth="1"/>
    <col min="9478" max="9478" width="9" style="1635"/>
    <col min="9479" max="9479" width="9.36328125" style="1635" bestFit="1" customWidth="1"/>
    <col min="9480" max="9481" width="9" style="1635"/>
    <col min="9482" max="9482" width="9.36328125" style="1635" bestFit="1" customWidth="1"/>
    <col min="9483" max="9483" width="4" style="1635" customWidth="1"/>
    <col min="9484" max="9484" width="5.08984375" style="1635" customWidth="1"/>
    <col min="9485" max="9485" width="13.81640625" style="1635" customWidth="1"/>
    <col min="9486" max="9728" width="9" style="1635"/>
    <col min="9729" max="9729" width="4.90625" style="1635" customWidth="1"/>
    <col min="9730" max="9730" width="13.1796875" style="1635" customWidth="1"/>
    <col min="9731" max="9731" width="15.6328125" style="1635" customWidth="1"/>
    <col min="9732" max="9732" width="9.36328125" style="1635" bestFit="1" customWidth="1"/>
    <col min="9733" max="9733" width="13.453125" style="1635" customWidth="1"/>
    <col min="9734" max="9734" width="9" style="1635"/>
    <col min="9735" max="9735" width="9.36328125" style="1635" bestFit="1" customWidth="1"/>
    <col min="9736" max="9737" width="9" style="1635"/>
    <col min="9738" max="9738" width="9.36328125" style="1635" bestFit="1" customWidth="1"/>
    <col min="9739" max="9739" width="4" style="1635" customWidth="1"/>
    <col min="9740" max="9740" width="5.08984375" style="1635" customWidth="1"/>
    <col min="9741" max="9741" width="13.81640625" style="1635" customWidth="1"/>
    <col min="9742" max="9984" width="9" style="1635"/>
    <col min="9985" max="9985" width="4.90625" style="1635" customWidth="1"/>
    <col min="9986" max="9986" width="13.1796875" style="1635" customWidth="1"/>
    <col min="9987" max="9987" width="15.6328125" style="1635" customWidth="1"/>
    <col min="9988" max="9988" width="9.36328125" style="1635" bestFit="1" customWidth="1"/>
    <col min="9989" max="9989" width="13.453125" style="1635" customWidth="1"/>
    <col min="9990" max="9990" width="9" style="1635"/>
    <col min="9991" max="9991" width="9.36328125" style="1635" bestFit="1" customWidth="1"/>
    <col min="9992" max="9993" width="9" style="1635"/>
    <col min="9994" max="9994" width="9.36328125" style="1635" bestFit="1" customWidth="1"/>
    <col min="9995" max="9995" width="4" style="1635" customWidth="1"/>
    <col min="9996" max="9996" width="5.08984375" style="1635" customWidth="1"/>
    <col min="9997" max="9997" width="13.81640625" style="1635" customWidth="1"/>
    <col min="9998" max="10240" width="9" style="1635"/>
    <col min="10241" max="10241" width="4.90625" style="1635" customWidth="1"/>
    <col min="10242" max="10242" width="13.1796875" style="1635" customWidth="1"/>
    <col min="10243" max="10243" width="15.6328125" style="1635" customWidth="1"/>
    <col min="10244" max="10244" width="9.36328125" style="1635" bestFit="1" customWidth="1"/>
    <col min="10245" max="10245" width="13.453125" style="1635" customWidth="1"/>
    <col min="10246" max="10246" width="9" style="1635"/>
    <col min="10247" max="10247" width="9.36328125" style="1635" bestFit="1" customWidth="1"/>
    <col min="10248" max="10249" width="9" style="1635"/>
    <col min="10250" max="10250" width="9.36328125" style="1635" bestFit="1" customWidth="1"/>
    <col min="10251" max="10251" width="4" style="1635" customWidth="1"/>
    <col min="10252" max="10252" width="5.08984375" style="1635" customWidth="1"/>
    <col min="10253" max="10253" width="13.81640625" style="1635" customWidth="1"/>
    <col min="10254" max="10496" width="9" style="1635"/>
    <col min="10497" max="10497" width="4.90625" style="1635" customWidth="1"/>
    <col min="10498" max="10498" width="13.1796875" style="1635" customWidth="1"/>
    <col min="10499" max="10499" width="15.6328125" style="1635" customWidth="1"/>
    <col min="10500" max="10500" width="9.36328125" style="1635" bestFit="1" customWidth="1"/>
    <col min="10501" max="10501" width="13.453125" style="1635" customWidth="1"/>
    <col min="10502" max="10502" width="9" style="1635"/>
    <col min="10503" max="10503" width="9.36328125" style="1635" bestFit="1" customWidth="1"/>
    <col min="10504" max="10505" width="9" style="1635"/>
    <col min="10506" max="10506" width="9.36328125" style="1635" bestFit="1" customWidth="1"/>
    <col min="10507" max="10507" width="4" style="1635" customWidth="1"/>
    <col min="10508" max="10508" width="5.08984375" style="1635" customWidth="1"/>
    <col min="10509" max="10509" width="13.81640625" style="1635" customWidth="1"/>
    <col min="10510" max="10752" width="9" style="1635"/>
    <col min="10753" max="10753" width="4.90625" style="1635" customWidth="1"/>
    <col min="10754" max="10754" width="13.1796875" style="1635" customWidth="1"/>
    <col min="10755" max="10755" width="15.6328125" style="1635" customWidth="1"/>
    <col min="10756" max="10756" width="9.36328125" style="1635" bestFit="1" customWidth="1"/>
    <col min="10757" max="10757" width="13.453125" style="1635" customWidth="1"/>
    <col min="10758" max="10758" width="9" style="1635"/>
    <col min="10759" max="10759" width="9.36328125" style="1635" bestFit="1" customWidth="1"/>
    <col min="10760" max="10761" width="9" style="1635"/>
    <col min="10762" max="10762" width="9.36328125" style="1635" bestFit="1" customWidth="1"/>
    <col min="10763" max="10763" width="4" style="1635" customWidth="1"/>
    <col min="10764" max="10764" width="5.08984375" style="1635" customWidth="1"/>
    <col min="10765" max="10765" width="13.81640625" style="1635" customWidth="1"/>
    <col min="10766" max="11008" width="9" style="1635"/>
    <col min="11009" max="11009" width="4.90625" style="1635" customWidth="1"/>
    <col min="11010" max="11010" width="13.1796875" style="1635" customWidth="1"/>
    <col min="11011" max="11011" width="15.6328125" style="1635" customWidth="1"/>
    <col min="11012" max="11012" width="9.36328125" style="1635" bestFit="1" customWidth="1"/>
    <col min="11013" max="11013" width="13.453125" style="1635" customWidth="1"/>
    <col min="11014" max="11014" width="9" style="1635"/>
    <col min="11015" max="11015" width="9.36328125" style="1635" bestFit="1" customWidth="1"/>
    <col min="11016" max="11017" width="9" style="1635"/>
    <col min="11018" max="11018" width="9.36328125" style="1635" bestFit="1" customWidth="1"/>
    <col min="11019" max="11019" width="4" style="1635" customWidth="1"/>
    <col min="11020" max="11020" width="5.08984375" style="1635" customWidth="1"/>
    <col min="11021" max="11021" width="13.81640625" style="1635" customWidth="1"/>
    <col min="11022" max="11264" width="9" style="1635"/>
    <col min="11265" max="11265" width="4.90625" style="1635" customWidth="1"/>
    <col min="11266" max="11266" width="13.1796875" style="1635" customWidth="1"/>
    <col min="11267" max="11267" width="15.6328125" style="1635" customWidth="1"/>
    <col min="11268" max="11268" width="9.36328125" style="1635" bestFit="1" customWidth="1"/>
    <col min="11269" max="11269" width="13.453125" style="1635" customWidth="1"/>
    <col min="11270" max="11270" width="9" style="1635"/>
    <col min="11271" max="11271" width="9.36328125" style="1635" bestFit="1" customWidth="1"/>
    <col min="11272" max="11273" width="9" style="1635"/>
    <col min="11274" max="11274" width="9.36328125" style="1635" bestFit="1" customWidth="1"/>
    <col min="11275" max="11275" width="4" style="1635" customWidth="1"/>
    <col min="11276" max="11276" width="5.08984375" style="1635" customWidth="1"/>
    <col min="11277" max="11277" width="13.81640625" style="1635" customWidth="1"/>
    <col min="11278" max="11520" width="9" style="1635"/>
    <col min="11521" max="11521" width="4.90625" style="1635" customWidth="1"/>
    <col min="11522" max="11522" width="13.1796875" style="1635" customWidth="1"/>
    <col min="11523" max="11523" width="15.6328125" style="1635" customWidth="1"/>
    <col min="11524" max="11524" width="9.36328125" style="1635" bestFit="1" customWidth="1"/>
    <col min="11525" max="11525" width="13.453125" style="1635" customWidth="1"/>
    <col min="11526" max="11526" width="9" style="1635"/>
    <col min="11527" max="11527" width="9.36328125" style="1635" bestFit="1" customWidth="1"/>
    <col min="11528" max="11529" width="9" style="1635"/>
    <col min="11530" max="11530" width="9.36328125" style="1635" bestFit="1" customWidth="1"/>
    <col min="11531" max="11531" width="4" style="1635" customWidth="1"/>
    <col min="11532" max="11532" width="5.08984375" style="1635" customWidth="1"/>
    <col min="11533" max="11533" width="13.81640625" style="1635" customWidth="1"/>
    <col min="11534" max="11776" width="9" style="1635"/>
    <col min="11777" max="11777" width="4.90625" style="1635" customWidth="1"/>
    <col min="11778" max="11778" width="13.1796875" style="1635" customWidth="1"/>
    <col min="11779" max="11779" width="15.6328125" style="1635" customWidth="1"/>
    <col min="11780" max="11780" width="9.36328125" style="1635" bestFit="1" customWidth="1"/>
    <col min="11781" max="11781" width="13.453125" style="1635" customWidth="1"/>
    <col min="11782" max="11782" width="9" style="1635"/>
    <col min="11783" max="11783" width="9.36328125" style="1635" bestFit="1" customWidth="1"/>
    <col min="11784" max="11785" width="9" style="1635"/>
    <col min="11786" max="11786" width="9.36328125" style="1635" bestFit="1" customWidth="1"/>
    <col min="11787" max="11787" width="4" style="1635" customWidth="1"/>
    <col min="11788" max="11788" width="5.08984375" style="1635" customWidth="1"/>
    <col min="11789" max="11789" width="13.81640625" style="1635" customWidth="1"/>
    <col min="11790" max="12032" width="9" style="1635"/>
    <col min="12033" max="12033" width="4.90625" style="1635" customWidth="1"/>
    <col min="12034" max="12034" width="13.1796875" style="1635" customWidth="1"/>
    <col min="12035" max="12035" width="15.6328125" style="1635" customWidth="1"/>
    <col min="12036" max="12036" width="9.36328125" style="1635" bestFit="1" customWidth="1"/>
    <col min="12037" max="12037" width="13.453125" style="1635" customWidth="1"/>
    <col min="12038" max="12038" width="9" style="1635"/>
    <col min="12039" max="12039" width="9.36328125" style="1635" bestFit="1" customWidth="1"/>
    <col min="12040" max="12041" width="9" style="1635"/>
    <col min="12042" max="12042" width="9.36328125" style="1635" bestFit="1" customWidth="1"/>
    <col min="12043" max="12043" width="4" style="1635" customWidth="1"/>
    <col min="12044" max="12044" width="5.08984375" style="1635" customWidth="1"/>
    <col min="12045" max="12045" width="13.81640625" style="1635" customWidth="1"/>
    <col min="12046" max="12288" width="9" style="1635"/>
    <col min="12289" max="12289" width="4.90625" style="1635" customWidth="1"/>
    <col min="12290" max="12290" width="13.1796875" style="1635" customWidth="1"/>
    <col min="12291" max="12291" width="15.6328125" style="1635" customWidth="1"/>
    <col min="12292" max="12292" width="9.36328125" style="1635" bestFit="1" customWidth="1"/>
    <col min="12293" max="12293" width="13.453125" style="1635" customWidth="1"/>
    <col min="12294" max="12294" width="9" style="1635"/>
    <col min="12295" max="12295" width="9.36328125" style="1635" bestFit="1" customWidth="1"/>
    <col min="12296" max="12297" width="9" style="1635"/>
    <col min="12298" max="12298" width="9.36328125" style="1635" bestFit="1" customWidth="1"/>
    <col min="12299" max="12299" width="4" style="1635" customWidth="1"/>
    <col min="12300" max="12300" width="5.08984375" style="1635" customWidth="1"/>
    <col min="12301" max="12301" width="13.81640625" style="1635" customWidth="1"/>
    <col min="12302" max="12544" width="9" style="1635"/>
    <col min="12545" max="12545" width="4.90625" style="1635" customWidth="1"/>
    <col min="12546" max="12546" width="13.1796875" style="1635" customWidth="1"/>
    <col min="12547" max="12547" width="15.6328125" style="1635" customWidth="1"/>
    <col min="12548" max="12548" width="9.36328125" style="1635" bestFit="1" customWidth="1"/>
    <col min="12549" max="12549" width="13.453125" style="1635" customWidth="1"/>
    <col min="12550" max="12550" width="9" style="1635"/>
    <col min="12551" max="12551" width="9.36328125" style="1635" bestFit="1" customWidth="1"/>
    <col min="12552" max="12553" width="9" style="1635"/>
    <col min="12554" max="12554" width="9.36328125" style="1635" bestFit="1" customWidth="1"/>
    <col min="12555" max="12555" width="4" style="1635" customWidth="1"/>
    <col min="12556" max="12556" width="5.08984375" style="1635" customWidth="1"/>
    <col min="12557" max="12557" width="13.81640625" style="1635" customWidth="1"/>
    <col min="12558" max="12800" width="9" style="1635"/>
    <col min="12801" max="12801" width="4.90625" style="1635" customWidth="1"/>
    <col min="12802" max="12802" width="13.1796875" style="1635" customWidth="1"/>
    <col min="12803" max="12803" width="15.6328125" style="1635" customWidth="1"/>
    <col min="12804" max="12804" width="9.36328125" style="1635" bestFit="1" customWidth="1"/>
    <col min="12805" max="12805" width="13.453125" style="1635" customWidth="1"/>
    <col min="12806" max="12806" width="9" style="1635"/>
    <col min="12807" max="12807" width="9.36328125" style="1635" bestFit="1" customWidth="1"/>
    <col min="12808" max="12809" width="9" style="1635"/>
    <col min="12810" max="12810" width="9.36328125" style="1635" bestFit="1" customWidth="1"/>
    <col min="12811" max="12811" width="4" style="1635" customWidth="1"/>
    <col min="12812" max="12812" width="5.08984375" style="1635" customWidth="1"/>
    <col min="12813" max="12813" width="13.81640625" style="1635" customWidth="1"/>
    <col min="12814" max="13056" width="9" style="1635"/>
    <col min="13057" max="13057" width="4.90625" style="1635" customWidth="1"/>
    <col min="13058" max="13058" width="13.1796875" style="1635" customWidth="1"/>
    <col min="13059" max="13059" width="15.6328125" style="1635" customWidth="1"/>
    <col min="13060" max="13060" width="9.36328125" style="1635" bestFit="1" customWidth="1"/>
    <col min="13061" max="13061" width="13.453125" style="1635" customWidth="1"/>
    <col min="13062" max="13062" width="9" style="1635"/>
    <col min="13063" max="13063" width="9.36328125" style="1635" bestFit="1" customWidth="1"/>
    <col min="13064" max="13065" width="9" style="1635"/>
    <col min="13066" max="13066" width="9.36328125" style="1635" bestFit="1" customWidth="1"/>
    <col min="13067" max="13067" width="4" style="1635" customWidth="1"/>
    <col min="13068" max="13068" width="5.08984375" style="1635" customWidth="1"/>
    <col min="13069" max="13069" width="13.81640625" style="1635" customWidth="1"/>
    <col min="13070" max="13312" width="9" style="1635"/>
    <col min="13313" max="13313" width="4.90625" style="1635" customWidth="1"/>
    <col min="13314" max="13314" width="13.1796875" style="1635" customWidth="1"/>
    <col min="13315" max="13315" width="15.6328125" style="1635" customWidth="1"/>
    <col min="13316" max="13316" width="9.36328125" style="1635" bestFit="1" customWidth="1"/>
    <col min="13317" max="13317" width="13.453125" style="1635" customWidth="1"/>
    <col min="13318" max="13318" width="9" style="1635"/>
    <col min="13319" max="13319" width="9.36328125" style="1635" bestFit="1" customWidth="1"/>
    <col min="13320" max="13321" width="9" style="1635"/>
    <col min="13322" max="13322" width="9.36328125" style="1635" bestFit="1" customWidth="1"/>
    <col min="13323" max="13323" width="4" style="1635" customWidth="1"/>
    <col min="13324" max="13324" width="5.08984375" style="1635" customWidth="1"/>
    <col min="13325" max="13325" width="13.81640625" style="1635" customWidth="1"/>
    <col min="13326" max="13568" width="9" style="1635"/>
    <col min="13569" max="13569" width="4.90625" style="1635" customWidth="1"/>
    <col min="13570" max="13570" width="13.1796875" style="1635" customWidth="1"/>
    <col min="13571" max="13571" width="15.6328125" style="1635" customWidth="1"/>
    <col min="13572" max="13572" width="9.36328125" style="1635" bestFit="1" customWidth="1"/>
    <col min="13573" max="13573" width="13.453125" style="1635" customWidth="1"/>
    <col min="13574" max="13574" width="9" style="1635"/>
    <col min="13575" max="13575" width="9.36328125" style="1635" bestFit="1" customWidth="1"/>
    <col min="13576" max="13577" width="9" style="1635"/>
    <col min="13578" max="13578" width="9.36328125" style="1635" bestFit="1" customWidth="1"/>
    <col min="13579" max="13579" width="4" style="1635" customWidth="1"/>
    <col min="13580" max="13580" width="5.08984375" style="1635" customWidth="1"/>
    <col min="13581" max="13581" width="13.81640625" style="1635" customWidth="1"/>
    <col min="13582" max="13824" width="9" style="1635"/>
    <col min="13825" max="13825" width="4.90625" style="1635" customWidth="1"/>
    <col min="13826" max="13826" width="13.1796875" style="1635" customWidth="1"/>
    <col min="13827" max="13827" width="15.6328125" style="1635" customWidth="1"/>
    <col min="13828" max="13828" width="9.36328125" style="1635" bestFit="1" customWidth="1"/>
    <col min="13829" max="13829" width="13.453125" style="1635" customWidth="1"/>
    <col min="13830" max="13830" width="9" style="1635"/>
    <col min="13831" max="13831" width="9.36328125" style="1635" bestFit="1" customWidth="1"/>
    <col min="13832" max="13833" width="9" style="1635"/>
    <col min="13834" max="13834" width="9.36328125" style="1635" bestFit="1" customWidth="1"/>
    <col min="13835" max="13835" width="4" style="1635" customWidth="1"/>
    <col min="13836" max="13836" width="5.08984375" style="1635" customWidth="1"/>
    <col min="13837" max="13837" width="13.81640625" style="1635" customWidth="1"/>
    <col min="13838" max="14080" width="9" style="1635"/>
    <col min="14081" max="14081" width="4.90625" style="1635" customWidth="1"/>
    <col min="14082" max="14082" width="13.1796875" style="1635" customWidth="1"/>
    <col min="14083" max="14083" width="15.6328125" style="1635" customWidth="1"/>
    <col min="14084" max="14084" width="9.36328125" style="1635" bestFit="1" customWidth="1"/>
    <col min="14085" max="14085" width="13.453125" style="1635" customWidth="1"/>
    <col min="14086" max="14086" width="9" style="1635"/>
    <col min="14087" max="14087" width="9.36328125" style="1635" bestFit="1" customWidth="1"/>
    <col min="14088" max="14089" width="9" style="1635"/>
    <col min="14090" max="14090" width="9.36328125" style="1635" bestFit="1" customWidth="1"/>
    <col min="14091" max="14091" width="4" style="1635" customWidth="1"/>
    <col min="14092" max="14092" width="5.08984375" style="1635" customWidth="1"/>
    <col min="14093" max="14093" width="13.81640625" style="1635" customWidth="1"/>
    <col min="14094" max="14336" width="9" style="1635"/>
    <col min="14337" max="14337" width="4.90625" style="1635" customWidth="1"/>
    <col min="14338" max="14338" width="13.1796875" style="1635" customWidth="1"/>
    <col min="14339" max="14339" width="15.6328125" style="1635" customWidth="1"/>
    <col min="14340" max="14340" width="9.36328125" style="1635" bestFit="1" customWidth="1"/>
    <col min="14341" max="14341" width="13.453125" style="1635" customWidth="1"/>
    <col min="14342" max="14342" width="9" style="1635"/>
    <col min="14343" max="14343" width="9.36328125" style="1635" bestFit="1" customWidth="1"/>
    <col min="14344" max="14345" width="9" style="1635"/>
    <col min="14346" max="14346" width="9.36328125" style="1635" bestFit="1" customWidth="1"/>
    <col min="14347" max="14347" width="4" style="1635" customWidth="1"/>
    <col min="14348" max="14348" width="5.08984375" style="1635" customWidth="1"/>
    <col min="14349" max="14349" width="13.81640625" style="1635" customWidth="1"/>
    <col min="14350" max="14592" width="9" style="1635"/>
    <col min="14593" max="14593" width="4.90625" style="1635" customWidth="1"/>
    <col min="14594" max="14594" width="13.1796875" style="1635" customWidth="1"/>
    <col min="14595" max="14595" width="15.6328125" style="1635" customWidth="1"/>
    <col min="14596" max="14596" width="9.36328125" style="1635" bestFit="1" customWidth="1"/>
    <col min="14597" max="14597" width="13.453125" style="1635" customWidth="1"/>
    <col min="14598" max="14598" width="9" style="1635"/>
    <col min="14599" max="14599" width="9.36328125" style="1635" bestFit="1" customWidth="1"/>
    <col min="14600" max="14601" width="9" style="1635"/>
    <col min="14602" max="14602" width="9.36328125" style="1635" bestFit="1" customWidth="1"/>
    <col min="14603" max="14603" width="4" style="1635" customWidth="1"/>
    <col min="14604" max="14604" width="5.08984375" style="1635" customWidth="1"/>
    <col min="14605" max="14605" width="13.81640625" style="1635" customWidth="1"/>
    <col min="14606" max="14848" width="9" style="1635"/>
    <col min="14849" max="14849" width="4.90625" style="1635" customWidth="1"/>
    <col min="14850" max="14850" width="13.1796875" style="1635" customWidth="1"/>
    <col min="14851" max="14851" width="15.6328125" style="1635" customWidth="1"/>
    <col min="14852" max="14852" width="9.36328125" style="1635" bestFit="1" customWidth="1"/>
    <col min="14853" max="14853" width="13.453125" style="1635" customWidth="1"/>
    <col min="14854" max="14854" width="9" style="1635"/>
    <col min="14855" max="14855" width="9.36328125" style="1635" bestFit="1" customWidth="1"/>
    <col min="14856" max="14857" width="9" style="1635"/>
    <col min="14858" max="14858" width="9.36328125" style="1635" bestFit="1" customWidth="1"/>
    <col min="14859" max="14859" width="4" style="1635" customWidth="1"/>
    <col min="14860" max="14860" width="5.08984375" style="1635" customWidth="1"/>
    <col min="14861" max="14861" width="13.81640625" style="1635" customWidth="1"/>
    <col min="14862" max="15104" width="9" style="1635"/>
    <col min="15105" max="15105" width="4.90625" style="1635" customWidth="1"/>
    <col min="15106" max="15106" width="13.1796875" style="1635" customWidth="1"/>
    <col min="15107" max="15107" width="15.6328125" style="1635" customWidth="1"/>
    <col min="15108" max="15108" width="9.36328125" style="1635" bestFit="1" customWidth="1"/>
    <col min="15109" max="15109" width="13.453125" style="1635" customWidth="1"/>
    <col min="15110" max="15110" width="9" style="1635"/>
    <col min="15111" max="15111" width="9.36328125" style="1635" bestFit="1" customWidth="1"/>
    <col min="15112" max="15113" width="9" style="1635"/>
    <col min="15114" max="15114" width="9.36328125" style="1635" bestFit="1" customWidth="1"/>
    <col min="15115" max="15115" width="4" style="1635" customWidth="1"/>
    <col min="15116" max="15116" width="5.08984375" style="1635" customWidth="1"/>
    <col min="15117" max="15117" width="13.81640625" style="1635" customWidth="1"/>
    <col min="15118" max="15360" width="9" style="1635"/>
    <col min="15361" max="15361" width="4.90625" style="1635" customWidth="1"/>
    <col min="15362" max="15362" width="13.1796875" style="1635" customWidth="1"/>
    <col min="15363" max="15363" width="15.6328125" style="1635" customWidth="1"/>
    <col min="15364" max="15364" width="9.36328125" style="1635" bestFit="1" customWidth="1"/>
    <col min="15365" max="15365" width="13.453125" style="1635" customWidth="1"/>
    <col min="15366" max="15366" width="9" style="1635"/>
    <col min="15367" max="15367" width="9.36328125" style="1635" bestFit="1" customWidth="1"/>
    <col min="15368" max="15369" width="9" style="1635"/>
    <col min="15370" max="15370" width="9.36328125" style="1635" bestFit="1" customWidth="1"/>
    <col min="15371" max="15371" width="4" style="1635" customWidth="1"/>
    <col min="15372" max="15372" width="5.08984375" style="1635" customWidth="1"/>
    <col min="15373" max="15373" width="13.81640625" style="1635" customWidth="1"/>
    <col min="15374" max="15616" width="9" style="1635"/>
    <col min="15617" max="15617" width="4.90625" style="1635" customWidth="1"/>
    <col min="15618" max="15618" width="13.1796875" style="1635" customWidth="1"/>
    <col min="15619" max="15619" width="15.6328125" style="1635" customWidth="1"/>
    <col min="15620" max="15620" width="9.36328125" style="1635" bestFit="1" customWidth="1"/>
    <col min="15621" max="15621" width="13.453125" style="1635" customWidth="1"/>
    <col min="15622" max="15622" width="9" style="1635"/>
    <col min="15623" max="15623" width="9.36328125" style="1635" bestFit="1" customWidth="1"/>
    <col min="15624" max="15625" width="9" style="1635"/>
    <col min="15626" max="15626" width="9.36328125" style="1635" bestFit="1" customWidth="1"/>
    <col min="15627" max="15627" width="4" style="1635" customWidth="1"/>
    <col min="15628" max="15628" width="5.08984375" style="1635" customWidth="1"/>
    <col min="15629" max="15629" width="13.81640625" style="1635" customWidth="1"/>
    <col min="15630" max="15872" width="9" style="1635"/>
    <col min="15873" max="15873" width="4.90625" style="1635" customWidth="1"/>
    <col min="15874" max="15874" width="13.1796875" style="1635" customWidth="1"/>
    <col min="15875" max="15875" width="15.6328125" style="1635" customWidth="1"/>
    <col min="15876" max="15876" width="9.36328125" style="1635" bestFit="1" customWidth="1"/>
    <col min="15877" max="15877" width="13.453125" style="1635" customWidth="1"/>
    <col min="15878" max="15878" width="9" style="1635"/>
    <col min="15879" max="15879" width="9.36328125" style="1635" bestFit="1" customWidth="1"/>
    <col min="15880" max="15881" width="9" style="1635"/>
    <col min="15882" max="15882" width="9.36328125" style="1635" bestFit="1" customWidth="1"/>
    <col min="15883" max="15883" width="4" style="1635" customWidth="1"/>
    <col min="15884" max="15884" width="5.08984375" style="1635" customWidth="1"/>
    <col min="15885" max="15885" width="13.81640625" style="1635" customWidth="1"/>
    <col min="15886" max="16128" width="9" style="1635"/>
    <col min="16129" max="16129" width="4.90625" style="1635" customWidth="1"/>
    <col min="16130" max="16130" width="13.1796875" style="1635" customWidth="1"/>
    <col min="16131" max="16131" width="15.6328125" style="1635" customWidth="1"/>
    <col min="16132" max="16132" width="9.36328125" style="1635" bestFit="1" customWidth="1"/>
    <col min="16133" max="16133" width="13.453125" style="1635" customWidth="1"/>
    <col min="16134" max="16134" width="9" style="1635"/>
    <col min="16135" max="16135" width="9.36328125" style="1635" bestFit="1" customWidth="1"/>
    <col min="16136" max="16137" width="9" style="1635"/>
    <col min="16138" max="16138" width="9.36328125" style="1635" bestFit="1" customWidth="1"/>
    <col min="16139" max="16139" width="4" style="1635" customWidth="1"/>
    <col min="16140" max="16140" width="5.08984375" style="1635" customWidth="1"/>
    <col min="16141" max="16141" width="13.81640625" style="1635" customWidth="1"/>
    <col min="16142" max="16384" width="9" style="1635"/>
  </cols>
  <sheetData>
    <row r="1" spans="1:257" s="1699" customFormat="1" ht="14.5" thickBot="1">
      <c r="A1" s="1693"/>
      <c r="B1" s="1700" t="s">
        <v>1295</v>
      </c>
      <c r="C1" s="1694">
        <f>项目基本情况!D3</f>
        <v>43872</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1">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3">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30">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6.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782" t="s">
        <v>1367</v>
      </c>
      <c r="E1" s="1776" t="s">
        <v>1371</v>
      </c>
      <c r="F1" s="1777" t="s">
        <v>1375</v>
      </c>
    </row>
    <row r="2" spans="1:13" ht="20">
      <c r="A2" s="1783" t="s">
        <v>1368</v>
      </c>
    </row>
    <row r="3" spans="1:13" ht="16.5">
      <c r="A3" s="1784" t="s">
        <v>1369</v>
      </c>
    </row>
    <row r="4" spans="1:13">
      <c r="A4" s="1774" t="s">
        <v>1370</v>
      </c>
      <c r="B4" s="1779" t="s">
        <v>1372</v>
      </c>
      <c r="C4" s="1780"/>
      <c r="D4" s="1781"/>
      <c r="E4" s="1779" t="s">
        <v>27</v>
      </c>
      <c r="F4" s="1780"/>
      <c r="G4" s="1781"/>
      <c r="H4" s="1779" t="s">
        <v>1373</v>
      </c>
      <c r="I4" s="1780"/>
      <c r="J4" s="1781"/>
      <c r="K4" s="1779" t="s">
        <v>6</v>
      </c>
      <c r="L4" s="1780"/>
      <c r="M4" s="1781"/>
    </row>
    <row r="5" spans="1:13">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944" customWidth="1"/>
    <col min="2" max="9" width="12.08984375" style="1944" customWidth="1"/>
    <col min="10" max="16384" width="9" style="1944"/>
  </cols>
  <sheetData>
    <row r="1" spans="1:9" ht="18.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1635</v>
      </c>
      <c r="B2" s="3002" t="s">
        <v>1636</v>
      </c>
      <c r="C2" s="3002" t="s">
        <v>1637</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6">
      <c r="A3" s="3003"/>
      <c r="B3" s="3003"/>
      <c r="C3" s="3003"/>
      <c r="D3" s="1044" t="s">
        <v>1632</v>
      </c>
      <c r="E3" s="1044" t="s">
        <v>1638</v>
      </c>
      <c r="F3" s="1044" t="s">
        <v>1632</v>
      </c>
      <c r="G3" s="1044" t="s">
        <v>1633</v>
      </c>
      <c r="H3" s="1044" t="s">
        <v>1632</v>
      </c>
      <c r="I3" s="1044" t="s">
        <v>1633</v>
      </c>
    </row>
    <row r="4" spans="1:9" ht="15.5">
      <c r="A4" s="1972" t="str">
        <f>项目基本情况!S2</f>
        <v>房地产</v>
      </c>
      <c r="B4" s="1044">
        <f>项目基本情况!C17</f>
        <v>3000.7300000000005</v>
      </c>
      <c r="C4" s="1044">
        <f>项目基本情况!C18</f>
        <v>0</v>
      </c>
      <c r="D4" s="1044" t="e">
        <f ca="1">结果表!D118</f>
        <v>#REF!</v>
      </c>
      <c r="E4" s="1044" t="e">
        <f ca="1">结果表!E118</f>
        <v>#REF!</v>
      </c>
      <c r="F4" s="1044" t="e">
        <f ca="1">结果表!F118</f>
        <v>#REF!</v>
      </c>
      <c r="G4" s="1044" t="e">
        <f ca="1">结果表!G118</f>
        <v>#REF!</v>
      </c>
      <c r="H4" s="1044">
        <f ca="1">结果表!H118</f>
        <v>22407</v>
      </c>
      <c r="I4" s="1044">
        <f ca="1">结果表!I118</f>
        <v>74672</v>
      </c>
    </row>
    <row r="5" spans="1:9" ht="30" customHeight="1">
      <c r="A5" s="3003" t="s">
        <v>1634</v>
      </c>
      <c r="B5" s="3003"/>
      <c r="C5" s="3003"/>
      <c r="D5" s="3004" t="e">
        <f ca="1">结果表!D119</f>
        <v>#REF!</v>
      </c>
      <c r="E5" s="3004"/>
      <c r="F5" s="3004" t="e">
        <f ca="1">结果表!F119</f>
        <v>#REF!</v>
      </c>
      <c r="G5" s="3004"/>
      <c r="H5" s="3004" t="str">
        <f ca="1">结果表!H119</f>
        <v>贰亿贰仟肆佰零柒万元整</v>
      </c>
      <c r="I5" s="3004"/>
    </row>
    <row r="6" spans="1:9" ht="15.5">
      <c r="A6" s="3005" t="str">
        <f>结果表!A120</f>
        <v>估价师知悉的法定优先受偿款</v>
      </c>
      <c r="B6" s="3005"/>
      <c r="C6" s="3005"/>
      <c r="D6" s="3005">
        <f>结果表!D120</f>
        <v>0</v>
      </c>
      <c r="E6" s="3005"/>
      <c r="F6" s="3005"/>
      <c r="G6" s="3005"/>
      <c r="H6" s="3005"/>
      <c r="I6" s="3005"/>
    </row>
    <row r="7" spans="1:9" ht="15.5">
      <c r="A7" s="3003" t="s">
        <v>1634</v>
      </c>
      <c r="B7" s="3003"/>
      <c r="C7" s="3003"/>
      <c r="D7" s="3006" t="str">
        <f>结果表!D121</f>
        <v>零元整</v>
      </c>
      <c r="E7" s="3007"/>
      <c r="F7" s="3007"/>
      <c r="G7" s="3007"/>
      <c r="H7" s="3007"/>
      <c r="I7" s="3008"/>
    </row>
    <row r="8" spans="1:9" ht="15.5">
      <c r="A8" s="3005" t="str">
        <f>结果表!A122</f>
        <v>房地产抵押价值</v>
      </c>
      <c r="B8" s="3005"/>
      <c r="C8" s="3005"/>
      <c r="D8" s="3005">
        <f ca="1">结果表!D122</f>
        <v>22407</v>
      </c>
      <c r="E8" s="3005"/>
      <c r="F8" s="3005"/>
      <c r="G8" s="3005"/>
      <c r="H8" s="3005"/>
      <c r="I8" s="3005"/>
    </row>
    <row r="9" spans="1:9" ht="15.5">
      <c r="A9" s="3003" t="s">
        <v>1634</v>
      </c>
      <c r="B9" s="3003"/>
      <c r="C9" s="3003"/>
      <c r="D9" s="3004" t="str">
        <f ca="1">结果表!D123</f>
        <v>贰亿贰仟肆佰零柒万元整</v>
      </c>
      <c r="E9" s="3004"/>
      <c r="F9" s="3004"/>
      <c r="G9" s="3004"/>
      <c r="H9" s="3004"/>
      <c r="I9" s="3004"/>
    </row>
    <row r="10" spans="1:9" ht="15.5">
      <c r="A10" s="3005" t="str">
        <f>结果表!A124</f>
        <v/>
      </c>
      <c r="B10" s="3005"/>
      <c r="C10" s="3005"/>
      <c r="D10" s="3005" t="str">
        <f>结果表!D124</f>
        <v>——</v>
      </c>
      <c r="E10" s="3005"/>
      <c r="F10" s="3005"/>
      <c r="G10" s="3005"/>
      <c r="H10" s="3005"/>
      <c r="I10" s="3005"/>
    </row>
    <row r="11" spans="1:9" ht="15.5">
      <c r="A11" s="3003" t="s">
        <v>1634</v>
      </c>
      <c r="B11" s="3003"/>
      <c r="C11" s="3003"/>
      <c r="D11" s="3004" t="e">
        <f>结果表!D125</f>
        <v>#VALUE!</v>
      </c>
      <c r="E11" s="3004"/>
      <c r="F11" s="3004"/>
      <c r="G11" s="3004"/>
      <c r="H11" s="3004"/>
      <c r="I11" s="3004"/>
    </row>
    <row r="12" spans="1:9" ht="15.5">
      <c r="A12" s="3005" t="str">
        <f>结果表!A126</f>
        <v/>
      </c>
      <c r="B12" s="3005"/>
      <c r="C12" s="3005"/>
      <c r="D12" s="3005" t="str">
        <f>结果表!D126</f>
        <v>——</v>
      </c>
      <c r="E12" s="3005"/>
      <c r="F12" s="3005"/>
      <c r="G12" s="3005"/>
      <c r="H12" s="3005"/>
      <c r="I12" s="3005"/>
    </row>
    <row r="13" spans="1:9" ht="16" thickBot="1">
      <c r="A13" s="3009" t="s">
        <v>1634</v>
      </c>
      <c r="B13" s="3009"/>
      <c r="C13" s="3009"/>
      <c r="D13" s="3010" t="e">
        <f>结果表!D127</f>
        <v>#VALUE!</v>
      </c>
      <c r="E13" s="3010"/>
      <c r="F13" s="3010"/>
      <c r="G13" s="3010"/>
      <c r="H13" s="3010"/>
      <c r="I13" s="3010"/>
    </row>
    <row r="14" spans="1:9" ht="14.5" thickTop="1">
      <c r="A14" s="3011" t="s">
        <v>1639</v>
      </c>
      <c r="B14" s="3011"/>
      <c r="C14" s="3011"/>
      <c r="D14" s="3011"/>
      <c r="E14" s="3011"/>
      <c r="F14" s="3011"/>
      <c r="G14" s="3011"/>
      <c r="H14" s="3011"/>
      <c r="I14" s="3011"/>
    </row>
    <row r="16" spans="1:9" ht="1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944" customWidth="1"/>
    <col min="2" max="3" width="22.36328125" style="1944" customWidth="1"/>
    <col min="4" max="4" width="23" style="1944" customWidth="1"/>
    <col min="5" max="16384" width="9" style="1944"/>
  </cols>
  <sheetData>
    <row r="1" spans="1:4" ht="18">
      <c r="A1" s="3012" t="s">
        <v>1656</v>
      </c>
      <c r="B1" s="3012"/>
      <c r="C1" s="3012"/>
      <c r="D1" s="3012"/>
    </row>
    <row r="2" spans="1:4" ht="18">
      <c r="A2" s="3013" t="s">
        <v>1640</v>
      </c>
      <c r="B2" s="3013"/>
      <c r="C2" s="3013"/>
      <c r="D2" s="3013"/>
    </row>
    <row r="3" spans="1:4" ht="1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3013" t="s">
        <v>1646</v>
      </c>
      <c r="B6" s="3013"/>
      <c r="C6" s="3013"/>
      <c r="D6" s="3013"/>
    </row>
    <row r="7" spans="1:4" ht="1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
      <c r="A10" s="1983" t="s">
        <v>1648</v>
      </c>
      <c r="B10" s="728"/>
      <c r="C10" s="728"/>
      <c r="D10" s="728"/>
    </row>
    <row r="11" spans="1:4" ht="30" customHeight="1">
      <c r="A11" s="3014" t="s">
        <v>1649</v>
      </c>
      <c r="B11" s="3015"/>
      <c r="C11" s="3015"/>
      <c r="D11" s="3015"/>
    </row>
    <row r="12" spans="1:4" ht="15.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6"/>
      <c r="C12" s="3016"/>
      <c r="D12" s="3016"/>
    </row>
    <row r="13" spans="1:4" ht="30" customHeight="1">
      <c r="A13" s="3015" t="str">
        <f>IF(项目基本情况!B8="抵押","3.抵押双方在办理抵押登记手续时，应使用本公司出具的正式《房地产评估报告》，特提醒报告使用者注意。","——")</f>
        <v>——</v>
      </c>
      <c r="B13" s="3016"/>
      <c r="C13" s="3016"/>
      <c r="D13" s="3016"/>
    </row>
    <row r="14" spans="1:4" ht="15.75" customHeight="1">
      <c r="A14" s="3015" t="str">
        <f>IF(项目基本情况!B8="抵押","4.本次评估估价师所知悉的法定优先受偿款情况说明如下：","——")</f>
        <v>——</v>
      </c>
      <c r="B14" s="3016"/>
      <c r="C14" s="3016"/>
      <c r="D14" s="3016"/>
    </row>
    <row r="15" spans="1:4" ht="42" customHeight="1">
      <c r="A15" s="3015" t="str">
        <f>IF(项目基本情况!B8="抵押","（1）"&amp;CONCATENATE(项目基本情况!L20,项目基本情况!L21,项目基本情况!L22),"——")</f>
        <v>——</v>
      </c>
      <c r="B15" s="3015"/>
      <c r="C15" s="3015"/>
      <c r="D15" s="3015"/>
    </row>
    <row r="16" spans="1:4" ht="30" customHeight="1">
      <c r="A16" s="3018" t="s">
        <v>1650</v>
      </c>
      <c r="B16" s="3018"/>
      <c r="C16" s="3018"/>
      <c r="D16" s="3018"/>
    </row>
    <row r="17" spans="1:4" ht="144" customHeight="1">
      <c r="A17" s="3018" t="s">
        <v>1651</v>
      </c>
      <c r="B17" s="3018"/>
      <c r="C17" s="3018"/>
      <c r="D17" s="3018"/>
    </row>
    <row r="18" spans="1:4" ht="15.75" customHeight="1">
      <c r="A18" s="3015" t="str">
        <f>IF(项目基本情况!B8="抵押",结果表!K120,"——")</f>
        <v>——</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5"/>
      <c r="C20" s="3015"/>
      <c r="D20" s="3015"/>
    </row>
    <row r="21" spans="1:4" ht="57.75" customHeight="1">
      <c r="A21" s="30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9"/>
      <c r="C21" s="3019"/>
      <c r="D21" s="3019"/>
    </row>
    <row r="22" spans="1:4" ht="18.75" customHeight="1">
      <c r="A22" s="3020" t="s">
        <v>1652</v>
      </c>
      <c r="B22" s="3020"/>
      <c r="C22" s="3020"/>
      <c r="D22" s="3020"/>
    </row>
    <row r="23" spans="1:4">
      <c r="A23" s="1984"/>
      <c r="B23" s="1956"/>
      <c r="C23" s="1956"/>
      <c r="D23" s="1956"/>
    </row>
    <row r="24" spans="1:4">
      <c r="A24" s="1984"/>
      <c r="B24" s="1956"/>
      <c r="C24" s="1956"/>
      <c r="D24" s="1956"/>
    </row>
    <row r="25" spans="1:4" ht="17.5">
      <c r="A25" s="1985" t="s">
        <v>1653</v>
      </c>
    </row>
    <row r="26" spans="1:4" ht="17.5">
      <c r="A26" s="1954"/>
    </row>
    <row r="27" spans="1:4" ht="17.5">
      <c r="A27" s="1954" t="s">
        <v>1654</v>
      </c>
    </row>
    <row r="30" spans="1:4" ht="17.5">
      <c r="D30" s="1985" t="s">
        <v>1655</v>
      </c>
    </row>
    <row r="31" spans="1:4" ht="13.5" customHeight="1">
      <c r="C31" s="3017">
        <v>42551</v>
      </c>
      <c r="D31" s="301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942" customWidth="1"/>
    <col min="3" max="10" width="12.453125" style="1942" customWidth="1"/>
    <col min="11" max="16384" width="9" style="1942"/>
  </cols>
  <sheetData>
    <row r="1" spans="1:10" ht="17.5">
      <c r="A1" s="1975" t="s">
        <v>866</v>
      </c>
      <c r="B1" s="1986"/>
      <c r="C1" s="1986"/>
      <c r="D1" s="1986"/>
      <c r="E1" s="1986"/>
      <c r="F1" s="1986"/>
      <c r="G1" s="1986"/>
      <c r="H1" s="1986"/>
      <c r="I1" s="1986"/>
      <c r="J1" s="1986"/>
    </row>
    <row r="2" spans="1:10" ht="1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53125" defaultRowHeight="15"/>
  <cols>
    <col min="1" max="1" width="14.453125" style="1992" customWidth="1"/>
    <col min="2" max="16384" width="14.453125" style="1974"/>
  </cols>
  <sheetData>
    <row r="1" spans="1:7" s="1989" customFormat="1" ht="1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4">
      <c r="A15" s="3026" t="s">
        <v>1663</v>
      </c>
      <c r="B15" s="3021" t="s">
        <v>136</v>
      </c>
      <c r="C15" s="3022"/>
    </row>
    <row r="16" spans="1:7" ht="14">
      <c r="A16" s="3027"/>
      <c r="B16" s="3021" t="s">
        <v>69</v>
      </c>
      <c r="C16" s="3022"/>
    </row>
    <row r="17" spans="1:3" ht="14">
      <c r="A17" s="3027"/>
      <c r="B17" s="3024" t="s">
        <v>1664</v>
      </c>
      <c r="C17" s="1999" t="s">
        <v>1663</v>
      </c>
    </row>
    <row r="18" spans="1:3" ht="14">
      <c r="A18" s="3027"/>
      <c r="B18" s="3024"/>
      <c r="C18" s="1999" t="s">
        <v>1665</v>
      </c>
    </row>
    <row r="19" spans="1:3" ht="14">
      <c r="A19" s="3027"/>
      <c r="B19" s="3024"/>
      <c r="C19" s="1999" t="s">
        <v>1666</v>
      </c>
    </row>
    <row r="20" spans="1:3" ht="14">
      <c r="A20" s="3028"/>
      <c r="B20" s="3023" t="s">
        <v>1667</v>
      </c>
      <c r="C20" s="3022"/>
    </row>
    <row r="21" spans="1:3" ht="14">
      <c r="A21" s="2000" t="s">
        <v>1668</v>
      </c>
      <c r="B21" s="2001"/>
      <c r="C21" s="2002"/>
    </row>
    <row r="22" spans="1:3" ht="14">
      <c r="A22" s="3025" t="s">
        <v>1669</v>
      </c>
      <c r="B22" s="3023" t="s">
        <v>1670</v>
      </c>
      <c r="C22" s="3022"/>
    </row>
    <row r="23" spans="1:3" ht="14">
      <c r="A23" s="3025"/>
      <c r="B23" s="3023" t="s">
        <v>1671</v>
      </c>
      <c r="C23" s="3022"/>
    </row>
    <row r="24" spans="1:3" ht="14">
      <c r="A24" s="3025"/>
      <c r="B24" s="3023" t="s">
        <v>1672</v>
      </c>
      <c r="C24" s="3022"/>
    </row>
    <row r="25" spans="1:3" ht="14">
      <c r="A25" s="3025"/>
      <c r="B25" s="3024" t="s">
        <v>1673</v>
      </c>
      <c r="C25" s="1999" t="s">
        <v>1674</v>
      </c>
    </row>
    <row r="26" spans="1:3" ht="14">
      <c r="A26" s="3025"/>
      <c r="B26" s="3024"/>
      <c r="C26" s="1999" t="s">
        <v>1675</v>
      </c>
    </row>
    <row r="27" spans="1:3" ht="14">
      <c r="A27" s="3025"/>
      <c r="B27" s="3024"/>
      <c r="C27" s="1999" t="s">
        <v>1676</v>
      </c>
    </row>
    <row r="28" spans="1:3" ht="14">
      <c r="A28" s="3025"/>
      <c r="B28" s="3024"/>
      <c r="C28" s="1999" t="s">
        <v>1677</v>
      </c>
    </row>
    <row r="29" spans="1:3" ht="14">
      <c r="A29" s="3025"/>
      <c r="B29" s="3024"/>
      <c r="C29" s="1999" t="s">
        <v>1678</v>
      </c>
    </row>
    <row r="30" spans="1:3" ht="14">
      <c r="A30" s="3025"/>
      <c r="B30" s="3024"/>
      <c r="C30" s="1999" t="s">
        <v>1679</v>
      </c>
    </row>
    <row r="31" spans="1:3" ht="14">
      <c r="A31" s="3025"/>
      <c r="B31" s="3024"/>
      <c r="C31" s="1999" t="s">
        <v>1680</v>
      </c>
    </row>
    <row r="32" spans="1:3" ht="14">
      <c r="A32" s="3025"/>
      <c r="B32" s="3024"/>
      <c r="C32" s="1999" t="s">
        <v>1681</v>
      </c>
    </row>
    <row r="33" spans="1:3" ht="14">
      <c r="A33" s="3025"/>
      <c r="B33" s="3024"/>
      <c r="C33" s="1999" t="s">
        <v>1682</v>
      </c>
    </row>
    <row r="34" spans="1:3">
      <c r="A34" s="2003" t="s">
        <v>76</v>
      </c>
    </row>
    <row r="37" spans="1:3">
      <c r="A37" s="2003" t="s">
        <v>1683</v>
      </c>
    </row>
    <row r="38" spans="1:3" ht="14">
      <c r="A38" s="2004" t="s">
        <v>77</v>
      </c>
    </row>
    <row r="39" spans="1:3" ht="14">
      <c r="A39" s="2004" t="s">
        <v>78</v>
      </c>
    </row>
    <row r="40" spans="1:3" ht="14">
      <c r="A40" s="2004" t="s">
        <v>79</v>
      </c>
    </row>
    <row r="41" spans="1:3" ht="14">
      <c r="A41" s="2005" t="s">
        <v>80</v>
      </c>
    </row>
    <row r="42" spans="1:3" ht="1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328125" defaultRowHeight="24" customHeight="1"/>
  <cols>
    <col min="1" max="2" width="22.6328125" style="1015"/>
    <col min="3" max="3" width="32.1796875" style="1015" customWidth="1"/>
    <col min="4" max="5" width="22.6328125" style="1015"/>
    <col min="6" max="6" width="25.6328125" style="1015" customWidth="1"/>
    <col min="7" max="16384" width="22.6328125" style="1015"/>
  </cols>
  <sheetData>
    <row r="2" spans="1:6" ht="24" customHeight="1">
      <c r="A2" s="1017" t="s">
        <v>825</v>
      </c>
      <c r="B2" s="1018">
        <f ca="1">TODAY()</f>
        <v>43875</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t="str">
        <f ca="1">IF(C4&lt;B2,"已过期",1119970066)</f>
        <v>已过期</v>
      </c>
      <c r="C4" s="2348">
        <v>43849</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t="str">
        <f ca="1">IF(C8&lt;B2,"已过期",1120000080)</f>
        <v>已过期</v>
      </c>
      <c r="C8" s="2348">
        <v>43849</v>
      </c>
      <c r="D8" s="2351" t="s">
        <v>835</v>
      </c>
      <c r="E8" s="1022">
        <f ca="1">IF(F8&lt;B2,"已过期",2000110082)</f>
        <v>2000110082</v>
      </c>
      <c r="F8" s="1030">
        <v>46387</v>
      </c>
    </row>
    <row r="9" spans="1:6" ht="24" customHeight="1">
      <c r="A9" s="1702" t="s">
        <v>836</v>
      </c>
      <c r="B9" s="1022" t="str">
        <f ca="1">IF(C9&lt;B2,"已过期",1419970001)</f>
        <v>已过期</v>
      </c>
      <c r="C9" s="2348">
        <v>43867</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3042</v>
      </c>
      <c r="B14" s="1022">
        <f ca="1">IF(C14&lt;B2,"已过期",1120040230)</f>
        <v>1120040230</v>
      </c>
      <c r="C14" s="2348">
        <v>44864</v>
      </c>
      <c r="D14" s="2351" t="s">
        <v>3042</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3049</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3051</v>
      </c>
      <c r="B23" s="1022">
        <v>1119980106</v>
      </c>
      <c r="C23" s="2348">
        <v>43916</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3029" t="s">
        <v>842</v>
      </c>
      <c r="B25" s="3029"/>
      <c r="C25" s="3029"/>
      <c r="D25" s="3029"/>
      <c r="E25" s="3029"/>
      <c r="F25" s="3029"/>
      <c r="G25" s="3029"/>
    </row>
    <row r="26" spans="1:7" s="1025" customFormat="1" ht="24" customHeight="1">
      <c r="A26" s="3030" t="s">
        <v>843</v>
      </c>
      <c r="B26" s="3030"/>
      <c r="C26" s="3031"/>
      <c r="D26" s="3032" t="s">
        <v>844</v>
      </c>
      <c r="E26" s="3030"/>
      <c r="F26" s="3030"/>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3050</v>
      </c>
      <c r="F29" s="1203">
        <v>44012</v>
      </c>
    </row>
    <row r="30" spans="1:7" ht="24" customHeight="1">
      <c r="C30" s="1031"/>
      <c r="D30" s="1031"/>
    </row>
  </sheetData>
  <sheetProtection sheet="1" objects="1" scenarios="1"/>
  <mergeCells count="3">
    <mergeCell ref="A25:G25"/>
    <mergeCell ref="A26:C26"/>
    <mergeCell ref="D26:F26"/>
  </mergeCells>
  <phoneticPr fontId="87" type="noConversion"/>
  <conditionalFormatting sqref="F4">
    <cfRule type="cellIs" dxfId="231" priority="97" stopIfTrue="1" operator="lessThan">
      <formula>$B$2</formula>
    </cfRule>
  </conditionalFormatting>
  <conditionalFormatting sqref="C5">
    <cfRule type="expression" dxfId="230" priority="92">
      <formula>AND($C5-TODAY()&lt;30,TODAY()&lt;$C5)</formula>
    </cfRule>
  </conditionalFormatting>
  <conditionalFormatting sqref="C5 F5">
    <cfRule type="cellIs" dxfId="229" priority="93" stopIfTrue="1" operator="lessThan">
      <formula>$B$2</formula>
    </cfRule>
  </conditionalFormatting>
  <conditionalFormatting sqref="F6 F8 F10">
    <cfRule type="cellIs" dxfId="228" priority="91" stopIfTrue="1" operator="lessThan">
      <formula>$B$2</formula>
    </cfRule>
  </conditionalFormatting>
  <conditionalFormatting sqref="C4:C11 C13 C23 C17 C19:C21">
    <cfRule type="expression" dxfId="227" priority="89">
      <formula>AND($C4-TODAY()&lt;30,TODAY()&lt;$C4)</formula>
    </cfRule>
  </conditionalFormatting>
  <conditionalFormatting sqref="F7 F9 F11 C4:C11 C13 C23 C17 C19:C21">
    <cfRule type="cellIs" dxfId="226" priority="90" stopIfTrue="1" operator="lessThan">
      <formula>$B$2</formula>
    </cfRule>
  </conditionalFormatting>
  <conditionalFormatting sqref="C20">
    <cfRule type="expression" dxfId="225" priority="77">
      <formula>AND($C20-TODAY()&lt;30,TODAY()&lt;$C20)</formula>
    </cfRule>
  </conditionalFormatting>
  <conditionalFormatting sqref="C20">
    <cfRule type="cellIs" dxfId="224" priority="78" stopIfTrue="1" operator="lessThan">
      <formula>$B$2</formula>
    </cfRule>
  </conditionalFormatting>
  <conditionalFormatting sqref="C17">
    <cfRule type="expression" dxfId="223" priority="71">
      <formula>AND($C17-TODAY()&lt;30,TODAY()&lt;$C17)</formula>
    </cfRule>
  </conditionalFormatting>
  <conditionalFormatting sqref="C17">
    <cfRule type="cellIs" dxfId="222" priority="72" stopIfTrue="1" operator="lessThan">
      <formula>$B$2</formula>
    </cfRule>
  </conditionalFormatting>
  <conditionalFormatting sqref="C19">
    <cfRule type="expression" dxfId="221" priority="69">
      <formula>AND($C19-TODAY()&lt;30,TODAY()&lt;$C19)</formula>
    </cfRule>
  </conditionalFormatting>
  <conditionalFormatting sqref="C19">
    <cfRule type="cellIs" dxfId="220" priority="70" stopIfTrue="1" operator="lessThan">
      <formula>$B$2</formula>
    </cfRule>
  </conditionalFormatting>
  <conditionalFormatting sqref="C21">
    <cfRule type="expression" dxfId="219" priority="67">
      <formula>AND($C21-TODAY()&lt;30,TODAY()&lt;$C21)</formula>
    </cfRule>
  </conditionalFormatting>
  <conditionalFormatting sqref="C21">
    <cfRule type="cellIs" dxfId="218" priority="68" stopIfTrue="1" operator="lessThan">
      <formula>$B$2</formula>
    </cfRule>
  </conditionalFormatting>
  <conditionalFormatting sqref="C23">
    <cfRule type="expression" dxfId="217" priority="65">
      <formula>AND($C23-TODAY()&lt;30,TODAY()&lt;$C23)</formula>
    </cfRule>
  </conditionalFormatting>
  <conditionalFormatting sqref="C23">
    <cfRule type="cellIs" dxfId="216" priority="66" stopIfTrue="1" operator="lessThan">
      <formula>$B$2</formula>
    </cfRule>
  </conditionalFormatting>
  <conditionalFormatting sqref="F18">
    <cfRule type="cellIs" dxfId="215" priority="62" stopIfTrue="1" operator="lessThan">
      <formula>$B$2</formula>
    </cfRule>
  </conditionalFormatting>
  <conditionalFormatting sqref="F22">
    <cfRule type="cellIs" dxfId="214" priority="61" stopIfTrue="1" operator="lessThan">
      <formula>$B$2</formula>
    </cfRule>
  </conditionalFormatting>
  <conditionalFormatting sqref="F21">
    <cfRule type="cellIs" dxfId="213" priority="60" stopIfTrue="1" operator="lessThan">
      <formula>$B$2</formula>
    </cfRule>
  </conditionalFormatting>
  <conditionalFormatting sqref="B4:B11 E4:E11 B17 E18:E23 B13 E13 B19:B23">
    <cfRule type="cellIs" dxfId="212" priority="58" stopIfTrue="1" operator="equal">
      <formula>"已过期"</formula>
    </cfRule>
  </conditionalFormatting>
  <conditionalFormatting sqref="A24:F24">
    <cfRule type="cellIs" dxfId="211" priority="54" stopIfTrue="1" operator="equal">
      <formula>"已过期"</formula>
    </cfRule>
  </conditionalFormatting>
  <conditionalFormatting sqref="F28">
    <cfRule type="expression" dxfId="210" priority="52">
      <formula>AND($E28-TODAY()&lt;30,TODAY()&lt;$E28)</formula>
    </cfRule>
  </conditionalFormatting>
  <conditionalFormatting sqref="F28">
    <cfRule type="cellIs" dxfId="209" priority="53" stopIfTrue="1" operator="lessThan">
      <formula>$B$2</formula>
    </cfRule>
  </conditionalFormatting>
  <conditionalFormatting sqref="F29">
    <cfRule type="expression" dxfId="208" priority="48" stopIfTrue="1">
      <formula>AND($E29-TODAY()&lt;30,TODAY()&lt;$E29)</formula>
    </cfRule>
  </conditionalFormatting>
  <conditionalFormatting sqref="F29">
    <cfRule type="cellIs" dxfId="207" priority="49" stopIfTrue="1" operator="lessThan">
      <formula>$B$2</formula>
    </cfRule>
  </conditionalFormatting>
  <conditionalFormatting sqref="F13">
    <cfRule type="cellIs" dxfId="206" priority="41" stopIfTrue="1" operator="lessThan">
      <formula>$B$2</formula>
    </cfRule>
  </conditionalFormatting>
  <conditionalFormatting sqref="C12">
    <cfRule type="expression" dxfId="205" priority="39">
      <formula>AND($C12-TODAY()&lt;30,TODAY()&lt;$C12)</formula>
    </cfRule>
  </conditionalFormatting>
  <conditionalFormatting sqref="C12">
    <cfRule type="cellIs" dxfId="204" priority="40" stopIfTrue="1" operator="lessThan">
      <formula>$B$2</formula>
    </cfRule>
  </conditionalFormatting>
  <conditionalFormatting sqref="C12">
    <cfRule type="expression" dxfId="203" priority="37">
      <formula>AND($C12-TODAY()&lt;30,TODAY()&lt;$C12)</formula>
    </cfRule>
  </conditionalFormatting>
  <conditionalFormatting sqref="C12">
    <cfRule type="cellIs" dxfId="202" priority="38" stopIfTrue="1" operator="lessThan">
      <formula>$B$2</formula>
    </cfRule>
  </conditionalFormatting>
  <conditionalFormatting sqref="B12">
    <cfRule type="cellIs" dxfId="201" priority="36" stopIfTrue="1" operator="equal">
      <formula>"已过期"</formula>
    </cfRule>
  </conditionalFormatting>
  <conditionalFormatting sqref="E12">
    <cfRule type="cellIs" dxfId="200" priority="35" stopIfTrue="1" operator="equal">
      <formula>"已过期"</formula>
    </cfRule>
  </conditionalFormatting>
  <conditionalFormatting sqref="F12">
    <cfRule type="cellIs" dxfId="199" priority="34" stopIfTrue="1" operator="lessThan">
      <formula>$B$2</formula>
    </cfRule>
  </conditionalFormatting>
  <conditionalFormatting sqref="C22">
    <cfRule type="expression" dxfId="198" priority="32">
      <formula>AND($C22-TODAY()&lt;30,TODAY()&lt;$C22)</formula>
    </cfRule>
  </conditionalFormatting>
  <conditionalFormatting sqref="C22">
    <cfRule type="cellIs" dxfId="197" priority="33" stopIfTrue="1" operator="lessThan">
      <formula>$B$2</formula>
    </cfRule>
  </conditionalFormatting>
  <conditionalFormatting sqref="C22">
    <cfRule type="expression" dxfId="196" priority="30">
      <formula>AND($C22-TODAY()&lt;30,TODAY()&lt;$C22)</formula>
    </cfRule>
  </conditionalFormatting>
  <conditionalFormatting sqref="C22">
    <cfRule type="cellIs" dxfId="195" priority="31" stopIfTrue="1" operator="lessThan">
      <formula>$B$2</formula>
    </cfRule>
  </conditionalFormatting>
  <conditionalFormatting sqref="C16">
    <cfRule type="expression" dxfId="194" priority="28">
      <formula>AND($C16-TODAY()&lt;30,TODAY()&lt;$C16)</formula>
    </cfRule>
  </conditionalFormatting>
  <conditionalFormatting sqref="C16">
    <cfRule type="cellIs" dxfId="193" priority="29" stopIfTrue="1" operator="lessThan">
      <formula>$B$2</formula>
    </cfRule>
  </conditionalFormatting>
  <conditionalFormatting sqref="C16">
    <cfRule type="expression" dxfId="192" priority="26">
      <formula>AND($C16-TODAY()&lt;30,TODAY()&lt;$C16)</formula>
    </cfRule>
  </conditionalFormatting>
  <conditionalFormatting sqref="C16">
    <cfRule type="cellIs" dxfId="191" priority="27" stopIfTrue="1" operator="lessThan">
      <formula>$B$2</formula>
    </cfRule>
  </conditionalFormatting>
  <conditionalFormatting sqref="B16">
    <cfRule type="cellIs" dxfId="190" priority="25" stopIfTrue="1" operator="equal">
      <formula>"已过期"</formula>
    </cfRule>
  </conditionalFormatting>
  <conditionalFormatting sqref="C14:C15">
    <cfRule type="expression" dxfId="189" priority="23">
      <formula>AND($C14-TODAY()&lt;30,TODAY()&lt;$C14)</formula>
    </cfRule>
  </conditionalFormatting>
  <conditionalFormatting sqref="C14:C15">
    <cfRule type="cellIs" dxfId="188" priority="24" stopIfTrue="1" operator="lessThan">
      <formula>$B$2</formula>
    </cfRule>
  </conditionalFormatting>
  <conditionalFormatting sqref="C14">
    <cfRule type="expression" dxfId="187" priority="21">
      <formula>AND($C14-TODAY()&lt;30,TODAY()&lt;$C14)</formula>
    </cfRule>
  </conditionalFormatting>
  <conditionalFormatting sqref="C14">
    <cfRule type="cellIs" dxfId="186" priority="22" stopIfTrue="1" operator="lessThan">
      <formula>$B$2</formula>
    </cfRule>
  </conditionalFormatting>
  <conditionalFormatting sqref="C15">
    <cfRule type="expression" dxfId="185" priority="19">
      <formula>AND($C15-TODAY()&lt;30,TODAY()&lt;$C15)</formula>
    </cfRule>
  </conditionalFormatting>
  <conditionalFormatting sqref="C15">
    <cfRule type="cellIs" dxfId="184" priority="20" stopIfTrue="1" operator="lessThan">
      <formula>$B$2</formula>
    </cfRule>
  </conditionalFormatting>
  <conditionalFormatting sqref="B14">
    <cfRule type="cellIs" dxfId="183" priority="18" stopIfTrue="1" operator="equal">
      <formula>"已过期"</formula>
    </cfRule>
  </conditionalFormatting>
  <conditionalFormatting sqref="B15">
    <cfRule type="cellIs" dxfId="182" priority="17" stopIfTrue="1" operator="equal">
      <formula>"已过期"</formula>
    </cfRule>
  </conditionalFormatting>
  <conditionalFormatting sqref="A15">
    <cfRule type="cellIs" dxfId="181" priority="16" stopIfTrue="1" operator="equal">
      <formula>"已过期"</formula>
    </cfRule>
  </conditionalFormatting>
  <conditionalFormatting sqref="C15">
    <cfRule type="expression" dxfId="180" priority="15">
      <formula>AND($C15-TODAY()&lt;30,TODAY()&lt;$C15)</formula>
    </cfRule>
  </conditionalFormatting>
  <conditionalFormatting sqref="F16">
    <cfRule type="cellIs" dxfId="179" priority="14" stopIfTrue="1" operator="lessThan">
      <formula>$B$2</formula>
    </cfRule>
  </conditionalFormatting>
  <conditionalFormatting sqref="E16 E14">
    <cfRule type="cellIs" dxfId="178" priority="13" stopIfTrue="1" operator="equal">
      <formula>"已过期"</formula>
    </cfRule>
  </conditionalFormatting>
  <conditionalFormatting sqref="E15">
    <cfRule type="cellIs" dxfId="177" priority="12" stopIfTrue="1" operator="equal">
      <formula>"已过期"</formula>
    </cfRule>
  </conditionalFormatting>
  <conditionalFormatting sqref="D15">
    <cfRule type="cellIs" dxfId="176" priority="11" stopIfTrue="1" operator="equal">
      <formula>"已过期"</formula>
    </cfRule>
  </conditionalFormatting>
  <conditionalFormatting sqref="F17">
    <cfRule type="cellIs" dxfId="175" priority="10" stopIfTrue="1" operator="lessThan">
      <formula>$B$2</formula>
    </cfRule>
  </conditionalFormatting>
  <conditionalFormatting sqref="E17">
    <cfRule type="cellIs" dxfId="174" priority="9" stopIfTrue="1" operator="equal">
      <formula>"已过期"</formula>
    </cfRule>
  </conditionalFormatting>
  <conditionalFormatting sqref="F14">
    <cfRule type="cellIs" dxfId="173" priority="8" stopIfTrue="1" operator="lessThan">
      <formula>$B$2</formula>
    </cfRule>
  </conditionalFormatting>
  <conditionalFormatting sqref="C18">
    <cfRule type="expression" dxfId="172" priority="6">
      <formula>AND($C18-TODAY()&lt;30,TODAY()&lt;$C18)</formula>
    </cfRule>
  </conditionalFormatting>
  <conditionalFormatting sqref="C18">
    <cfRule type="cellIs" dxfId="171" priority="7" stopIfTrue="1" operator="lessThan">
      <formula>$B$2</formula>
    </cfRule>
  </conditionalFormatting>
  <conditionalFormatting sqref="C18">
    <cfRule type="expression" dxfId="170" priority="4">
      <formula>AND($C18-TODAY()&lt;30,TODAY()&lt;$C18)</formula>
    </cfRule>
  </conditionalFormatting>
  <conditionalFormatting sqref="C18">
    <cfRule type="cellIs" dxfId="169" priority="5" stopIfTrue="1" operator="lessThan">
      <formula>$B$2</formula>
    </cfRule>
  </conditionalFormatting>
  <conditionalFormatting sqref="B18">
    <cfRule type="cellIs" dxfId="168" priority="3" stopIfTrue="1" operator="equal">
      <formula>"已过期"</formula>
    </cfRule>
  </conditionalFormatting>
  <conditionalFormatting sqref="C28">
    <cfRule type="expression" dxfId="167" priority="1">
      <formula>AND($C28-TODAY()&lt;30,TODAY()&lt;$C28)</formula>
    </cfRule>
  </conditionalFormatting>
  <conditionalFormatting sqref="C28">
    <cfRule type="cellIs" dxfId="16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 (3)</vt:lpstr>
      <vt:lpstr>结果表</vt:lpstr>
      <vt:lpstr>结果表 (2)</vt:lpstr>
      <vt:lpstr>成本法 (元)</vt:lpstr>
      <vt:lpstr>假设开发法</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Sheet1</vt:lpstr>
      <vt:lpstr>Sheet2</vt:lpstr>
      <vt:lpstr>成本法</vt:lpstr>
      <vt:lpstr>基准地价修正</vt:lpstr>
      <vt:lpstr>比较法-商业</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2020-02-14T13:00:13Z</dcterms:modified>
</cp:coreProperties>
</file>