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200" windowHeight="1174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Sheet3"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8" r:id="rId20"/>
    <sheet name="案例位置"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商业）" sheetId="15" r:id="rId43"/>
    <sheet name="不动产收益法（地下车库）" sheetId="71" r:id="rId44"/>
  </sheets>
  <definedNames>
    <definedName name="_xlnm._FilterDatabase" localSheetId="23"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案例位置!$A$1:$O$43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C19" i="9" l="1"/>
  <c r="L10" i="9"/>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1"/>
  <c r="F8" i="71"/>
  <c r="F7" i="71"/>
  <c r="F9" i="71"/>
  <c r="C6" i="71"/>
  <c r="F11" i="71"/>
  <c r="C10" i="71"/>
  <c r="C5" i="71"/>
  <c r="C32" i="71"/>
  <c r="C33" i="71"/>
  <c r="F35" i="71"/>
  <c r="C34" i="71"/>
  <c r="C31" i="7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B2" i="71"/>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M10" i="9"/>
  <c r="N10" i="9"/>
  <c r="G19" i="9"/>
  <c r="C32" i="9"/>
  <c r="C42" i="9"/>
  <c r="D14" i="66"/>
  <c r="D15" i="66"/>
  <c r="G15" i="66"/>
  <c r="O11" i="9"/>
  <c r="L4" i="70"/>
  <c r="L1" i="70"/>
  <c r="M15" i="70"/>
  <c r="L15" i="70"/>
  <c r="L13" i="70"/>
  <c r="D83" i="39"/>
  <c r="F13" i="39"/>
  <c r="AA13" i="39"/>
  <c r="R49" i="39"/>
  <c r="H13" i="39"/>
  <c r="AB13" i="39"/>
  <c r="T49" i="39"/>
  <c r="E83"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M1" i="70"/>
  <c r="L5" i="9"/>
  <c r="M7" i="1"/>
  <c r="M6" i="1"/>
  <c r="O6" i="1"/>
  <c r="P6" i="1"/>
  <c r="O7" i="1"/>
  <c r="P7" i="1"/>
  <c r="P16" i="1"/>
  <c r="F15" i="12"/>
  <c r="M5" i="9"/>
  <c r="L6" i="9"/>
  <c r="M6" i="9"/>
  <c r="N5" i="9"/>
  <c r="N6" i="9"/>
  <c r="N7" i="9"/>
  <c r="F40" i="39"/>
  <c r="AA40" i="39"/>
  <c r="H40" i="39"/>
  <c r="AB40" i="39"/>
  <c r="J40" i="39"/>
  <c r="AC40" i="39"/>
  <c r="M4" i="70"/>
  <c r="M11" i="9"/>
  <c r="L11" i="9"/>
  <c r="Q16" i="1"/>
  <c r="M14" i="9"/>
  <c r="D101" i="39"/>
  <c r="J27" i="39"/>
  <c r="AC27" i="39"/>
  <c r="D93" i="39"/>
  <c r="E93" i="39"/>
  <c r="J19" i="39"/>
  <c r="AC19" i="39"/>
  <c r="F19" i="39"/>
  <c r="AA19" i="39"/>
  <c r="F27" i="39"/>
  <c r="AA27" i="39"/>
  <c r="H19" i="39"/>
  <c r="AB19" i="39"/>
  <c r="H27" i="39"/>
  <c r="AB27" i="39"/>
  <c r="F23" i="21"/>
  <c r="AA23" i="21"/>
  <c r="E47" i="21"/>
  <c r="R47" i="21"/>
  <c r="D69" i="21"/>
  <c r="E69" i="21"/>
  <c r="F11" i="21"/>
  <c r="AA11" i="21"/>
  <c r="R48" i="21"/>
  <c r="J23" i="21"/>
  <c r="AC23" i="21"/>
  <c r="I47" i="21"/>
  <c r="V47" i="21"/>
  <c r="J11" i="21"/>
  <c r="AC11" i="21"/>
  <c r="V48" i="21"/>
  <c r="G47" i="21"/>
  <c r="T47" i="21"/>
  <c r="H11" i="21"/>
  <c r="AB11" i="21"/>
  <c r="T48" i="21"/>
  <c r="R49" i="21"/>
  <c r="C49" i="21"/>
  <c r="B3" i="21"/>
  <c r="B2" i="21"/>
  <c r="C10" i="12"/>
  <c r="C17" i="9"/>
  <c r="D17" i="9"/>
  <c r="C18" i="9"/>
  <c r="D18" i="9"/>
  <c r="N12" i="9"/>
  <c r="N11" i="9"/>
  <c r="D81" i="21"/>
  <c r="E81" i="21"/>
  <c r="F19" i="21"/>
  <c r="AA19" i="21"/>
  <c r="J19" i="21"/>
  <c r="AC19" i="21"/>
  <c r="H19" i="21"/>
  <c r="AB19" i="21"/>
  <c r="H23" i="21"/>
  <c r="AB23" i="21"/>
  <c r="L14" i="1"/>
  <c r="M14" i="1"/>
  <c r="T7" i="1"/>
  <c r="F21" i="15"/>
  <c r="M8" i="1"/>
  <c r="T8" i="1"/>
  <c r="F21" i="71"/>
  <c r="O8" i="1"/>
  <c r="P8" i="1"/>
  <c r="O14" i="1"/>
  <c r="P14" i="1"/>
  <c r="F24" i="12"/>
  <c r="AR13" i="3"/>
  <c r="AN13" i="3"/>
  <c r="AL13" i="3"/>
  <c r="M13" i="3"/>
  <c r="K13" i="3"/>
  <c r="I13" i="3"/>
  <c r="M2" i="70"/>
  <c r="BB13" i="3"/>
  <c r="BC13" i="3"/>
  <c r="BD13" i="3"/>
  <c r="BA13" i="3"/>
  <c r="BQ13" i="3"/>
  <c r="BR13" i="3"/>
  <c r="BT13" i="3"/>
  <c r="BL13" i="3"/>
  <c r="AZ13" i="3"/>
  <c r="AZ5" i="3"/>
  <c r="H13" i="3"/>
  <c r="AC13" i="3"/>
  <c r="G13" i="3"/>
  <c r="G5" i="3"/>
  <c r="B3" i="3"/>
  <c r="AY6" i="3"/>
  <c r="D3" i="6"/>
  <c r="I5" i="70"/>
  <c r="C40" i="39"/>
  <c r="E3" i="6"/>
  <c r="C33" i="21"/>
  <c r="I40" i="39"/>
  <c r="G40" i="39"/>
  <c r="E40" i="39"/>
  <c r="D77" i="39"/>
  <c r="C77" i="39"/>
  <c r="I13" i="39"/>
  <c r="G13" i="39"/>
  <c r="E13" i="39"/>
  <c r="I9" i="39"/>
  <c r="G9" i="39"/>
  <c r="E9" i="39"/>
  <c r="I8" i="39"/>
  <c r="I7" i="39"/>
  <c r="G8" i="39"/>
  <c r="G7" i="39"/>
  <c r="E8" i="39"/>
  <c r="E7" i="39"/>
  <c r="A6" i="1"/>
  <c r="A7" i="1"/>
  <c r="A8" i="1"/>
  <c r="G1" i="71"/>
  <c r="G21" i="6"/>
  <c r="E21" i="6"/>
  <c r="K8" i="1"/>
  <c r="D3" i="4"/>
  <c r="C1" i="65"/>
  <c r="N1" i="65"/>
  <c r="B43" i="1"/>
  <c r="B41" i="1"/>
  <c r="F32" i="71"/>
  <c r="F33" i="71"/>
  <c r="BE13" i="3"/>
  <c r="BF13" i="3"/>
  <c r="BG13" i="3"/>
  <c r="BH13" i="3"/>
  <c r="BI13" i="3"/>
  <c r="BJ13" i="3"/>
  <c r="BK13" i="3"/>
  <c r="BM13" i="3"/>
  <c r="BN13" i="3"/>
  <c r="BO13" i="3"/>
  <c r="BP13" i="3"/>
  <c r="BS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21" i="6"/>
  <c r="BQ5" i="3"/>
  <c r="BS5" i="3"/>
  <c r="F28" i="6"/>
  <c r="BR5" i="3"/>
  <c r="BT5" i="3"/>
  <c r="G28" i="6"/>
  <c r="E28" i="6"/>
  <c r="F19" i="6"/>
  <c r="E19" i="6"/>
  <c r="F20" i="6"/>
  <c r="E20" i="6"/>
  <c r="E22" i="6"/>
  <c r="E23" i="6"/>
  <c r="E24" i="6"/>
  <c r="E25" i="6"/>
  <c r="E26" i="6"/>
  <c r="BA5" i="3"/>
  <c r="E27" i="6"/>
  <c r="K21" i="6"/>
  <c r="L21" i="6"/>
  <c r="M21" i="6"/>
  <c r="I21" i="6"/>
  <c r="H21" i="6"/>
  <c r="R21" i="6"/>
  <c r="R8" i="1"/>
  <c r="B52" i="1"/>
  <c r="F34" i="71"/>
  <c r="K14" i="1"/>
  <c r="T4" i="1"/>
  <c r="S8" i="1"/>
  <c r="K19" i="6"/>
  <c r="S6" i="1"/>
  <c r="K20" i="6"/>
  <c r="S7" i="1"/>
  <c r="A9" i="1"/>
  <c r="S9" i="1"/>
  <c r="A10" i="1"/>
  <c r="S10" i="1"/>
  <c r="A11" i="1"/>
  <c r="S11" i="1"/>
  <c r="A12" i="1"/>
  <c r="S12" i="1"/>
  <c r="A13" i="1"/>
  <c r="S13" i="1"/>
  <c r="S16" i="1"/>
  <c r="F15" i="71"/>
  <c r="F17" i="71"/>
  <c r="F18" i="71"/>
  <c r="F20" i="71"/>
  <c r="H1" i="65"/>
  <c r="B22" i="1"/>
  <c r="C2" i="65"/>
  <c r="I1" i="65"/>
  <c r="I5" i="65"/>
  <c r="F23" i="71"/>
  <c r="F28" i="71"/>
  <c r="B2" i="1"/>
  <c r="C42" i="1"/>
  <c r="C28" i="71"/>
  <c r="G19" i="4"/>
  <c r="F8" i="1"/>
  <c r="M47" i="71"/>
  <c r="J50" i="71"/>
  <c r="J51" i="71"/>
  <c r="L46" i="71"/>
  <c r="B3" i="71"/>
  <c r="E8" i="12"/>
  <c r="E19" i="4"/>
  <c r="F7" i="1"/>
  <c r="G1" i="15"/>
  <c r="M47" i="15"/>
  <c r="J50" i="15"/>
  <c r="J51" i="15"/>
  <c r="Q66"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8"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K7" i="1"/>
  <c r="F32" i="15"/>
  <c r="F33" i="15"/>
  <c r="D20" i="6"/>
  <c r="L20" i="6"/>
  <c r="M20" i="6"/>
  <c r="I20" i="6"/>
  <c r="H20" i="6"/>
  <c r="R20" i="6"/>
  <c r="R7" i="1"/>
  <c r="F34" i="15"/>
  <c r="F15" i="15"/>
  <c r="F17" i="15"/>
  <c r="F18" i="15"/>
  <c r="F20" i="15"/>
  <c r="F23" i="15"/>
  <c r="F28" i="15"/>
  <c r="C28" i="15"/>
  <c r="L46" i="15"/>
  <c r="B3" i="15"/>
  <c r="D8" i="12"/>
  <c r="D77" i="21"/>
  <c r="E77" i="21"/>
  <c r="F77" i="21"/>
  <c r="F15" i="21"/>
  <c r="AA15" i="21"/>
  <c r="D79" i="21"/>
  <c r="E79" i="21"/>
  <c r="F17" i="21"/>
  <c r="AA17" i="21"/>
  <c r="F81" i="21"/>
  <c r="F42" i="21"/>
  <c r="AA42" i="21"/>
  <c r="D125" i="21"/>
  <c r="F43" i="21"/>
  <c r="AA43" i="21"/>
  <c r="F40" i="21"/>
  <c r="AA40" i="21"/>
  <c r="F34" i="21"/>
  <c r="AA34" i="21"/>
  <c r="F35" i="21"/>
  <c r="AA35" i="21"/>
  <c r="F36" i="21"/>
  <c r="AA36" i="21"/>
  <c r="D113" i="21"/>
  <c r="E113" i="21"/>
  <c r="F113" i="21"/>
  <c r="G113" i="21"/>
  <c r="F37" i="21"/>
  <c r="AA37" i="21"/>
  <c r="F38" i="21"/>
  <c r="AA38" i="21"/>
  <c r="F39" i="21"/>
  <c r="AA39" i="21"/>
  <c r="F32" i="21"/>
  <c r="AA32" i="21"/>
  <c r="C7" i="21"/>
  <c r="C58" i="21"/>
  <c r="D58" i="21"/>
  <c r="E58" i="21"/>
  <c r="F58" i="21"/>
  <c r="G58" i="21"/>
  <c r="H58" i="21"/>
  <c r="I58" i="21"/>
  <c r="J58" i="21"/>
  <c r="K58" i="21"/>
  <c r="L58" i="21"/>
  <c r="M58" i="21"/>
  <c r="N58" i="21"/>
  <c r="O58" i="21"/>
  <c r="F7" i="21"/>
  <c r="AA7" i="21"/>
  <c r="F8" i="21"/>
  <c r="AA8" i="21"/>
  <c r="C63" i="21"/>
  <c r="F9" i="21"/>
  <c r="AA9" i="21"/>
  <c r="F10" i="21"/>
  <c r="AA10" i="21"/>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2" i="6"/>
  <c r="D23" i="6"/>
  <c r="D24" i="6"/>
  <c r="D25" i="6"/>
  <c r="D26" i="6"/>
  <c r="D27" i="6"/>
  <c r="D28" i="6"/>
  <c r="BN5" i="3"/>
  <c r="BP5" i="3"/>
  <c r="G29" i="6"/>
  <c r="E29" i="6"/>
  <c r="D29" i="6"/>
  <c r="D30" i="6"/>
  <c r="D31" i="6"/>
  <c r="I6" i="6"/>
  <c r="C11" i="21"/>
  <c r="B70" i="21"/>
  <c r="F12" i="21"/>
  <c r="AA12" i="21"/>
  <c r="B72" i="21"/>
  <c r="F13" i="21"/>
  <c r="AA13" i="21"/>
  <c r="B74" i="21"/>
  <c r="F14" i="21"/>
  <c r="AA14" i="21"/>
  <c r="F21" i="21"/>
  <c r="AA21" i="21"/>
  <c r="D85" i="21"/>
  <c r="F25" i="21"/>
  <c r="AA25" i="21"/>
  <c r="F26" i="21"/>
  <c r="AA26" i="21"/>
  <c r="B90" i="21"/>
  <c r="F27" i="21"/>
  <c r="AA27" i="21"/>
  <c r="B92" i="21"/>
  <c r="F28" i="21"/>
  <c r="AA28" i="21"/>
  <c r="B94" i="21"/>
  <c r="F29" i="21"/>
  <c r="AA29" i="21"/>
  <c r="B96" i="21"/>
  <c r="F30" i="21"/>
  <c r="AA30" i="21"/>
  <c r="B98" i="21"/>
  <c r="F31" i="21"/>
  <c r="AA31" i="21"/>
  <c r="F33" i="21"/>
  <c r="AA33" i="21"/>
  <c r="F41" i="21"/>
  <c r="AA41" i="21"/>
  <c r="B126" i="21"/>
  <c r="F44" i="21"/>
  <c r="AA44" i="21"/>
  <c r="B128" i="21"/>
  <c r="F45" i="21"/>
  <c r="AA45" i="21"/>
  <c r="B130" i="21"/>
  <c r="F46" i="21"/>
  <c r="AA46" i="21"/>
  <c r="H15" i="21"/>
  <c r="AB15" i="21"/>
  <c r="H17" i="21"/>
  <c r="AB17" i="21"/>
  <c r="H42" i="21"/>
  <c r="AB42" i="21"/>
  <c r="H43" i="21"/>
  <c r="AB43" i="21"/>
  <c r="H40" i="21"/>
  <c r="AB40" i="21"/>
  <c r="H34" i="21"/>
  <c r="AB34" i="21"/>
  <c r="H35" i="21"/>
  <c r="AB35" i="21"/>
  <c r="H36" i="21"/>
  <c r="AB36" i="21"/>
  <c r="H37" i="21"/>
  <c r="AB37" i="21"/>
  <c r="H38" i="21"/>
  <c r="AB38" i="21"/>
  <c r="H39" i="21"/>
  <c r="AB39" i="21"/>
  <c r="H32" i="21"/>
  <c r="AB32" i="21"/>
  <c r="G7" i="21"/>
  <c r="H7" i="21"/>
  <c r="AB7" i="21"/>
  <c r="H8" i="21"/>
  <c r="AB8" i="21"/>
  <c r="H9" i="21"/>
  <c r="AB9" i="21"/>
  <c r="H10" i="21"/>
  <c r="AB10" i="21"/>
  <c r="H12" i="21"/>
  <c r="AB12" i="21"/>
  <c r="H13" i="21"/>
  <c r="AB13" i="21"/>
  <c r="H14" i="21"/>
  <c r="AB14" i="21"/>
  <c r="H21" i="21"/>
  <c r="AB21" i="21"/>
  <c r="H25" i="21"/>
  <c r="AB25" i="21"/>
  <c r="H26" i="21"/>
  <c r="AB26" i="21"/>
  <c r="H27" i="21"/>
  <c r="AB27" i="21"/>
  <c r="H28" i="21"/>
  <c r="AB28" i="21"/>
  <c r="H29" i="21"/>
  <c r="AB29" i="21"/>
  <c r="H30" i="21"/>
  <c r="AB30" i="21"/>
  <c r="H31" i="21"/>
  <c r="AB31" i="21"/>
  <c r="H33" i="21"/>
  <c r="AB33" i="21"/>
  <c r="H41" i="21"/>
  <c r="AB41" i="21"/>
  <c r="H44" i="21"/>
  <c r="AB44" i="21"/>
  <c r="H45" i="21"/>
  <c r="AB45" i="21"/>
  <c r="H46" i="21"/>
  <c r="AB46" i="21"/>
  <c r="J15" i="21"/>
  <c r="AC15" i="21"/>
  <c r="J17" i="21"/>
  <c r="AC17" i="21"/>
  <c r="J42" i="21"/>
  <c r="AC42" i="21"/>
  <c r="J43" i="21"/>
  <c r="AC43" i="21"/>
  <c r="J40" i="21"/>
  <c r="AC40" i="21"/>
  <c r="J34" i="21"/>
  <c r="AC34" i="21"/>
  <c r="J35" i="21"/>
  <c r="AC35" i="21"/>
  <c r="J36" i="21"/>
  <c r="AC36" i="21"/>
  <c r="J37" i="21"/>
  <c r="AC37" i="21"/>
  <c r="J38" i="21"/>
  <c r="AC38" i="21"/>
  <c r="J39" i="21"/>
  <c r="AC39" i="21"/>
  <c r="J32" i="21"/>
  <c r="AC32"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3" i="21"/>
  <c r="AC33" i="21"/>
  <c r="J41" i="21"/>
  <c r="AC41" i="21"/>
  <c r="J44" i="21"/>
  <c r="AC44" i="21"/>
  <c r="J45" i="21"/>
  <c r="AC45" i="21"/>
  <c r="J46" i="21"/>
  <c r="AC46" i="21"/>
  <c r="D3" i="21"/>
  <c r="C8" i="12"/>
  <c r="B5" i="4"/>
  <c r="B7" i="4"/>
  <c r="D73" i="39"/>
  <c r="E73" i="39"/>
  <c r="F73" i="39"/>
  <c r="G73" i="39"/>
  <c r="H73" i="39"/>
  <c r="I73" i="39"/>
  <c r="J73" i="39"/>
  <c r="K73" i="39"/>
  <c r="L73" i="39"/>
  <c r="M73" i="39"/>
  <c r="N73" i="39"/>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L3" i="59"/>
  <c r="AH3" i="59"/>
  <c r="K3" i="59"/>
  <c r="J3" i="59"/>
  <c r="AE3" i="59"/>
  <c r="AF3" i="59"/>
  <c r="I3" i="59"/>
  <c r="AH7" i="59"/>
  <c r="AG7" i="59"/>
  <c r="AE7" i="59"/>
  <c r="AF7" i="59"/>
  <c r="AD7" i="59"/>
  <c r="Q11" i="59"/>
  <c r="Q12" i="59"/>
  <c r="Q13" i="59"/>
  <c r="Q14" i="59"/>
  <c r="Q15" i="59"/>
  <c r="Q16" i="59"/>
  <c r="Q17" i="59"/>
  <c r="Q18" i="59"/>
  <c r="Q19" i="59"/>
  <c r="Q20" i="59"/>
  <c r="Q21" i="59"/>
  <c r="Q22" i="59"/>
  <c r="Q23" i="59"/>
  <c r="Q24" i="59"/>
  <c r="Q25" i="59"/>
  <c r="AB6" i="59"/>
  <c r="AB7" i="59"/>
  <c r="P11" i="59"/>
  <c r="P12" i="59"/>
  <c r="P13" i="59"/>
  <c r="P14" i="59"/>
  <c r="P15" i="59"/>
  <c r="P16" i="59"/>
  <c r="P17" i="59"/>
  <c r="P18" i="59"/>
  <c r="P19" i="59"/>
  <c r="P20" i="59"/>
  <c r="P21" i="59"/>
  <c r="P22" i="59"/>
  <c r="P23" i="59"/>
  <c r="P24" i="59"/>
  <c r="P25" i="59"/>
  <c r="AA6" i="59"/>
  <c r="AA7" i="59"/>
  <c r="O11" i="59"/>
  <c r="O12" i="59"/>
  <c r="O13" i="59"/>
  <c r="O14" i="59"/>
  <c r="O15" i="59"/>
  <c r="O16" i="59"/>
  <c r="O17" i="59"/>
  <c r="O18" i="59"/>
  <c r="O19" i="59"/>
  <c r="O20" i="59"/>
  <c r="O21" i="59"/>
  <c r="O22" i="59"/>
  <c r="O23" i="59"/>
  <c r="O24" i="59"/>
  <c r="O25" i="59"/>
  <c r="Y6" i="59"/>
  <c r="Z6" i="59"/>
  <c r="Y7" i="59"/>
  <c r="Z7" i="59"/>
  <c r="N11" i="59"/>
  <c r="N12" i="59"/>
  <c r="N13" i="59"/>
  <c r="N14" i="59"/>
  <c r="N15" i="59"/>
  <c r="N16" i="59"/>
  <c r="N17" i="59"/>
  <c r="N18" i="59"/>
  <c r="N19" i="59"/>
  <c r="N20" i="59"/>
  <c r="N21" i="59"/>
  <c r="N22" i="59"/>
  <c r="N23" i="59"/>
  <c r="N24" i="59"/>
  <c r="N25" i="59"/>
  <c r="X7" i="59"/>
  <c r="F5" i="59"/>
  <c r="E5" i="59"/>
  <c r="AH8" i="59"/>
  <c r="AG8" i="59"/>
  <c r="AE8" i="59"/>
  <c r="AF8" i="59"/>
  <c r="AD8" i="59"/>
  <c r="AB8" i="59"/>
  <c r="AA8" i="59"/>
  <c r="Y8" i="59"/>
  <c r="Z8" i="59"/>
  <c r="X8" i="59"/>
  <c r="D8" i="59"/>
  <c r="D9" i="59"/>
  <c r="M19" i="46"/>
  <c r="D11" i="59"/>
  <c r="AH9" i="59"/>
  <c r="AG9" i="59"/>
  <c r="AE9" i="59"/>
  <c r="AF9" i="59"/>
  <c r="AD9" i="59"/>
  <c r="AE10" i="59"/>
  <c r="AF10" i="59"/>
  <c r="AG10" i="59"/>
  <c r="AH10" i="59"/>
  <c r="AD10" i="59"/>
  <c r="AB9" i="59"/>
  <c r="AA9" i="59"/>
  <c r="Y9" i="59"/>
  <c r="Z9" i="59"/>
  <c r="X9" i="59"/>
  <c r="K59" i="15"/>
  <c r="P62" i="15"/>
  <c r="P75" i="15"/>
  <c r="Q74" i="44"/>
  <c r="Q61" i="44"/>
  <c r="Q60" i="44"/>
  <c r="Q53" i="44"/>
  <c r="J51" i="44"/>
  <c r="J52" i="44"/>
  <c r="M48" i="44"/>
  <c r="A16" i="55"/>
  <c r="A15" i="55"/>
  <c r="C43" i="9"/>
  <c r="K47" i="9"/>
  <c r="A14" i="55"/>
  <c r="B65" i="63"/>
  <c r="L24" i="4"/>
  <c r="L25" i="4"/>
  <c r="L26" i="4"/>
  <c r="A11" i="55"/>
  <c r="B62" i="63"/>
  <c r="A10" i="55"/>
  <c r="A9" i="55"/>
  <c r="A8" i="55"/>
  <c r="A6" i="54"/>
  <c r="A8" i="54"/>
  <c r="A7" i="54"/>
  <c r="A28" i="51"/>
  <c r="A27" i="51"/>
  <c r="AB10" i="59"/>
  <c r="Y10" i="59"/>
  <c r="Z10" i="59"/>
  <c r="X10" i="59"/>
  <c r="AA10" i="59"/>
  <c r="B14" i="59"/>
  <c r="C14" i="59"/>
  <c r="D14" i="59"/>
  <c r="E14" i="59"/>
  <c r="F14" i="59"/>
  <c r="K75" i="9"/>
  <c r="K6" i="4"/>
  <c r="O76" i="9"/>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C57" i="10"/>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R16" i="4"/>
  <c r="O16" i="4"/>
  <c r="M16" i="4"/>
  <c r="N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F60" i="15"/>
  <c r="K2" i="4"/>
  <c r="A4" i="6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C35" i="4"/>
  <c r="E16" i="12"/>
  <c r="F14" i="12"/>
  <c r="F17" i="12"/>
  <c r="E19" i="12"/>
  <c r="E21" i="12"/>
  <c r="E22" i="12"/>
  <c r="F23" i="12"/>
  <c r="F25" i="12"/>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E85"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AC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F33" i="46"/>
  <c r="F37" i="46"/>
  <c r="H16" i="48"/>
  <c r="H9" i="48"/>
  <c r="H8" i="48"/>
  <c r="C12" i="46"/>
  <c r="AB16" i="35"/>
  <c r="AB15" i="37"/>
  <c r="U43" i="21"/>
  <c r="AA13" i="40"/>
  <c r="E78" i="40"/>
  <c r="F78" i="40"/>
  <c r="G78" i="40"/>
  <c r="H78" i="40"/>
  <c r="I78" i="40"/>
  <c r="J78" i="40"/>
  <c r="K78" i="40"/>
  <c r="L78" i="40"/>
  <c r="M78" i="40"/>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c r="K11" i="1"/>
  <c r="M11" i="1"/>
  <c r="B9" i="1"/>
  <c r="E9" i="1"/>
  <c r="K9" i="1"/>
  <c r="M9" i="1"/>
  <c r="B7" i="1"/>
  <c r="E7" i="1"/>
  <c r="C20" i="43"/>
  <c r="F6" i="1"/>
  <c r="AP6" i="1"/>
  <c r="M22" i="44"/>
  <c r="F70" i="9"/>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AC21" i="39"/>
  <c r="S14" i="39"/>
  <c r="AB15" i="39"/>
  <c r="U11" i="39"/>
  <c r="U41" i="39"/>
  <c r="U23" i="39"/>
  <c r="AB38" i="39"/>
  <c r="U31" i="39"/>
  <c r="AB31" i="39"/>
  <c r="S25" i="39"/>
  <c r="S38" i="39"/>
  <c r="S22" i="31"/>
  <c r="M44" i="9"/>
  <c r="M43" i="9"/>
  <c r="M20" i="15"/>
  <c r="D96" i="9"/>
  <c r="A18" i="64"/>
  <c r="B74" i="63"/>
  <c r="C53" i="10"/>
  <c r="A25" i="64"/>
  <c r="A18" i="51"/>
  <c r="B14" i="63"/>
  <c r="F3" i="35"/>
  <c r="K1" i="43"/>
  <c r="K1" i="12"/>
  <c r="G1" i="44"/>
  <c r="I4" i="6"/>
  <c r="G3" i="46"/>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51"/>
  <c r="B6"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c r="H86" i="46"/>
  <c r="H82" i="46"/>
  <c r="H10" i="48"/>
  <c r="H87" i="46"/>
  <c r="H85" i="46"/>
  <c r="H83" i="46"/>
  <c r="K10" i="1"/>
  <c r="M10" i="1"/>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194" i="3"/>
  <c r="E390" i="3"/>
  <c r="E187" i="3"/>
  <c r="E199" i="3"/>
  <c r="E435" i="3"/>
  <c r="E218" i="3"/>
  <c r="E110" i="3"/>
  <c r="E174" i="3"/>
  <c r="E98" i="3"/>
  <c r="E398" i="3"/>
  <c r="E113" i="3"/>
  <c r="E425" i="3"/>
  <c r="E257" i="3"/>
  <c r="AT6" i="3"/>
  <c r="E52" i="3"/>
  <c r="E451" i="3"/>
  <c r="U6" i="3"/>
  <c r="E305" i="3"/>
  <c r="E73" i="3"/>
  <c r="E126" i="3"/>
  <c r="E211" i="3"/>
  <c r="Y6"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C51" i="10"/>
  <c r="A9" i="64"/>
  <c r="A9" i="51"/>
  <c r="B9" i="63"/>
  <c r="A25" i="51"/>
  <c r="B18" i="63"/>
  <c r="A3" i="55"/>
  <c r="B56" i="63"/>
  <c r="G66" i="36"/>
  <c r="J18" i="36"/>
  <c r="AE6" i="1"/>
  <c r="W18" i="36"/>
  <c r="AC18" i="36"/>
  <c r="AG6" i="1"/>
  <c r="R9" i="1"/>
  <c r="C45" i="9"/>
  <c r="H14" i="66"/>
  <c r="B7" i="66"/>
  <c r="F29" i="39"/>
  <c r="AA29" i="39"/>
  <c r="F17" i="39"/>
  <c r="AA17" i="39"/>
  <c r="F9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G6" i="1"/>
  <c r="G10" i="1"/>
  <c r="G11" i="1"/>
  <c r="G13" i="1"/>
  <c r="K6" i="1"/>
  <c r="AB29" i="39"/>
  <c r="H17" i="39"/>
  <c r="AB17" i="39"/>
  <c r="H9" i="39"/>
  <c r="AB9" i="39"/>
  <c r="J17" i="39"/>
  <c r="AC17" i="39"/>
  <c r="J9" i="39"/>
  <c r="AC9" i="39"/>
  <c r="E58" i="39"/>
  <c r="E11" i="6"/>
  <c r="E63" i="39"/>
  <c r="E12" i="6"/>
  <c r="E64" i="39"/>
  <c r="E13" i="6"/>
  <c r="E65" i="39"/>
  <c r="E14" i="6"/>
  <c r="E66" i="39"/>
  <c r="E15" i="6"/>
  <c r="E67" i="39"/>
  <c r="O9" i="1"/>
  <c r="P9" i="1"/>
  <c r="O11" i="1"/>
  <c r="P11" i="1"/>
  <c r="O12" i="1"/>
  <c r="P12" i="1"/>
  <c r="O13" i="1"/>
  <c r="P13" i="1"/>
  <c r="E5" i="6"/>
  <c r="E6" i="6"/>
  <c r="F29" i="12"/>
  <c r="C25" i="12"/>
  <c r="O40" i="9"/>
  <c r="K31" i="9"/>
  <c r="K32" i="9"/>
  <c r="R7" i="54"/>
  <c r="B52" i="63"/>
  <c r="C46" i="9"/>
  <c r="K33" i="9"/>
  <c r="O41" i="9"/>
  <c r="I14" i="66"/>
  <c r="B8" i="66"/>
  <c r="K34" i="9"/>
  <c r="R8" i="54"/>
  <c r="B54" i="63"/>
  <c r="E9" i="67"/>
  <c r="J17" i="44"/>
  <c r="N7" i="65"/>
  <c r="N5" i="65"/>
  <c r="F13" i="67"/>
  <c r="F8" i="67"/>
  <c r="B10" i="67"/>
  <c r="F40" i="44"/>
  <c r="E11" i="67"/>
  <c r="M30" i="44"/>
  <c r="M23" i="15"/>
  <c r="B14" i="67"/>
  <c r="F8" i="44"/>
  <c r="E14" i="67"/>
  <c r="F12" i="67"/>
  <c r="M26" i="15"/>
  <c r="J36" i="15"/>
  <c r="M29" i="15"/>
  <c r="M23" i="44"/>
  <c r="M28" i="15"/>
  <c r="M21" i="15"/>
  <c r="L47" i="15"/>
  <c r="F28" i="44"/>
  <c r="B9" i="67"/>
  <c r="N6" i="65"/>
  <c r="J15" i="15"/>
  <c r="M27" i="15"/>
  <c r="M29" i="44"/>
  <c r="F10" i="44"/>
  <c r="E13" i="67"/>
  <c r="M25" i="44"/>
  <c r="M8" i="44"/>
  <c r="M31" i="44"/>
  <c r="L48" i="44"/>
  <c r="B11" i="67"/>
  <c r="F15" i="44"/>
  <c r="M24" i="44"/>
  <c r="M24" i="15"/>
  <c r="F11" i="67"/>
  <c r="B8" i="67"/>
  <c r="F11" i="44"/>
  <c r="N3" i="65"/>
  <c r="F39" i="44"/>
  <c r="E12" i="67"/>
  <c r="F46" i="44"/>
  <c r="F10" i="67"/>
  <c r="F45" i="44"/>
  <c r="E10" i="67"/>
  <c r="F43" i="44"/>
  <c r="F38" i="44"/>
  <c r="M10" i="44"/>
  <c r="M28" i="44"/>
  <c r="B12" i="67"/>
  <c r="E8" i="67"/>
  <c r="F9" i="44"/>
  <c r="F9" i="67"/>
  <c r="F18" i="44"/>
  <c r="C19" i="44"/>
  <c r="B13" i="67"/>
  <c r="M11" i="44"/>
  <c r="F37" i="44"/>
  <c r="M22" i="15"/>
  <c r="M26" i="44"/>
  <c r="F14" i="67"/>
  <c r="L49" i="44"/>
  <c r="AR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3" i="3"/>
  <c r="E265" i="3"/>
  <c r="AM6" i="3"/>
  <c r="E337" i="3"/>
  <c r="E158" i="3"/>
  <c r="E472" i="3"/>
  <c r="E253" i="3"/>
  <c r="E537" i="3"/>
  <c r="E54" i="3"/>
  <c r="E452" i="3"/>
  <c r="E213" i="3"/>
  <c r="E536" i="3"/>
  <c r="E397" i="3"/>
  <c r="E462" i="3"/>
  <c r="E47" i="3"/>
  <c r="E545" i="3"/>
  <c r="E184" i="3"/>
  <c r="E482" i="3"/>
  <c r="E473" i="3"/>
  <c r="N6" i="3"/>
  <c r="E232" i="3"/>
  <c r="E136" i="3"/>
  <c r="E568" i="3"/>
  <c r="E85" i="3"/>
  <c r="E539" i="3"/>
  <c r="E332" i="3"/>
  <c r="E245" i="3"/>
  <c r="E166" i="3"/>
  <c r="E102" i="3"/>
  <c r="O6" i="3"/>
  <c r="E25" i="3"/>
  <c r="E204" i="3"/>
  <c r="E258" i="3"/>
  <c r="E207" i="3"/>
  <c r="E479" i="3"/>
  <c r="E449" i="3"/>
  <c r="E43" i="3"/>
  <c r="E196" i="3"/>
  <c r="E276" i="3"/>
  <c r="E259" i="3"/>
  <c r="E370" i="3"/>
  <c r="E308" i="3"/>
  <c r="E52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105" i="3"/>
  <c r="E448" i="3"/>
  <c r="V6" i="3"/>
  <c r="E336" i="3"/>
  <c r="E248" i="3"/>
  <c r="E365" i="3"/>
  <c r="E527" i="3"/>
  <c r="E291" i="3"/>
  <c r="E556" i="3"/>
  <c r="E445" i="3"/>
  <c r="E139" i="3"/>
  <c r="E272" i="3"/>
  <c r="E401" i="3"/>
  <c r="E79" i="3"/>
  <c r="E363" i="3"/>
  <c r="E422" i="3"/>
  <c r="E129" i="3"/>
  <c r="E63" i="3"/>
  <c r="E442" i="3"/>
  <c r="E490" i="3"/>
  <c r="E423" i="3"/>
  <c r="E225" i="3"/>
  <c r="E296" i="3"/>
  <c r="E78" i="3"/>
  <c r="E443" i="3"/>
  <c r="BL5" i="3"/>
  <c r="G93" i="39"/>
  <c r="S19" i="39"/>
  <c r="W19" i="39"/>
  <c r="W29" i="39"/>
  <c r="W17" i="39"/>
  <c r="G91" i="39"/>
  <c r="S17" i="39"/>
  <c r="P16" i="4"/>
  <c r="N76" i="9"/>
  <c r="K76" i="9"/>
  <c r="K77" i="9"/>
  <c r="K79" i="9"/>
  <c r="K81" i="9"/>
  <c r="C7" i="34"/>
  <c r="C59" i="34"/>
  <c r="D38" i="4"/>
  <c r="C39" i="4"/>
  <c r="O19" i="46"/>
  <c r="D58" i="33"/>
  <c r="E58" i="33"/>
  <c r="F58" i="33"/>
  <c r="G58" i="33"/>
  <c r="H58" i="33"/>
  <c r="I58" i="33"/>
  <c r="J58" i="33"/>
  <c r="K58" i="33"/>
  <c r="L58" i="33"/>
  <c r="M58" i="33"/>
  <c r="N58" i="33"/>
  <c r="O58" i="33"/>
  <c r="C67" i="40"/>
  <c r="D65" i="40"/>
  <c r="E65" i="40"/>
  <c r="G48" i="21"/>
  <c r="U13" i="39"/>
  <c r="L16" i="4"/>
  <c r="S10" i="39"/>
  <c r="W13" i="39"/>
  <c r="A30" i="51"/>
  <c r="B22" i="63"/>
  <c r="A30" i="64"/>
  <c r="F30" i="44"/>
  <c r="F71" i="9"/>
  <c r="M20" i="44"/>
  <c r="F59" i="15"/>
  <c r="F27" i="43"/>
  <c r="C27" i="43"/>
  <c r="M18" i="15"/>
  <c r="F31" i="43"/>
  <c r="D86" i="9"/>
  <c r="F72" i="9"/>
  <c r="F66" i="9"/>
  <c r="P72" i="9"/>
  <c r="D23" i="15"/>
  <c r="K15" i="1"/>
  <c r="L19" i="6"/>
  <c r="L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3" i="40"/>
  <c r="D67" i="40"/>
  <c r="E14" i="52"/>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31" i="43"/>
  <c r="H51" i="46"/>
  <c r="X7" i="46"/>
  <c r="E17" i="46"/>
  <c r="N17" i="46"/>
  <c r="O17" i="46"/>
  <c r="M17" i="46"/>
  <c r="L17" i="46"/>
  <c r="H22" i="46"/>
  <c r="Y11" i="46"/>
  <c r="Y13" i="46"/>
  <c r="H101" i="46"/>
  <c r="H102" i="46"/>
  <c r="G22" i="46"/>
  <c r="J22" i="46"/>
  <c r="F101" i="46"/>
  <c r="F106" i="46"/>
  <c r="D101" i="46"/>
  <c r="D106" i="46"/>
  <c r="E10" i="6"/>
  <c r="AP7" i="1"/>
  <c r="G52" i="21"/>
  <c r="H52" i="21"/>
  <c r="E52" i="37"/>
  <c r="D46" i="36"/>
  <c r="E48" i="35"/>
  <c r="D59" i="34"/>
  <c r="F7" i="33"/>
  <c r="H70" i="46"/>
  <c r="H73" i="46"/>
  <c r="H50" i="46"/>
  <c r="H48" i="46"/>
  <c r="F35" i="46"/>
  <c r="I17" i="46"/>
  <c r="G17" i="46"/>
  <c r="C16" i="46"/>
  <c r="H63" i="46"/>
  <c r="I101" i="46"/>
  <c r="I102" i="46"/>
  <c r="M101" i="46"/>
  <c r="M107" i="46"/>
  <c r="N101" i="46"/>
  <c r="N105" i="46"/>
  <c r="AC11" i="46"/>
  <c r="AC13" i="46"/>
  <c r="AD11" i="46"/>
  <c r="AJ11" i="46"/>
  <c r="H64" i="46"/>
  <c r="H66" i="46"/>
  <c r="D100" i="46"/>
  <c r="F109" i="46"/>
  <c r="H62" i="46"/>
  <c r="AF12" i="46"/>
  <c r="K100" i="46"/>
  <c r="AB12" i="46"/>
  <c r="AJ12" i="46"/>
  <c r="F102"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B6" i="52"/>
  <c r="E7" i="52"/>
  <c r="C4" i="4"/>
  <c r="B20" i="55"/>
  <c r="B70" i="63"/>
  <c r="E6" i="52"/>
  <c r="E4" i="52"/>
  <c r="B7" i="52"/>
  <c r="E5" i="52"/>
  <c r="P21" i="46"/>
  <c r="D7" i="59"/>
  <c r="P22"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C29" i="44"/>
  <c r="F70" i="15"/>
  <c r="M9" i="44"/>
  <c r="J8" i="44"/>
  <c r="I54" i="15"/>
  <c r="J57" i="15"/>
  <c r="J55" i="15"/>
  <c r="J58" i="15"/>
  <c r="Q51" i="15"/>
  <c r="L56" i="15"/>
  <c r="E17" i="52"/>
  <c r="E11" i="52"/>
  <c r="E15" i="52"/>
  <c r="E13" i="52"/>
  <c r="E4" i="4"/>
  <c r="B21" i="55"/>
  <c r="B72" i="63"/>
  <c r="B14" i="52"/>
  <c r="E8" i="52"/>
  <c r="E16" i="52"/>
  <c r="B5" i="52"/>
  <c r="B9" i="52"/>
  <c r="B16" i="52"/>
  <c r="B8" i="52"/>
  <c r="B13" i="52"/>
  <c r="E10" i="52"/>
  <c r="E21" i="52"/>
  <c r="J3" i="65"/>
  <c r="J4" i="65"/>
  <c r="F58" i="15"/>
  <c r="C18" i="44"/>
  <c r="J5" i="65"/>
  <c r="F33" i="44"/>
  <c r="F31" i="15"/>
  <c r="J7" i="65"/>
  <c r="I7" i="65"/>
  <c r="M17" i="15"/>
  <c r="I4" i="65"/>
  <c r="J6" i="65"/>
  <c r="I3" i="65"/>
  <c r="M19" i="44"/>
  <c r="H6" i="3"/>
  <c r="AC6" i="3"/>
  <c r="E6" i="3"/>
  <c r="U19" i="39"/>
  <c r="S29" i="39"/>
  <c r="U17" i="39"/>
  <c r="K17" i="4"/>
  <c r="A22" i="51"/>
  <c r="B16" i="63"/>
  <c r="U7" i="21"/>
  <c r="H7" i="33"/>
  <c r="U7" i="33"/>
  <c r="E67" i="40"/>
  <c r="F65" i="40"/>
  <c r="J7" i="33"/>
  <c r="AP16" i="1"/>
  <c r="F22" i="11"/>
  <c r="H16" i="1"/>
  <c r="F103" i="46"/>
  <c r="M109" i="46"/>
  <c r="M103" i="46"/>
  <c r="AH13" i="46"/>
  <c r="I106" i="46"/>
  <c r="D12" i="11"/>
  <c r="C12" i="11"/>
  <c r="H103" i="46"/>
  <c r="F105" i="46"/>
  <c r="F104" i="46"/>
  <c r="F107" i="46"/>
  <c r="B5" i="59"/>
  <c r="D6" i="59"/>
  <c r="C5" i="59"/>
  <c r="D5" i="59"/>
  <c r="M20" i="46"/>
  <c r="C19" i="46"/>
  <c r="D107" i="46"/>
  <c r="M106" i="46"/>
  <c r="M104" i="46"/>
  <c r="J1" i="65"/>
  <c r="E20" i="46"/>
  <c r="P28" i="46"/>
  <c r="M102" i="46"/>
  <c r="H107" i="46"/>
  <c r="M105" i="46"/>
  <c r="C5" i="46"/>
  <c r="H105" i="46"/>
  <c r="H109" i="46"/>
  <c r="D103" i="46"/>
  <c r="D102" i="46"/>
  <c r="H104" i="46"/>
  <c r="H106" i="46"/>
  <c r="F18" i="11"/>
  <c r="C18" i="11"/>
  <c r="D22" i="46"/>
  <c r="D5" i="46"/>
  <c r="D105" i="46"/>
  <c r="D109" i="46"/>
  <c r="D104" i="46"/>
  <c r="AJ13" i="46"/>
  <c r="I109" i="46"/>
  <c r="E16" i="6"/>
  <c r="E60" i="40"/>
  <c r="E61" i="40"/>
  <c r="E58" i="40"/>
  <c r="E59" i="40"/>
  <c r="E62" i="40"/>
  <c r="K24" i="6"/>
  <c r="M24" i="6"/>
  <c r="I24" i="6"/>
  <c r="S24" i="6"/>
  <c r="E30" i="6"/>
  <c r="E31" i="6"/>
  <c r="K25" i="6"/>
  <c r="M25" i="6"/>
  <c r="I25" i="6"/>
  <c r="S25" i="6"/>
  <c r="AB7" i="33"/>
  <c r="T48" i="33"/>
  <c r="G48"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K23" i="6"/>
  <c r="M23" i="6"/>
  <c r="I23" i="6"/>
  <c r="S23" i="6"/>
  <c r="K22" i="6"/>
  <c r="M22" i="6"/>
  <c r="I22" i="6"/>
  <c r="S22" i="6"/>
  <c r="K26" i="6"/>
  <c r="M26" i="6"/>
  <c r="I26" i="6"/>
  <c r="S26" i="6"/>
  <c r="AC7" i="33"/>
  <c r="V48" i="33"/>
  <c r="I48" i="33"/>
  <c r="I52" i="33"/>
  <c r="J52" i="33"/>
  <c r="W7" i="33"/>
  <c r="I48" i="21"/>
  <c r="W7" i="21"/>
  <c r="F67" i="40"/>
  <c r="G65" i="40"/>
  <c r="S7" i="21"/>
  <c r="O28" i="46"/>
  <c r="G20" i="46"/>
  <c r="C15" i="43"/>
  <c r="S20" i="6"/>
  <c r="F24" i="43"/>
  <c r="C26" i="43"/>
  <c r="D24" i="43"/>
  <c r="M28" i="46"/>
  <c r="N28" i="46"/>
  <c r="F17" i="11"/>
  <c r="C17" i="11"/>
  <c r="C19" i="11"/>
  <c r="C20" i="11"/>
  <c r="C21" i="11"/>
  <c r="C22" i="11"/>
  <c r="C23" i="11"/>
  <c r="B2" i="11"/>
  <c r="E41" i="46"/>
  <c r="C41" i="46"/>
  <c r="C39" i="46"/>
  <c r="G39" i="46"/>
  <c r="I39" i="46"/>
  <c r="C20" i="46"/>
  <c r="C37" i="46"/>
  <c r="G37" i="46"/>
  <c r="I37" i="46"/>
  <c r="S5" i="46"/>
  <c r="S2" i="46"/>
  <c r="T2" i="46"/>
  <c r="V2" i="46"/>
  <c r="S3" i="46"/>
  <c r="S7" i="46"/>
  <c r="T7" i="46"/>
  <c r="V7" i="46"/>
  <c r="S6" i="46"/>
  <c r="S4" i="46"/>
  <c r="T4" i="46"/>
  <c r="V4" i="46"/>
  <c r="K16" i="1"/>
  <c r="M19" i="6"/>
  <c r="K27" i="6"/>
  <c r="E68" i="39"/>
  <c r="G52" i="37"/>
  <c r="H7" i="34"/>
  <c r="J7" i="34"/>
  <c r="R49" i="33"/>
  <c r="E48" i="33"/>
  <c r="G48" i="35"/>
  <c r="G52" i="33"/>
  <c r="H52" i="33"/>
  <c r="G53" i="33"/>
  <c r="H53" i="33"/>
  <c r="F46" i="36"/>
  <c r="G46" i="36"/>
  <c r="H46" i="36"/>
  <c r="I46" i="36"/>
  <c r="J46" i="36"/>
  <c r="K46" i="36"/>
  <c r="L46" i="36"/>
  <c r="M46" i="36"/>
  <c r="N46" i="36"/>
  <c r="O46" i="36"/>
  <c r="F7" i="34"/>
  <c r="C34" i="46"/>
  <c r="E34" i="46"/>
  <c r="C115" i="46"/>
  <c r="D113" i="46"/>
  <c r="J28" i="44"/>
  <c r="J31" i="44"/>
  <c r="J26" i="44"/>
  <c r="J20" i="44"/>
  <c r="C34" i="44"/>
  <c r="C40" i="44"/>
  <c r="C52" i="15"/>
  <c r="C47" i="15"/>
  <c r="J24" i="15"/>
  <c r="J18" i="15"/>
  <c r="L52" i="44"/>
  <c r="S21"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475" i="3"/>
  <c r="AY40" i="3"/>
  <c r="AY281" i="3"/>
  <c r="AY322" i="3"/>
  <c r="AY395" i="3"/>
  <c r="AY189" i="3"/>
  <c r="AY393" i="3"/>
  <c r="BO6" i="3"/>
  <c r="AY490" i="3"/>
  <c r="AY210" i="3"/>
  <c r="AY297" i="3"/>
  <c r="AY468" i="3"/>
  <c r="AY377" i="3"/>
  <c r="BI6" i="3"/>
  <c r="AY164" i="3"/>
  <c r="AY469" i="3"/>
  <c r="AY177" i="3"/>
  <c r="AY263"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35" i="3"/>
  <c r="AY195" i="3"/>
  <c r="AY401" i="3"/>
  <c r="AY495" i="3"/>
  <c r="AY267" i="3"/>
  <c r="AY363" i="3"/>
  <c r="AY545" i="3"/>
  <c r="AY339" i="3"/>
  <c r="AY433" i="3"/>
  <c r="AY547" i="3"/>
  <c r="AY455" i="3"/>
  <c r="AY213" i="3"/>
  <c r="AY502" i="3"/>
  <c r="AY110" i="3"/>
  <c r="AY298" i="3"/>
  <c r="AY403" i="3"/>
  <c r="AY514" i="3"/>
  <c r="AY454"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21" i="4"/>
  <c r="O5" i="54"/>
  <c r="B45" i="63"/>
  <c r="D10" i="11"/>
  <c r="D16" i="43"/>
  <c r="C16" i="43"/>
  <c r="D45" i="9"/>
  <c r="L38" i="9"/>
  <c r="B14" i="66"/>
  <c r="B1" i="66"/>
  <c r="D46" i="9"/>
  <c r="F21" i="43"/>
  <c r="C23" i="43"/>
  <c r="D21" i="43"/>
  <c r="F7" i="36"/>
  <c r="E48" i="21"/>
  <c r="I52" i="21"/>
  <c r="J52" i="21"/>
  <c r="I53" i="21"/>
  <c r="J53" i="21"/>
  <c r="G53" i="21"/>
  <c r="H53" i="21"/>
  <c r="H65" i="40"/>
  <c r="G67" i="40"/>
  <c r="C36" i="46"/>
  <c r="G36" i="46"/>
  <c r="I36" i="46"/>
  <c r="C33"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M16" i="1"/>
  <c r="O1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G33" i="46"/>
  <c r="I33" i="46"/>
  <c r="E33" i="46"/>
  <c r="Q69" i="44"/>
  <c r="L58" i="44"/>
  <c r="L61" i="44"/>
  <c r="L47" i="44"/>
  <c r="B5" i="11"/>
  <c r="B3" i="11"/>
  <c r="B4" i="11"/>
  <c r="C59" i="15"/>
  <c r="C65" i="15"/>
  <c r="Q49" i="44"/>
  <c r="Q55" i="44"/>
  <c r="Q67" i="44"/>
  <c r="Q58" i="44"/>
  <c r="T13" i="1"/>
  <c r="T9" i="1"/>
  <c r="T12" i="1"/>
  <c r="T6" i="1"/>
  <c r="T11" i="1"/>
  <c r="T10" i="1"/>
  <c r="C7" i="66"/>
  <c r="C8" i="66"/>
  <c r="D13" i="11"/>
  <c r="C13" i="11"/>
  <c r="E63" i="40"/>
  <c r="D13" i="6"/>
  <c r="H24" i="6"/>
  <c r="D8" i="6"/>
  <c r="E45" i="9"/>
  <c r="K38" i="9"/>
  <c r="C14" i="66"/>
  <c r="B2" i="66"/>
  <c r="H26" i="6"/>
  <c r="R26" i="6"/>
  <c r="D11" i="6"/>
  <c r="H25" i="6"/>
  <c r="D5" i="6"/>
  <c r="H22" i="6"/>
  <c r="F46" i="9"/>
  <c r="C22" i="4"/>
  <c r="D10" i="6"/>
  <c r="D6" i="6"/>
  <c r="D14" i="6"/>
  <c r="H23" i="6"/>
  <c r="F45" i="9"/>
  <c r="R24" i="6"/>
  <c r="D12" i="6"/>
  <c r="D9" i="6"/>
  <c r="D15" i="6"/>
  <c r="E46" i="9"/>
  <c r="T16" i="1"/>
  <c r="I65" i="40"/>
  <c r="H67" i="40"/>
  <c r="E53" i="21"/>
  <c r="F53" i="21"/>
  <c r="E52" i="21"/>
  <c r="F52" i="21"/>
  <c r="C48" i="21"/>
  <c r="E36" i="46"/>
  <c r="E29" i="46"/>
  <c r="C30" i="46"/>
  <c r="E30" i="46"/>
  <c r="E35" i="46"/>
  <c r="G35" i="46"/>
  <c r="I35" i="4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C16" i="44"/>
  <c r="F7" i="67"/>
  <c r="C20" i="44"/>
  <c r="C17" i="44"/>
  <c r="R22" i="6"/>
  <c r="A6" i="64"/>
  <c r="A20" i="51"/>
  <c r="B15" i="63"/>
  <c r="A6" i="51"/>
  <c r="B7" i="63"/>
  <c r="A20" i="64"/>
  <c r="N5" i="54"/>
  <c r="B43" i="63"/>
  <c r="D7" i="66"/>
  <c r="D8" i="66"/>
  <c r="R25" i="6"/>
  <c r="D16" i="6"/>
  <c r="R23" i="6"/>
  <c r="J65" i="40"/>
  <c r="I67" i="40"/>
  <c r="C26" i="46"/>
  <c r="C27" i="46"/>
  <c r="E4" i="67"/>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C21" i="44"/>
  <c r="C22" i="44"/>
  <c r="C25" i="44"/>
  <c r="J67" i="40"/>
  <c r="K65" i="40"/>
  <c r="R27" i="6"/>
  <c r="R6" i="1"/>
  <c r="R16" i="1"/>
  <c r="E3" i="67"/>
  <c r="B2" i="46"/>
  <c r="D4" i="46"/>
  <c r="C18" i="43"/>
  <c r="C19" i="43"/>
  <c r="C25" i="43"/>
  <c r="C24" i="43"/>
  <c r="K48" i="35"/>
  <c r="L48" i="35"/>
  <c r="M48" i="35"/>
  <c r="N48" i="35"/>
  <c r="O48" i="35"/>
  <c r="K52" i="37"/>
  <c r="B7" i="67"/>
  <c r="C28" i="44"/>
  <c r="C31" i="44"/>
  <c r="I5" i="6"/>
  <c r="B3" i="46"/>
  <c r="J7" i="35"/>
  <c r="W7" i="35"/>
  <c r="L65" i="40"/>
  <c r="K67" i="40"/>
  <c r="L44" i="9"/>
  <c r="B4" i="46"/>
  <c r="B2" i="67"/>
  <c r="B4" i="67"/>
  <c r="J59" i="15"/>
  <c r="J60" i="15"/>
  <c r="Q49" i="15"/>
  <c r="J35" i="15"/>
  <c r="C56" i="15"/>
  <c r="C60" i="15"/>
  <c r="C58" i="15"/>
  <c r="Q50" i="15"/>
  <c r="J19" i="15"/>
  <c r="J17" i="15"/>
  <c r="J14" i="15"/>
  <c r="J13" i="15"/>
  <c r="J23" i="15"/>
  <c r="B5" i="12"/>
  <c r="B4" i="12"/>
  <c r="B3" i="12"/>
  <c r="J22" i="15"/>
  <c r="Q51" i="44"/>
  <c r="J21" i="44"/>
  <c r="J19" i="44"/>
  <c r="C35" i="44"/>
  <c r="C33" i="44"/>
  <c r="C38" i="44"/>
  <c r="C15" i="44"/>
  <c r="J16" i="44"/>
  <c r="C22" i="43"/>
  <c r="C21" i="43"/>
  <c r="C28" i="43"/>
  <c r="C30" i="43"/>
  <c r="C32" i="43"/>
  <c r="B2" i="43"/>
  <c r="AC7" i="35"/>
  <c r="V38" i="35"/>
  <c r="I38" i="35"/>
  <c r="L52" i="37"/>
  <c r="F7" i="35"/>
  <c r="H7" i="35"/>
  <c r="D20" i="9"/>
  <c r="D21" i="9"/>
  <c r="M65" i="40"/>
  <c r="L67"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7" i="40"/>
  <c r="N65" i="40"/>
  <c r="N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F9" i="40"/>
  <c r="J9" i="40"/>
  <c r="H9" i="40"/>
  <c r="C46" i="15"/>
  <c r="Q63" i="15"/>
  <c r="Q67" i="15"/>
  <c r="Q76" i="15"/>
  <c r="B3" i="44"/>
  <c r="B5" i="44"/>
  <c r="B4" i="44"/>
  <c r="AA7" i="37"/>
  <c r="R42" i="37"/>
  <c r="S7" i="37"/>
  <c r="E43" i="35"/>
  <c r="F43" i="35"/>
  <c r="E42" i="35"/>
  <c r="F42" i="35"/>
  <c r="I43" i="35"/>
  <c r="J43" i="35"/>
  <c r="C39" i="35"/>
  <c r="B3" i="35"/>
  <c r="B2" i="35"/>
  <c r="C38" i="35"/>
  <c r="H7" i="37"/>
  <c r="J7" i="37"/>
  <c r="U9" i="39"/>
  <c r="W9" i="40"/>
  <c r="AC9" i="40"/>
  <c r="V44" i="40"/>
  <c r="I44" i="40"/>
  <c r="I48" i="40"/>
  <c r="J48" i="40"/>
  <c r="S9" i="39"/>
  <c r="U9" i="40"/>
  <c r="AB9" i="40"/>
  <c r="T44" i="40"/>
  <c r="G44" i="40"/>
  <c r="S9" i="40"/>
  <c r="AA9" i="40"/>
  <c r="R44" i="40"/>
  <c r="W7" i="37"/>
  <c r="AC7" i="37"/>
  <c r="V42" i="37"/>
  <c r="I42" i="37"/>
  <c r="AB7" i="37"/>
  <c r="T42" i="37"/>
  <c r="G42" i="37"/>
  <c r="U7" i="37"/>
  <c r="E42" i="37"/>
  <c r="R43" i="37"/>
  <c r="R45" i="40"/>
  <c r="E44" i="40"/>
  <c r="G49" i="40"/>
  <c r="H49" i="40"/>
  <c r="G48" i="40"/>
  <c r="H48" i="40"/>
  <c r="W9" i="39"/>
  <c r="C43" i="37"/>
  <c r="B3" i="37"/>
  <c r="B2" i="37"/>
  <c r="C42" i="37"/>
  <c r="I46" i="37"/>
  <c r="J46" i="37"/>
  <c r="I47" i="37"/>
  <c r="J47" i="37"/>
  <c r="E47" i="37"/>
  <c r="F47" i="37"/>
  <c r="E46" i="37"/>
  <c r="F46" i="37"/>
  <c r="G46" i="37"/>
  <c r="H46" i="37"/>
  <c r="G47" i="37"/>
  <c r="H47" i="37"/>
  <c r="I49" i="40"/>
  <c r="J49" i="40"/>
  <c r="E49" i="40"/>
  <c r="F49" i="40"/>
  <c r="E48" i="40"/>
  <c r="F48" i="40"/>
  <c r="C44" i="40"/>
  <c r="C45" i="40"/>
  <c r="B61" i="40"/>
  <c r="F61" i="40"/>
  <c r="B58" i="40"/>
  <c r="F58" i="40"/>
  <c r="B59" i="40"/>
  <c r="F59" i="40"/>
  <c r="B54" i="40"/>
  <c r="F54" i="40"/>
  <c r="B55" i="40"/>
  <c r="F55" i="40"/>
  <c r="B62" i="40"/>
  <c r="F62" i="40"/>
  <c r="B53" i="40"/>
  <c r="F53" i="40"/>
  <c r="B57" i="40"/>
  <c r="F57" i="40"/>
  <c r="F63" i="40"/>
  <c r="B2" i="40"/>
  <c r="B60" i="40"/>
  <c r="F60" i="40"/>
  <c r="B56" i="40"/>
  <c r="F56" i="40"/>
  <c r="B5" i="40"/>
  <c r="B3" i="40"/>
  <c r="B4" i="40"/>
  <c r="Y5" i="59"/>
  <c r="Z5" i="59"/>
  <c r="X6" i="59"/>
  <c r="X5" i="59"/>
  <c r="AA5" i="59"/>
  <c r="AB5" i="59"/>
  <c r="G16" i="1"/>
  <c r="F12" i="39"/>
  <c r="AA12" i="39"/>
  <c r="H12" i="39"/>
  <c r="AB12" i="39"/>
  <c r="J12" i="39"/>
  <c r="AC12" i="39"/>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C99" i="9"/>
  <c r="B5" i="66"/>
  <c r="C5" i="66"/>
  <c r="D5" i="66"/>
  <c r="E98" i="9"/>
  <c r="E99" i="9"/>
  <c r="C82" i="9"/>
  <c r="C81" i="9"/>
  <c r="C85" i="9"/>
  <c r="C86" i="9"/>
  <c r="D72" i="9"/>
  <c r="D70" i="9"/>
  <c r="F14" i="66"/>
  <c r="E14" i="66"/>
  <c r="C33" i="9"/>
  <c r="D42" i="9"/>
  <c r="Q5" i="54"/>
  <c r="B47" i="63"/>
  <c r="N38" i="9"/>
  <c r="K28" i="9"/>
  <c r="R5" i="54"/>
  <c r="B48" i="63"/>
  <c r="N68" i="9"/>
  <c r="O38" i="9"/>
  <c r="K25" i="9"/>
  <c r="K26" i="9"/>
  <c r="C34" i="9"/>
  <c r="M38" i="9"/>
  <c r="K27" i="9"/>
  <c r="E42" i="9"/>
  <c r="P5" i="54"/>
  <c r="B46" i="63"/>
  <c r="C35" i="9"/>
  <c r="F42" i="9"/>
  <c r="O43" i="9"/>
  <c r="N43" i="9"/>
  <c r="G22" i="9"/>
  <c r="B4" i="39"/>
  <c r="C21" i="9"/>
  <c r="G21" i="9"/>
  <c r="B3" i="39"/>
  <c r="C20" i="9"/>
  <c r="G20" i="9"/>
  <c r="B5" i="39"/>
  <c r="D22" i="9"/>
  <c r="L43" i="9"/>
  <c r="C49" i="39"/>
  <c r="E49" i="39"/>
  <c r="G49" i="39"/>
  <c r="E54" i="39"/>
  <c r="F54" i="39"/>
  <c r="E53" i="39"/>
  <c r="F53" i="39"/>
  <c r="I49" i="39"/>
  <c r="G54" i="39"/>
  <c r="H54" i="39"/>
  <c r="I54" i="39"/>
  <c r="J54" i="39"/>
  <c r="I53" i="39"/>
  <c r="J53" i="39"/>
  <c r="G53" i="39"/>
  <c r="H53" i="39"/>
  <c r="G14" i="66"/>
  <c r="B6" i="66"/>
  <c r="D6" i="66"/>
  <c r="E44" i="9"/>
  <c r="F44" i="9"/>
  <c r="C6" i="66"/>
  <c r="D44" i="9"/>
  <c r="U12" i="39"/>
  <c r="H12" i="40"/>
  <c r="AB12" i="40"/>
  <c r="W12" i="39"/>
  <c r="J12" i="40"/>
  <c r="AC12" i="40"/>
  <c r="W12" i="40"/>
  <c r="S12" i="39"/>
  <c r="F12" i="40"/>
  <c r="AA12" i="40"/>
  <c r="S12" i="40"/>
  <c r="U12" i="40"/>
  <c r="M83" i="9"/>
  <c r="N83" i="9"/>
  <c r="M84" i="9"/>
  <c r="N84" i="9"/>
  <c r="M85" i="9"/>
  <c r="N85" i="9"/>
  <c r="M86" i="9"/>
  <c r="N86" i="9"/>
  <c r="M87" i="9"/>
  <c r="N87" i="9"/>
  <c r="M88" i="9"/>
  <c r="N88" i="9"/>
  <c r="N89" i="9"/>
  <c r="O89" i="9"/>
  <c r="O39" i="9"/>
  <c r="R6" i="54"/>
  <c r="B50" i="63"/>
  <c r="K29" i="9"/>
  <c r="K3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<sst xmlns="http://schemas.openxmlformats.org/spreadsheetml/2006/main" count="8048" uniqueCount="3370">
  <si>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</si>
  <si>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</si>
  <si>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</si>
  <si>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</si>
  <si>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</si>
  <si>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</si>
  <si>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</si>
  <si>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</si>
  <si>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</si>
  <si>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</si>
  <si>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</si>
  <si>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</si>
  <si>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</si>
  <si>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</si>
  <si>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</si>
  <si>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</si>
  <si>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</si>
  <si>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</si>
  <si>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</si>
  <si>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</si>
  <si>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</si>
  <si>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</si>
  <si>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</si>
  <si>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</si>
  <si>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</si>
  <si>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</si>
  <si>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</si>
  <si>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</si>
  <si>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</si>
  <si>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</si>
  <si>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</si>
  <si>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</si>
  <si>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</si>
  <si>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</si>
  <si>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</si>
  <si>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</si>
  <si>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</si>
  <si>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</si>
  <si>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</si>
  <si>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</si>
  <si>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</si>
  <si>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</si>
  <si>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</si>
  <si>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</si>
  <si>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</si>
  <si>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</si>
  <si>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</si>
  <si>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</si>
  <si>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</si>
  <si>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</si>
  <si>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</si>
  <si>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</si>
  <si>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</si>
  <si>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</si>
  <si>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</si>
  <si>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</si>
  <si>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</si>
  <si>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</si>
  <si>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</si>
  <si>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</si>
  <si>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</si>
  <si>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</si>
  <si>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</si>
  <si>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</si>
  <si>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</si>
  <si>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</si>
  <si>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</si>
  <si>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</si>
  <si>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</si>
  <si>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</si>
  <si>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</si>
  <si>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</si>
  <si>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</si>
  <si>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</si>
  <si>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</si>
  <si>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</si>
  <si>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</si>
  <si>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</si>
  <si>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</si>
  <si>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</si>
  <si>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</si>
  <si>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</si>
  <si>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</si>
  <si>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</si>
  <si>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</si>
  <si>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</si>
  <si>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</si>
  <si>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</si>
  <si>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</si>
  <si>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</si>
  <si>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</si>
  <si>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</si>
  <si>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</si>
  <si>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</si>
  <si>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</si>
  <si>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</si>
  <si>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</si>
  <si>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</si>
  <si>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</si>
  <si>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</si>
  <si>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</si>
  <si>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</si>
  <si>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</si>
  <si>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</si>
  <si>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</si>
  <si>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</si>
  <si>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</si>
  <si>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</si>
  <si>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</si>
  <si>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</si>
  <si>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</si>
  <si>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</si>
  <si>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</si>
  <si>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</si>
  <si>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</si>
  <si>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</si>
  <si>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</si>
  <si>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</si>
  <si>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</si>
  <si>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</si>
  <si>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</si>
  <si>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</si>
  <si>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</si>
  <si>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</si>
  <si>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</si>
  <si>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</si>
  <si>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</si>
  <si>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</si>
  <si>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</si>
  <si>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</si>
  <si>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</si>
  <si>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</si>
  <si>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</si>
  <si>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</si>
  <si>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</si>
  <si>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</si>
  <si>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</si>
  <si>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</si>
  <si>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</si>
  <si>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</si>
  <si>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</si>
  <si>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</si>
  <si>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</si>
  <si>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</si>
  <si>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</si>
  <si>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</si>
  <si>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</si>
  <si>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</si>
  <si>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</si>
  <si>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</si>
  <si>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</si>
  <si>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</si>
  <si>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</si>
  <si>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</si>
  <si>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</si>
  <si>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</si>
  <si>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</si>
  <si>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</si>
  <si>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</si>
  <si>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</si>
  <si>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</si>
  <si>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</si>
  <si>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</si>
  <si>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</si>
  <si>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</si>
  <si>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</si>
  <si>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</si>
  <si>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</si>
  <si>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</si>
  <si>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</si>
  <si>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</si>
  <si>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</si>
  <si>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</si>
  <si>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</si>
  <si>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</si>
  <si>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</si>
  <si>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</si>
  <si>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</si>
  <si>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</si>
  <si>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</si>
  <si>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</si>
  <si>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</si>
  <si>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</si>
  <si>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</si>
  <si>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</si>
  <si>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</si>
  <si>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</si>
  <si>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</si>
  <si>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</si>
  <si>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</si>
  <si>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</si>
  <si>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</si>
  <si>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</si>
  <si>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</si>
  <si>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</si>
  <si>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</si>
  <si>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</si>
  <si>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</si>
  <si>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</si>
  <si>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</si>
  <si>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</si>
  <si>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</si>
  <si>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</si>
  <si>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</si>
  <si>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</si>
  <si>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</si>
  <si>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</si>
  <si>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</si>
  <si>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</si>
  <si>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</si>
  <si>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</si>
  <si>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</si>
  <si>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</si>
  <si>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</si>
  <si>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</si>
  <si>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</si>
  <si>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</si>
  <si>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</si>
  <si>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</si>
  <si>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</si>
  <si>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</si>
  <si>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</si>
  <si>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</si>
  <si>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</si>
  <si>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</si>
  <si>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</si>
  <si>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</si>
  <si>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</si>
  <si>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</si>
  <si>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</si>
  <si>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</si>
  <si>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</si>
  <si>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</si>
  <si>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</si>
  <si>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</si>
  <si>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</si>
  <si>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</si>
  <si>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</si>
  <si>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</si>
  <si>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</si>
  <si>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</si>
  <si>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</si>
  <si>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</si>
  <si>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</si>
  <si>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</si>
  <si>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</si>
  <si>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</si>
  <si>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</si>
  <si>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</si>
  <si>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</si>
  <si>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</si>
  <si>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</si>
  <si>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</si>
  <si>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</si>
  <si>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</si>
  <si>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</si>
  <si>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</si>
  <si>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</si>
  <si>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</si>
  <si>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</si>
  <si>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</si>
  <si>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</si>
  <si>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</si>
  <si>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</si>
  <si>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</si>
  <si>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</si>
  <si>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</si>
  <si>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</si>
  <si>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</si>
  <si>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</si>
  <si>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</si>
  <si>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</si>
  <si>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</si>
  <si>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</si>
  <si>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</si>
  <si>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</si>
  <si>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</si>
  <si>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</si>
  <si>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</si>
  <si>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</si>
  <si>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</si>
  <si>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</si>
  <si>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</si>
  <si>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</si>
  <si>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</si>
  <si>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</si>
  <si>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</si>
  <si>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</si>
  <si>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</si>
  <si>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</si>
  <si>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</si>
  <si>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</si>
  <si>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</si>
  <si>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</si>
  <si>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</si>
  <si>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</si>
  <si>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</si>
  <si>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</si>
  <si>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</si>
  <si>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</si>
  <si>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</si>
  <si>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</si>
  <si>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</si>
  <si>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</si>
  <si>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</si>
  <si>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</si>
  <si>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</si>
  <si>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</si>
  <si>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</si>
  <si>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</si>
  <si>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</si>
  <si>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</si>
  <si>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</si>
  <si>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</si>
  <si>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</si>
  <si>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</si>
  <si>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</si>
  <si>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</si>
  <si>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</si>
  <si>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</si>
  <si>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</si>
  <si>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</si>
  <si>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</si>
  <si>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</si>
  <si>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</si>
  <si>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</si>
  <si>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</si>
  <si>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</si>
  <si>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</si>
  <si>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</si>
  <si>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</si>
  <si>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</si>
  <si>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</si>
  <si>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</si>
  <si>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</si>
  <si>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</si>
  <si>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</si>
  <si>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</si>
  <si>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</si>
  <si>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</si>
  <si>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</si>
  <si>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</si>
  <si>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</si>
  <si>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</si>
  <si>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</si>
  <si>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</si>
  <si>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</si>
  <si>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</si>
  <si>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</si>
  <si>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</si>
  <si>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</si>
  <si>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</si>
  <si>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</si>
  <si>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</si>
  <si>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</si>
  <si>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</si>
  <si>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</si>
  <si>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</si>
  <si>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</si>
  <si>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</si>
  <si>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</si>
  <si>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</si>
  <si>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</si>
  <si>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</si>
  <si>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</si>
  <si>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</si>
  <si>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</si>
  <si>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</si>
  <si>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</si>
  <si>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</si>
  <si>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</si>
  <si>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</si>
  <si>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</si>
  <si>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</si>
  <si>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</si>
  <si>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</si>
  <si>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</si>
  <si>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</si>
  <si>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</si>
  <si>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</si>
  <si>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</si>
  <si>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</si>
  <si>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</si>
  <si>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</si>
  <si>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</si>
  <si>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</si>
  <si>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</si>
  <si>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</si>
  <si>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</si>
  <si>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</si>
  <si>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</si>
  <si>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</si>
  <si>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</si>
  <si>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</si>
  <si>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</si>
  <si>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</si>
  <si>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</si>
  <si>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</si>
  <si>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</si>
  <si>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</si>
  <si>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</si>
  <si>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</si>
  <si>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</si>
  <si>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</si>
  <si>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</si>
  <si>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</si>
  <si>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</si>
  <si>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</si>
  <si>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</si>
  <si>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</si>
  <si>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</si>
  <si>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</si>
  <si>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</si>
  <si>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</si>
  <si>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</si>
  <si>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</si>
  <si>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</si>
  <si>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</si>
  <si>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</si>
  <si>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</si>
  <si>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</si>
  <si>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</si>
  <si>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</si>
  <si>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</si>
  <si>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</si>
  <si>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</si>
  <si>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</si>
  <si>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</si>
  <si>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</si>
  <si>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</si>
  <si>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</si>
  <si>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</si>
  <si>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</si>
  <si>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</si>
  <si>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</si>
  <si>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</si>
  <si>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</si>
  <si>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</si>
  <si>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</si>
  <si>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</si>
  <si>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</si>
  <si>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</si>
  <si>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</si>
  <si>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</si>
  <si>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</si>
  <si>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</si>
  <si>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</si>
  <si>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</si>
  <si>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</si>
  <si>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</si>
  <si>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</si>
  <si>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</si>
  <si>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</si>
  <si>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</si>
  <si>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</si>
  <si>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</si>
  <si>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</si>
  <si>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</si>
  <si>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</si>
  <si>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</si>
  <si>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</si>
  <si>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</si>
  <si>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</si>
  <si>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</si>
  <si>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</si>
  <si>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</si>
  <si>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</si>
  <si>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</si>
  <si>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</si>
  <si>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</si>
  <si>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</si>
  <si>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</si>
  <si>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</si>
  <si>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</si>
  <si>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</si>
  <si>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</si>
  <si>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</si>
  <si>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</si>
  <si>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</si>
  <si>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</si>
  <si>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</si>
  <si>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</si>
  <si>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</si>
  <si>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</si>
  <si>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</si>
  <si>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</si>
  <si>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</si>
  <si>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</si>
  <si>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</si>
  <si>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</si>
  <si>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</si>
  <si>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</si>
  <si>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</si>
  <si>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</si>
  <si>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</si>
  <si>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</si>
  <si>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</si>
  <si>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</si>
  <si>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</si>
  <si>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</si>
  <si>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</si>
  <si>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</si>
  <si>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</si>
  <si>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</si>
  <si>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</si>
  <si>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</si>
  <si>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</si>
  <si>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</si>
  <si>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</si>
  <si>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</si>
  <si>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</si>
  <si>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</si>
  <si>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</si>
  <si>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</si>
  <si>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</si>
  <si>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</si>
  <si>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</si>
  <si>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</si>
  <si>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</si>
  <si>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</si>
  <si>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</si>
  <si>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</si>
  <si>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</si>
  <si>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</si>
  <si>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</si>
  <si>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</si>
  <si>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</si>
  <si>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</si>
  <si>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</si>
  <si>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</si>
  <si>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</si>
  <si>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</si>
  <si>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</si>
  <si>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</si>
  <si>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</si>
  <si>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</si>
  <si>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</si>
  <si>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</si>
  <si>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</si>
  <si>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</si>
  <si>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</si>
  <si>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</si>
  <si>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</si>
  <si>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</si>
  <si>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</si>
  <si>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</si>
  <si>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</si>
  <si>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</si>
  <si>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</si>
  <si>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</si>
  <si>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</si>
  <si>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</si>
  <si>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</si>
  <si>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</si>
  <si>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</si>
  <si>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</si>
  <si>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</si>
  <si>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</si>
  <si>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</si>
  <si>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</si>
  <si>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</si>
  <si>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</si>
  <si>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</si>
  <si>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</si>
  <si>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</si>
  <si>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</si>
  <si>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</si>
  <si>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</si>
  <si>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</si>
  <si>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</si>
  <si>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</si>
  <si>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</si>
  <si>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</si>
  <si>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</si>
  <si>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</si>
  <si>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</si>
  <si>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</si>
  <si>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</si>
  <si>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</si>
  <si>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</si>
  <si>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</si>
  <si>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</si>
  <si>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</si>
  <si>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</si>
  <si>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</si>
  <si>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</si>
  <si>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</si>
  <si>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</si>
  <si>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</si>
  <si>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</si>
  <si>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</si>
  <si>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</si>
  <si>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</si>
  <si>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</si>
  <si>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</si>
  <si>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</si>
  <si>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</si>
  <si>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</si>
  <si>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</si>
  <si>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</si>
  <si>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</si>
  <si>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</si>
  <si>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</si>
  <si>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</si>
  <si>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</si>
  <si>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</si>
  <si>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</si>
  <si>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</si>
  <si>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</si>
  <si>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</si>
  <si>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</si>
  <si>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</si>
  <si>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</si>
  <si>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</si>
  <si>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</si>
  <si>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</si>
  <si>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</si>
  <si>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</si>
  <si>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</si>
  <si>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</si>
  <si>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</si>
  <si>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</si>
  <si>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</si>
  <si>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</si>
  <si>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</si>
  <si>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</si>
  <si>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</si>
  <si>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</si>
  <si>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</si>
  <si>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</si>
  <si>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</si>
  <si>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</si>
  <si>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</si>
  <si>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</si>
  <si>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</si>
  <si>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</si>
  <si>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</si>
  <si>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</si>
  <si>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</si>
  <si>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</si>
  <si>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</si>
  <si>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</si>
  <si>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</si>
  <si>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</si>
  <si>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</si>
  <si>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</si>
  <si>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</si>
  <si>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</si>
  <si>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</si>
  <si>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</si>
  <si>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</si>
  <si>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</si>
  <si>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</si>
  <si>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</si>
  <si>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</si>
  <si>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</si>
  <si>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</si>
  <si>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</si>
  <si>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</si>
  <si>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</si>
  <si>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</si>
  <si>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</si>
  <si>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</si>
  <si>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</si>
  <si>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</si>
  <si>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</si>
  <si>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</si>
  <si>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</si>
  <si>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</si>
  <si>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</si>
  <si>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</si>
  <si>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</si>
  <si>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</si>
  <si>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</si>
  <si>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</si>
  <si>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</si>
  <si>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</si>
  <si>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</si>
  <si>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</si>
  <si>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</si>
  <si>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</si>
  <si>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</si>
  <si>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</si>
  <si>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</si>
  <si>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</si>
  <si>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</si>
  <si>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</si>
  <si>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</si>
  <si>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</si>
  <si>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</si>
  <si>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</si>
  <si>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</si>
  <si>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</si>
  <si>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</si>
  <si>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</si>
  <si>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</si>
  <si>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</si>
  <si>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</si>
  <si>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</si>
  <si>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</si>
  <si>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</si>
  <si>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</si>
  <si>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</si>
  <si>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</si>
  <si>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</si>
  <si>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</si>
  <si>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</si>
  <si>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</si>
  <si>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</si>
  <si>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</si>
  <si>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</si>
  <si>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</si>
  <si>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</si>
  <si>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</si>
  <si>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</si>
  <si>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</si>
  <si>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</si>
  <si>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</si>
  <si>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</si>
  <si>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</si>
  <si>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</si>
  <si>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</si>
  <si>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</si>
  <si>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</si>
  <si>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</si>
  <si>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</si>
  <si>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</si>
  <si>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</si>
  <si>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</si>
  <si>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</si>
  <si>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</si>
  <si>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</si>
  <si>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</si>
  <si>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</si>
  <si>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</si>
  <si>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</si>
  <si>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</si>
  <si>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</si>
  <si>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</si>
  <si>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</si>
  <si>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</si>
  <si>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</si>
  <si>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</si>
  <si>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</si>
  <si>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</si>
  <si>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</si>
  <si>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</si>
  <si>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</si>
  <si>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</si>
  <si>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</si>
  <si>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</si>
  <si>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</si>
  <si>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</si>
  <si>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</si>
  <si>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</si>
  <si>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</si>
  <si>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</si>
  <si>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</si>
  <si>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</si>
  <si>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</si>
  <si>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</si>
  <si>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</si>
  <si>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</si>
  <si>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</si>
  <si>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</si>
  <si>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</si>
  <si>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</si>
  <si>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</si>
  <si>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</si>
  <si>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</si>
  <si>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</si>
  <si>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</si>
  <si>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</si>
  <si>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</si>
  <si>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</si>
  <si>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</si>
  <si>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</si>
  <si>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</si>
  <si>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</si>
  <si>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</si>
  <si>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</si>
  <si>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</si>
  <si>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</si>
  <si>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</si>
  <si>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</si>
  <si>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</si>
  <si>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</si>
  <si>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</si>
  <si>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</si>
  <si>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</si>
  <si>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</si>
  <si>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</si>
  <si>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</si>
  <si>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</si>
  <si>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</si>
  <si>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</si>
  <si>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</si>
  <si>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</si>
  <si>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</si>
  <si>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</si>
  <si>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</si>
  <si>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</si>
  <si>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</si>
  <si>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</si>
  <si>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</si>
  <si>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</si>
  <si>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</si>
  <si>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</si>
  <si>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</si>
  <si>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</si>
  <si>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</si>
  <si>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</si>
  <si>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</si>
  <si>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</si>
  <si>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</si>
  <si>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</si>
  <si>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</si>
  <si>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</si>
  <si>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</si>
  <si>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</si>
  <si>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</si>
  <si>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</si>
  <si>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</si>
  <si>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</si>
  <si>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</si>
  <si>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</si>
  <si>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</si>
  <si>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</si>
  <si>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</si>
  <si>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</si>
  <si>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</si>
  <si>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</si>
  <si>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</si>
  <si>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</si>
  <si>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</si>
  <si>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</si>
  <si>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</si>
  <si>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</si>
  <si>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</si>
  <si>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</si>
  <si>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</si>
  <si>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</si>
  <si>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</si>
  <si>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</si>
  <si>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</si>
  <si>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</si>
  <si>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</si>
  <si>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</si>
  <si>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</si>
  <si>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</si>
  <si>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</si>
  <si>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</si>
  <si>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</si>
  <si>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</si>
  <si>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</si>
  <si>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</si>
  <si>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</si>
  <si>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</si>
  <si>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</si>
  <si>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</si>
  <si>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</si>
  <si>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</si>
  <si>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</si>
  <si>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</si>
  <si>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</si>
  <si>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</si>
  <si>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</si>
  <si>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</si>
  <si>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</si>
  <si>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</si>
  <si>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</si>
  <si>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</si>
  <si>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</si>
  <si>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</si>
  <si>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</si>
  <si>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</si>
  <si>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</si>
  <si>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</si>
  <si>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</si>
  <si>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</si>
  <si>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</si>
  <si>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</si>
  <si>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</si>
  <si>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</si>
  <si>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</si>
  <si>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</si>
  <si>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</si>
  <si>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</si>
  <si>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</si>
  <si>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</si>
  <si>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</si>
  <si>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</si>
  <si>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</si>
  <si>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</si>
  <si>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</si>
  <si>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</si>
  <si>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</si>
  <si>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</si>
  <si>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</si>
  <si>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</si>
  <si>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</si>
  <si>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</si>
  <si>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</si>
  <si>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</si>
  <si>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</si>
  <si>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</si>
  <si>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</si>
  <si>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</si>
  <si>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</si>
  <si>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</si>
  <si>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</si>
  <si>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</si>
  <si>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</si>
  <si>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</si>
  <si>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</si>
  <si>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</si>
  <si>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</si>
  <si>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</si>
  <si>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</si>
  <si>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</si>
  <si>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</si>
  <si>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</si>
  <si>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</si>
  <si>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</si>
  <si>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</si>
  <si>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</si>
  <si>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</si>
  <si>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</si>
  <si>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</si>
  <si>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</si>
  <si>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</si>
  <si>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</si>
  <si>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</si>
  <si>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</si>
  <si>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</si>
  <si>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</si>
  <si>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</si>
  <si>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</si>
  <si>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</si>
  <si>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</si>
  <si>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</si>
  <si>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</si>
  <si>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</si>
  <si>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</si>
  <si>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</si>
  <si>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</si>
  <si>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</si>
  <si>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</si>
  <si>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</si>
  <si>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</si>
  <si>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</si>
  <si>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</si>
  <si>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</si>
  <si>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</si>
  <si>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</si>
  <si>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</si>
  <si>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</si>
  <si>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</si>
  <si>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</si>
  <si>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</si>
  <si>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</si>
  <si>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</si>
  <si>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</si>
  <si>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</si>
  <si>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</si>
  <si>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</si>
  <si>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</si>
  <si>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</si>
  <si>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</si>
  <si>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</si>
  <si>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</si>
  <si>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</si>
  <si>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</si>
  <si>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</si>
  <si>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</si>
  <si>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</si>
  <si>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</si>
  <si>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</si>
  <si>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</si>
  <si>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</si>
  <si>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</si>
  <si>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</si>
  <si>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</si>
  <si>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</si>
  <si>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</si>
  <si>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</si>
  <si>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</si>
  <si>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</si>
  <si>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</si>
  <si>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</si>
  <si>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</si>
  <si>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</si>
  <si>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</si>
  <si>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</si>
  <si>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</si>
  <si>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</si>
  <si>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</si>
  <si>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</si>
  <si>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</si>
  <si>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</si>
  <si>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</si>
  <si>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</si>
  <si>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</si>
  <si>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</si>
  <si>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</si>
  <si>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</si>
  <si>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</si>
  <si>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</si>
  <si>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</si>
  <si>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</si>
  <si>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</si>
  <si>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</si>
  <si>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</si>
  <si>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</si>
  <si>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</si>
  <si>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</si>
  <si>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</si>
  <si>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</si>
  <si>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</si>
  <si>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</si>
  <si>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</si>
  <si>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</si>
  <si>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</si>
  <si>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</si>
  <si>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</si>
  <si>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</si>
  <si>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</si>
  <si>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</si>
  <si>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</si>
  <si>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</si>
  <si>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</si>
  <si>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</si>
  <si>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</si>
  <si>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</si>
  <si>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</si>
  <si>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</si>
  <si>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</si>
  <si>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</si>
  <si>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</si>
  <si>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</si>
  <si>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</si>
  <si>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</si>
  <si>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</si>
  <si>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</si>
  <si>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</si>
  <si>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</si>
  <si>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</si>
  <si>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</si>
  <si>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</si>
  <si>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</si>
  <si>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</si>
  <si>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</si>
  <si>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</si>
  <si>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</si>
  <si>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</si>
  <si>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</si>
  <si>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</si>
  <si>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</si>
  <si>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</si>
  <si>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</si>
  <si>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</si>
  <si>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</si>
  <si>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</si>
  <si>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</si>
  <si>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</si>
  <si>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</si>
  <si>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</si>
  <si>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</si>
  <si>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</si>
  <si>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</si>
  <si>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</si>
  <si>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</si>
  <si>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</si>
  <si>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</si>
  <si>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</si>
  <si>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</si>
  <si>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</si>
  <si>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</si>
  <si>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</si>
  <si>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</si>
  <si>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</si>
  <si>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</si>
  <si>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</si>
  <si>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</si>
  <si>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</si>
  <si>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</si>
  <si>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</si>
  <si>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</si>
  <si>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</si>
  <si>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</si>
  <si>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</si>
  <si>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</si>
  <si>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</si>
  <si>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</si>
  <si>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</si>
  <si>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</si>
  <si>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</si>
  <si>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</si>
  <si>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</si>
  <si>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</si>
  <si>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</si>
  <si>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</si>
  <si>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</si>
  <si>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</si>
  <si>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</si>
  <si>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</si>
  <si>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</si>
  <si>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</si>
  <si>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</si>
  <si>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</si>
  <si>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</si>
  <si>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</si>
  <si>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</si>
  <si>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</si>
  <si>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</si>
  <si>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</si>
  <si>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</si>
  <si>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</si>
  <si>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</si>
  <si>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</si>
  <si>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</si>
  <si>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</si>
  <si>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</si>
  <si>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</si>
  <si>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</si>
  <si>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</si>
  <si>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</si>
  <si>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</si>
  <si>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</si>
  <si>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</si>
  <si>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</si>
  <si>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</si>
  <si>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</si>
  <si>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</si>
  <si>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</si>
  <si>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</si>
  <si>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</si>
  <si>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</si>
  <si>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</si>
  <si>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</si>
  <si>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</si>
  <si>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</si>
  <si>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</si>
  <si>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</si>
  <si>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</si>
  <si>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</si>
  <si>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</si>
  <si>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</si>
  <si>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</si>
  <si>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</si>
  <si>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</si>
  <si>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</si>
  <si>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</si>
  <si>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</si>
  <si>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</si>
  <si>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</si>
  <si>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</si>
  <si>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</si>
  <si>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</si>
  <si>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</si>
  <si>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</si>
  <si>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</si>
  <si>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</si>
  <si>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</si>
  <si>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</si>
  <si>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</si>
  <si>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</si>
  <si>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</si>
  <si>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</si>
  <si>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</si>
  <si>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</si>
  <si>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</si>
  <si>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</si>
  <si>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</si>
  <si>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</si>
  <si>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</si>
  <si>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</si>
  <si>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</si>
  <si>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</si>
  <si>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</si>
  <si>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</si>
  <si>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</si>
  <si>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</si>
  <si>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</si>
  <si>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</si>
  <si>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</si>
  <si>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</si>
  <si>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</si>
  <si>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</si>
  <si>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</si>
  <si>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</si>
  <si>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</si>
  <si>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</si>
  <si>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</si>
  <si>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</si>
  <si>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</si>
  <si>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</si>
  <si>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</si>
  <si>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</si>
  <si>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</si>
  <si>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</si>
  <si>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</si>
  <si>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</si>
  <si>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</si>
  <si>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</si>
  <si>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</si>
  <si>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</si>
  <si>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</si>
  <si>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</si>
  <si>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</si>
  <si>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</si>
  <si>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</si>
  <si>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</si>
  <si>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</si>
  <si>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</si>
  <si>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</si>
  <si>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</si>
  <si>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</si>
  <si>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</si>
  <si>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</si>
  <si>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</si>
  <si>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</si>
  <si>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</si>
  <si>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</si>
  <si>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</si>
  <si>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</si>
  <si>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</si>
  <si>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</si>
  <si>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</si>
  <si>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</si>
  <si>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</si>
  <si>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</si>
  <si>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</si>
  <si>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</si>
  <si>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</si>
  <si>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</si>
  <si>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</si>
  <si>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</si>
  <si>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</si>
  <si>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</si>
  <si>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</si>
  <si>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</si>
  <si>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</si>
  <si>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</si>
  <si>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</si>
  <si>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</si>
  <si>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</si>
  <si>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</si>
  <si>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</si>
  <si>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</si>
  <si>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</si>
  <si>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</si>
  <si>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</si>
  <si>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</si>
  <si>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</si>
  <si>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</si>
  <si>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</si>
  <si>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</si>
  <si>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</si>
  <si>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</si>
  <si>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</si>
  <si>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</si>
  <si>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</si>
  <si>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</si>
  <si>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</si>
  <si>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</si>
  <si>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</si>
  <si>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</si>
  <si>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</si>
  <si>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</si>
  <si>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</si>
  <si>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</si>
  <si>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</si>
  <si>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</si>
  <si>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</si>
  <si>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</si>
  <si>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</si>
  <si>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</si>
  <si>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</si>
  <si>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</si>
  <si>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</si>
  <si>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</si>
  <si>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</si>
  <si>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</si>
  <si>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</si>
  <si>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</si>
  <si>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</si>
  <si>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</si>
  <si>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</si>
  <si>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</si>
  <si>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</si>
  <si>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</si>
  <si>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</si>
  <si>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</si>
  <si>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</si>
  <si>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</si>
  <si>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</si>
  <si>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</si>
  <si>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</si>
  <si>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</si>
  <si>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</si>
  <si>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</si>
  <si>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</si>
  <si>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</si>
  <si>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</si>
  <si>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</si>
  <si>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</si>
  <si>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</si>
  <si>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</si>
  <si>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</si>
  <si>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</si>
  <si>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</si>
  <si>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</si>
  <si>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</si>
  <si>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</si>
  <si>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</si>
  <si>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</si>
  <si>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</si>
  <si>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</si>
  <si>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</si>
  <si>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</si>
  <si>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</si>
  <si>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</si>
  <si>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</si>
  <si>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</si>
  <si>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</si>
  <si>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</si>
  <si>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</si>
  <si>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</si>
  <si>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</si>
  <si>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</si>
  <si>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</si>
  <si>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</si>
  <si>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</si>
  <si>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</si>
  <si>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</si>
  <si>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</si>
  <si>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</si>
  <si>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</si>
  <si>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</si>
  <si>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</si>
  <si>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</si>
  <si>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</si>
  <si>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</si>
  <si>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</si>
  <si>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</si>
  <si>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</si>
  <si>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</si>
  <si>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</si>
  <si>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</si>
  <si>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</si>
  <si>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</si>
  <si>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</si>
  <si>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</si>
  <si>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</si>
  <si>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</si>
  <si>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</si>
  <si>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</si>
  <si>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</si>
  <si>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</si>
  <si>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</si>
  <si>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</si>
  <si>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</si>
  <si>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</si>
  <si>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</si>
  <si>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</si>
  <si>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</si>
  <si>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</si>
  <si>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</si>
  <si>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</si>
  <si>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</si>
  <si>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</si>
  <si>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</si>
  <si>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</si>
  <si>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</si>
  <si>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</si>
  <si>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</si>
  <si>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</si>
  <si>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</si>
  <si>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</si>
  <si>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</si>
  <si>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</si>
  <si>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</si>
  <si>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</si>
  <si>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</si>
  <si>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</si>
  <si>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</si>
  <si>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</si>
  <si>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</si>
  <si>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</si>
  <si>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</si>
  <si>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</si>
  <si>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</si>
  <si>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</si>
  <si>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</si>
  <si>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</si>
  <si>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</si>
  <si>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</si>
  <si>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</si>
  <si>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</si>
  <si>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</si>
  <si>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</si>
  <si>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</si>
  <si>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</si>
  <si>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</si>
  <si>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</si>
  <si>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</si>
  <si>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</si>
  <si>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</si>
  <si>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</si>
  <si>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</si>
  <si>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</si>
  <si>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</si>
  <si>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</si>
  <si>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</si>
  <si>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</si>
  <si>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</si>
  <si>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</si>
  <si>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</si>
  <si>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</si>
  <si>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</si>
  <si>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</si>
  <si>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</si>
  <si>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</si>
  <si>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</si>
  <si>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</si>
  <si>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</si>
  <si>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</si>
  <si>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</si>
  <si>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</si>
  <si>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</si>
  <si>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</si>
  <si>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</si>
  <si>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</si>
  <si>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</si>
  <si>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</si>
  <si>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</si>
  <si>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</si>
  <si>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</si>
  <si>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</si>
  <si>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</si>
  <si>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</si>
  <si>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</si>
  <si>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</si>
  <si>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</si>
  <si>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</si>
  <si>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</si>
  <si>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</si>
  <si>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</si>
  <si>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</si>
  <si>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</si>
  <si>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</si>
  <si>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</si>
  <si>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</si>
  <si>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</si>
  <si>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</si>
  <si>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</si>
  <si>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</si>
  <si>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</si>
  <si>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</si>
  <si>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</si>
  <si>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</si>
  <si>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</si>
  <si>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</si>
  <si>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</si>
  <si>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</si>
  <si>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</si>
  <si>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</si>
  <si>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</si>
  <si>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</si>
  <si>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</si>
  <si>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</si>
  <si>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</si>
  <si>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</si>
  <si>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</si>
  <si>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</si>
  <si>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</si>
  <si>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</si>
  <si>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</si>
  <si>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</si>
  <si>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</si>
  <si>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</si>
  <si>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</si>
  <si>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</si>
  <si>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</si>
  <si>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</si>
  <si>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</si>
  <si>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</si>
  <si>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</si>
  <si>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</si>
  <si>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</si>
  <si>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</si>
  <si>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</si>
  <si>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</si>
  <si>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</si>
  <si>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</si>
  <si>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</si>
  <si>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</si>
  <si>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</si>
  <si>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</si>
  <si>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</si>
  <si>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</si>
  <si>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</si>
  <si>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</si>
  <si>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</si>
  <si>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</si>
  <si>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</si>
  <si>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</si>
  <si>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</si>
  <si>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</si>
  <si>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</si>
  <si>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</si>
  <si>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</si>
  <si>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</si>
  <si>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</si>
  <si>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</si>
  <si>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</si>
  <si>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</si>
  <si>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</si>
  <si>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</si>
  <si>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</si>
  <si>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</si>
  <si>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</si>
  <si>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</si>
  <si>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</si>
  <si>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</si>
  <si>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</si>
  <si>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</si>
  <si>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</si>
  <si>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</si>
  <si>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</si>
  <si>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</si>
  <si>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</si>
  <si>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</si>
  <si>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</si>
  <si>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</si>
  <si>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</si>
  <si>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</si>
  <si>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</si>
  <si>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</si>
  <si>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</si>
  <si>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</si>
  <si>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</si>
  <si>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</si>
  <si>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</si>
  <si>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</si>
  <si>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</si>
  <si>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</si>
  <si>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</si>
  <si>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</si>
  <si>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</si>
  <si>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</si>
  <si>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</si>
  <si>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</si>
  <si>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</si>
  <si>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</si>
  <si>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</si>
  <si>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</si>
  <si>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</si>
  <si>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</si>
  <si>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</si>
  <si>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</si>
  <si>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</si>
  <si>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</si>
  <si>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</si>
  <si>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</si>
  <si>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</si>
  <si>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</si>
  <si>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</si>
  <si>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</si>
  <si>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</si>
  <si>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</si>
  <si>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</si>
  <si>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</si>
  <si>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</si>
  <si>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</si>
  <si>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</si>
  <si>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</si>
  <si>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</si>
  <si>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</si>
  <si>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</si>
  <si>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</si>
  <si>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</si>
  <si>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</si>
  <si>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</si>
  <si>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</si>
  <si>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</si>
  <si>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</si>
  <si>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</si>
  <si>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</si>
  <si>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</si>
  <si>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</si>
  <si>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</si>
  <si>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</si>
  <si>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</si>
  <si>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</si>
  <si>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</si>
  <si>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</si>
  <si>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</si>
  <si>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</si>
  <si>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</si>
  <si>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</si>
  <si>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</si>
  <si>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</si>
  <si>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</si>
  <si>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</si>
  <si>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</si>
  <si>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</si>
  <si>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</si>
  <si>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</si>
  <si>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</si>
  <si>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</si>
  <si>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</si>
  <si>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</si>
  <si>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</si>
  <si>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</si>
  <si>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</si>
  <si>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</si>
  <si>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</si>
  <si>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</si>
  <si>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</si>
  <si>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</si>
  <si>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</si>
  <si>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</si>
  <si>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</si>
  <si>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</si>
  <si>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</si>
  <si>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</si>
  <si>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</si>
  <si>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</si>
  <si>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</si>
  <si>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</si>
  <si>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</si>
  <si>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</si>
  <si>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</si>
  <si>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</si>
  <si>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</si>
  <si>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</si>
  <si>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</si>
  <si>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</si>
  <si>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</si>
  <si>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</si>
  <si>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</si>
  <si>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</si>
  <si>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</si>
  <si>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</si>
  <si>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</si>
  <si>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</si>
  <si>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</si>
  <si>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</si>
  <si>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</si>
  <si>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</si>
  <si>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</si>
  <si>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</si>
  <si>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</si>
  <si>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</si>
  <si>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</si>
  <si>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</si>
  <si>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</si>
  <si>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</si>
  <si>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</si>
  <si>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</si>
  <si>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</si>
  <si>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</si>
  <si>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</si>
  <si>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</si>
  <si>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</si>
  <si>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</si>
  <si>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</si>
  <si>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</si>
  <si>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</si>
  <si>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</si>
  <si>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</si>
  <si>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</si>
  <si>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</si>
  <si>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</si>
  <si>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</si>
  <si>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</si>
  <si>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</si>
  <si>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</si>
  <si>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</si>
  <si>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</si>
  <si>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</si>
  <si>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</si>
  <si>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</si>
  <si>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</si>
  <si>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</si>
  <si>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</si>
  <si>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</si>
  <si>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</si>
  <si>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</si>
  <si>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</si>
  <si>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</si>
  <si>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</si>
  <si>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</si>
  <si>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</si>
  <si>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</si>
  <si>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</si>
  <si>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</si>
  <si>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</si>
  <si>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</si>
  <si>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</si>
  <si>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</si>
  <si>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</si>
  <si>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</si>
  <si>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</si>
  <si>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</si>
  <si>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</si>
  <si>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</si>
  <si>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</si>
  <si>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</si>
  <si>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</si>
  <si>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</si>
  <si>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</si>
  <si>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</si>
  <si>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</si>
  <si>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</si>
  <si>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</si>
  <si>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</si>
  <si>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</si>
  <si>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</si>
  <si>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</si>
  <si>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</si>
  <si>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</si>
  <si>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</si>
  <si>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</si>
  <si>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</si>
  <si>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</si>
  <si>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</si>
  <si>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</si>
  <si>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</si>
  <si>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</si>
  <si>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</si>
  <si>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</si>
  <si>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</si>
  <si>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</si>
  <si>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</si>
  <si>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</si>
  <si>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</si>
  <si>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</si>
  <si>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</si>
  <si>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</si>
  <si>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</si>
  <si>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</si>
  <si>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</si>
  <si>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</si>
  <si>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</si>
  <si>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</si>
  <si>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</si>
  <si>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</si>
  <si>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</si>
  <si>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</si>
  <si>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</si>
  <si>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</si>
  <si>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</si>
  <si>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</si>
  <si>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</si>
  <si>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</si>
  <si>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</si>
  <si>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</si>
  <si>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</si>
  <si>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</si>
  <si>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</si>
  <si>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</si>
  <si>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</si>
  <si>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</si>
  <si>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</si>
  <si>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</si>
  <si>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</si>
  <si>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</si>
  <si>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</si>
  <si>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</si>
  <si>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</si>
  <si>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</si>
  <si>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</si>
  <si>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</si>
  <si>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</si>
  <si>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</si>
  <si>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</si>
  <si>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</si>
  <si>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</si>
  <si>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</si>
  <si>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</si>
  <si>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</si>
  <si>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</si>
  <si>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</si>
  <si>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</si>
  <si>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</si>
  <si>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</si>
  <si>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</si>
  <si>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</si>
  <si>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</si>
  <si>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</si>
  <si>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</si>
  <si>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</si>
  <si>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</si>
  <si>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</si>
  <si>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</si>
  <si>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</si>
  <si>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</si>
  <si>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</si>
  <si>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</si>
  <si>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</si>
  <si>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</si>
  <si>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</si>
  <si>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</si>
  <si>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</si>
  <si>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</si>
  <si>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</si>
  <si>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</si>
  <si>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</si>
  <si>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</si>
  <si>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</si>
  <si>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</si>
  <si>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</si>
  <si>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</si>
  <si>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</si>
  <si>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</si>
  <si>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</si>
  <si>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</si>
  <si>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</si>
  <si>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</si>
  <si>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</si>
  <si>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</si>
  <si>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</si>
  <si>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</si>
  <si>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</si>
  <si>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</si>
  <si>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</si>
  <si>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</si>
  <si>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</si>
  <si>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</si>
  <si>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</si>
  <si>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</si>
  <si>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</si>
  <si>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</si>
  <si>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</si>
  <si>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</si>
  <si>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</si>
  <si>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</si>
  <si>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</si>
  <si>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</si>
  <si>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</si>
  <si>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</si>
  <si>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</si>
  <si>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</si>
  <si>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</si>
  <si>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</si>
  <si>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</si>
  <si>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</si>
  <si>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</si>
  <si>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</si>
  <si>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</si>
  <si>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</si>
  <si>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</si>
  <si>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</si>
  <si>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</si>
  <si>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</si>
  <si>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</si>
  <si>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</si>
  <si>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</si>
  <si>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</si>
  <si>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</si>
  <si>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</si>
  <si>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</si>
  <si>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</si>
  <si>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</si>
  <si>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</si>
  <si>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</si>
  <si>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</si>
  <si>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</si>
  <si>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</si>
  <si>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</si>
  <si>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</si>
  <si>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</si>
  <si>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</si>
  <si>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</si>
  <si>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</si>
  <si>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</si>
  <si>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</si>
  <si>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</si>
  <si>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</si>
  <si>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</si>
  <si>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</si>
  <si>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</si>
  <si>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</si>
  <si>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</si>
  <si>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</si>
  <si>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</si>
  <si>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</si>
  <si>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</si>
  <si>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</si>
  <si>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</si>
  <si>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</si>
  <si>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</si>
  <si>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</si>
  <si>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</si>
  <si>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</si>
  <si>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</si>
  <si>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</si>
  <si>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</si>
  <si>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</si>
  <si>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</si>
  <si>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</si>
  <si>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</si>
  <si>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</si>
  <si>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</si>
  <si>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</si>
  <si>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</si>
  <si>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</si>
  <si>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</si>
  <si>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</si>
  <si>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</si>
  <si>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</si>
  <si>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</si>
  <si>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</si>
  <si>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</si>
  <si>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</si>
  <si>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</si>
  <si>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</si>
  <si>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</si>
  <si>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</si>
  <si>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</si>
  <si>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</si>
  <si>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</si>
  <si>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</si>
  <si>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</si>
  <si>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</si>
  <si>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</si>
  <si>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</si>
  <si>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</si>
  <si>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</si>
  <si>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</si>
  <si>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</si>
  <si>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</si>
  <si>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</si>
  <si>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</si>
  <si>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</si>
  <si>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</si>
  <si>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</si>
  <si>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</si>
  <si>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</si>
  <si>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</si>
  <si>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</si>
  <si>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</si>
  <si>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</si>
  <si>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</si>
  <si>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</si>
  <si>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</si>
  <si>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</si>
  <si>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</si>
  <si>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</si>
  <si>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</si>
  <si>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</si>
  <si>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</si>
  <si>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</si>
  <si>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</si>
  <si>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</si>
  <si>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</si>
  <si>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</si>
  <si>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</si>
  <si>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</si>
  <si>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</si>
  <si>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</si>
  <si>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</si>
  <si>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</si>
  <si>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</si>
  <si>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</si>
  <si>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</si>
  <si>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</si>
  <si>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</si>
  <si>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</si>
  <si>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</si>
  <si>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</si>
  <si>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</si>
  <si>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</si>
  <si>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</si>
  <si>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</si>
  <si>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</si>
  <si>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</si>
  <si>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</si>
  <si>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</si>
  <si>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</si>
  <si>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</si>
  <si>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</si>
  <si>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</si>
  <si>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</si>
  <si>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</si>
  <si>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</si>
  <si>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</si>
  <si>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</si>
  <si>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</si>
  <si>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</si>
  <si>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</si>
  <si>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</si>
  <si>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</si>
  <si>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</si>
  <si>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</si>
  <si>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</si>
  <si>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</si>
  <si>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</si>
  <si>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</si>
  <si>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</si>
  <si>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</si>
  <si>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</si>
  <si>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</si>
  <si>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</si>
  <si>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</si>
  <si>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</si>
  <si>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</si>
  <si>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</si>
  <si>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</si>
  <si>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</si>
  <si>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</si>
  <si>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</si>
  <si>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</si>
  <si>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</si>
  <si>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</si>
  <si>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</si>
  <si>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</si>
  <si>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</si>
  <si>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</si>
  <si>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</si>
  <si>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</si>
  <si>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</si>
  <si>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</si>
  <si>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</si>
  <si>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</si>
  <si>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</si>
  <si>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</si>
  <si>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</si>
  <si>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</si>
  <si>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</si>
  <si>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</si>
  <si>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</si>
  <si>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</si>
  <si>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</si>
  <si>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</si>
  <si>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</si>
  <si>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</si>
  <si>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</si>
  <si>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</si>
  <si>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</si>
  <si>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</si>
  <si>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</si>
  <si>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</si>
  <si>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</si>
  <si>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</si>
  <si>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</si>
  <si>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</si>
  <si>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</si>
  <si>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</si>
  <si>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</si>
  <si>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</si>
  <si>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</si>
  <si>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</si>
  <si>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</si>
  <si>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</si>
  <si>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</si>
  <si>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</si>
  <si>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</si>
  <si>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</si>
  <si>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</si>
  <si>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</si>
  <si>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</si>
  <si>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</si>
  <si>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</si>
  <si>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</si>
  <si>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</si>
  <si>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</si>
  <si>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</si>
  <si>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</si>
  <si>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</si>
  <si>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</si>
  <si>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</si>
  <si>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</si>
  <si>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</si>
  <si>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</si>
  <si>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</si>
  <si>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</si>
  <si>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</si>
  <si>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</si>
  <si>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</si>
  <si>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</si>
  <si>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</si>
  <si>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</si>
  <si>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</si>
  <si>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</si>
  <si>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</si>
  <si>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</si>
  <si>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</si>
  <si>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</si>
  <si>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</si>
  <si>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</si>
  <si>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</si>
  <si>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</si>
  <si>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</si>
  <si>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</si>
  <si>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</si>
  <si>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</si>
  <si>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</si>
  <si>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</si>
  <si>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</si>
  <si>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</si>
  <si>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</si>
  <si>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</si>
  <si>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</si>
  <si>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</si>
  <si>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</si>
  <si>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</si>
  <si>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</si>
  <si>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</si>
  <si>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</si>
  <si>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</si>
  <si>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</si>
  <si>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</si>
  <si>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</si>
  <si>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</si>
  <si>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</si>
  <si>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</si>
  <si>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</si>
  <si>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</si>
  <si>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</si>
  <si>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</si>
  <si>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</si>
  <si>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</si>
  <si>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</si>
  <si>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</si>
  <si>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</si>
  <si>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</si>
  <si>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</si>
  <si>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</si>
  <si>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</si>
  <si>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</si>
  <si>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</si>
  <si>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</si>
  <si>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</si>
  <si>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</si>
  <si>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</si>
  <si>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</si>
  <si>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</si>
  <si>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</si>
  <si>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</si>
  <si>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</si>
  <si>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</si>
  <si>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</si>
  <si>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</si>
  <si>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</si>
  <si>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</si>
  <si>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</si>
  <si>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</si>
  <si>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</si>
  <si>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</si>
  <si>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</si>
  <si>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</si>
  <si>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</si>
  <si>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</si>
  <si>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</si>
  <si>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</si>
  <si>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</si>
  <si>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</si>
  <si>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</si>
  <si>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</si>
  <si>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</si>
  <si>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</si>
  <si>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</si>
  <si>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</si>
  <si>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</si>
  <si>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</si>
  <si>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</si>
  <si>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</si>
  <si>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</si>
  <si>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</si>
  <si>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</si>
  <si>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</si>
  <si>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</si>
  <si>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</si>
  <si>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</si>
  <si>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</si>
  <si>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</si>
  <si>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</si>
  <si>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</si>
  <si>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</si>
  <si>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</si>
  <si>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</si>
  <si>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</si>
  <si>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</si>
  <si>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</si>
  <si>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</si>
  <si>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</si>
  <si>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</si>
  <si>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</si>
  <si>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</si>
  <si>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</si>
  <si>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</si>
  <si>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</si>
  <si>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</si>
  <si>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</si>
  <si>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</si>
  <si>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</si>
  <si>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</si>
  <si>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</si>
  <si>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</si>
  <si>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</si>
  <si>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</si>
  <si>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</si>
  <si>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</si>
  <si>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</si>
  <si>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</si>
  <si>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</si>
  <si>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</si>
  <si>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</si>
  <si>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</si>
  <si>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</si>
  <si>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</si>
  <si>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</si>
  <si>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</si>
  <si>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</si>
  <si>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</si>
  <si>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</si>
  <si>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</si>
  <si>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</si>
  <si>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</si>
  <si>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</si>
  <si>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</si>
  <si>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</si>
  <si>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</si>
  <si>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</si>
  <si>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</si>
  <si>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</si>
  <si>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</si>
  <si>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</si>
  <si>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</si>
  <si>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</si>
  <si>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</si>
  <si>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</si>
  <si>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</si>
  <si>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</si>
  <si>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</si>
  <si>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</si>
  <si>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</si>
  <si>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</si>
  <si>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</si>
  <si>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</si>
  <si>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</si>
  <si>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</si>
  <si>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</si>
  <si>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</si>
  <si>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</si>
  <si>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</si>
  <si>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</si>
  <si>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</si>
  <si>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</si>
  <si>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</si>
  <si>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</si>
  <si>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</si>
  <si>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</si>
  <si>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</si>
  <si>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</si>
  <si>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</si>
  <si>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</si>
  <si>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</si>
  <si>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</si>
  <si>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</si>
  <si>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</si>
  <si>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</si>
  <si>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</si>
  <si>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</si>
  <si>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</si>
  <si>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</si>
  <si>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</si>
  <si>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</si>
  <si>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</si>
  <si>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</si>
  <si>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</si>
  <si>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</si>
  <si>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</si>
  <si>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</si>
  <si>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</si>
  <si>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</si>
  <si>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</si>
  <si>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</si>
  <si>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</si>
  <si>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</si>
  <si>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</si>
  <si>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</si>
  <si>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</si>
  <si>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</si>
  <si>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</si>
  <si>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</si>
  <si>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</si>
  <si>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</si>
  <si>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</si>
  <si>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</si>
  <si>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</si>
  <si>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</si>
  <si>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</si>
  <si>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</si>
  <si>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</si>
  <si>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</si>
  <si>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</si>
  <si>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</si>
  <si>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</si>
  <si>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</si>
  <si>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</si>
  <si>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</si>
  <si>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</si>
  <si>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</si>
  <si>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</si>
  <si>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</si>
  <si>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</si>
  <si>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</si>
  <si>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</si>
  <si>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</si>
  <si>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</si>
  <si>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</si>
  <si>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</si>
  <si>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</si>
  <si>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</si>
  <si>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</si>
  <si>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</si>
  <si>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</si>
  <si>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</si>
  <si>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</si>
  <si>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</si>
  <si>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</si>
  <si>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</si>
  <si>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</si>
  <si>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</si>
  <si>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</si>
  <si>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</si>
  <si>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</si>
  <si>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</si>
  <si>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</si>
  <si>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</si>
  <si>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</si>
  <si>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</si>
  <si>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</si>
  <si>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</si>
  <si>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</si>
  <si>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</si>
  <si>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</si>
  <si>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</si>
  <si>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</si>
  <si>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</si>
  <si>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</si>
  <si>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</si>
  <si>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</si>
  <si>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</si>
  <si>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</si>
  <si>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</si>
  <si>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</si>
  <si>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</si>
  <si>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</si>
  <si>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</si>
  <si>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</si>
  <si>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</si>
  <si>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</si>
  <si>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</si>
  <si>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</si>
  <si>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</si>
  <si>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</si>
  <si>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</si>
  <si>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</si>
  <si>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</si>
  <si>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</si>
  <si>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</si>
  <si>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</si>
  <si>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</si>
  <si>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</si>
  <si>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</si>
  <si>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</si>
  <si>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</si>
  <si>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</si>
  <si>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</si>
  <si>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</si>
  <si>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</si>
  <si>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</si>
  <si>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</si>
  <si>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</si>
  <si>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</si>
  <si>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</si>
  <si>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</si>
  <si>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</si>
  <si>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</si>
  <si>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</si>
  <si>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</si>
  <si>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</si>
  <si>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</si>
  <si>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</si>
  <si>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</si>
  <si>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</si>
  <si>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</si>
  <si>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</si>
  <si>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</si>
  <si>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</si>
  <si>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</si>
  <si>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</si>
  <si>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</si>
  <si>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</si>
  <si>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</si>
  <si>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</si>
  <si>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</si>
  <si>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</si>
  <si>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</si>
  <si>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</si>
  <si>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</si>
  <si>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</si>
  <si>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</si>
  <si>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</si>
  <si>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</si>
  <si>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</si>
  <si>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</si>
  <si>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</si>
  <si>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</si>
  <si>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</si>
  <si>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</si>
  <si>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</si>
  <si>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</si>
  <si>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</si>
  <si>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</si>
  <si>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</si>
  <si>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</si>
  <si>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</si>
  <si>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</si>
  <si>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</si>
  <si>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</si>
  <si>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</si>
  <si>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</si>
  <si>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</si>
  <si>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</si>
  <si>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</si>
  <si>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</si>
  <si>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</si>
  <si>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</si>
  <si>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</si>
  <si>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</si>
  <si>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</si>
  <si>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</si>
  <si>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</si>
  <si>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</si>
  <si>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</si>
  <si>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</si>
  <si>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</si>
  <si>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</si>
  <si>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</si>
  <si>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</si>
  <si>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</si>
  <si>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</si>
  <si>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</si>
  <si>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</si>
  <si>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</si>
  <si>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</si>
  <si>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</si>
  <si>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</si>
  <si>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</si>
  <si>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</si>
  <si>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</si>
  <si>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</si>
  <si>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</si>
  <si>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</si>
  <si>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</si>
  <si>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</si>
  <si>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</si>
  <si>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</si>
  <si>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</si>
  <si>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</si>
  <si>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</si>
  <si>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</si>
  <si>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</si>
  <si>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</si>
  <si>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</si>
  <si>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</si>
  <si>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</si>
  <si>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</si>
  <si>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</si>
  <si>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</si>
  <si>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</si>
  <si>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</si>
  <si>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</si>
  <si>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</si>
  <si>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</si>
  <si>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</si>
  <si>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</si>
  <si>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</si>
  <si>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</si>
  <si>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</si>
  <si>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</si>
  <si>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</si>
  <si>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</si>
  <si>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</si>
  <si>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</si>
  <si>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</si>
  <si>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</si>
  <si>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</si>
  <si>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</si>
  <si>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</si>
  <si>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</si>
  <si>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</si>
  <si>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</si>
  <si>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</si>
  <si>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</si>
  <si>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</si>
  <si>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</si>
  <si>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</si>
  <si>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</si>
  <si>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</si>
  <si>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</si>
  <si>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</si>
  <si>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</si>
  <si>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</si>
  <si>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</si>
  <si>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</si>
  <si>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</si>
  <si>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</si>
  <si>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</si>
  <si>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</si>
  <si>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</si>
  <si>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</si>
  <si>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</si>
  <si>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</si>
  <si>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</si>
  <si>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</si>
  <si>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</si>
  <si>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</si>
  <si>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</si>
  <si>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</si>
  <si>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</si>
  <si>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</si>
  <si>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</si>
  <si>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</si>
  <si>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</si>
  <si>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</si>
  <si>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</si>
  <si>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</si>
  <si>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</si>
  <si>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</si>
  <si>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</si>
  <si>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</si>
  <si>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</si>
  <si>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</si>
  <si>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</si>
  <si>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</si>
  <si>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</si>
  <si>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</si>
  <si>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</si>
  <si>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</si>
  <si>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</si>
  <si>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</si>
  <si>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</si>
  <si>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</si>
  <si>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</si>
  <si>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</si>
  <si>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</si>
  <si>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</si>
  <si>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</si>
  <si>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</si>
  <si>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</si>
  <si>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</si>
  <si>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</si>
  <si>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</si>
  <si>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</si>
  <si>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</si>
  <si>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</si>
  <si>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</si>
  <si>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</si>
  <si>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</si>
  <si>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</si>
  <si>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</si>
  <si>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</si>
  <si>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</si>
  <si>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</si>
  <si>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</si>
  <si>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</si>
  <si>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</si>
  <si>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</si>
  <si>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</si>
  <si>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</si>
  <si>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</si>
  <si>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</si>
  <si>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</si>
  <si>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</si>
  <si>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</si>
  <si>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</si>
  <si>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</si>
  <si>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</si>
  <si>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</si>
  <si>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</si>
  <si>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</si>
  <si>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</si>
  <si>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</si>
  <si>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</si>
  <si>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</si>
  <si>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</si>
  <si>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</si>
  <si>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</si>
  <si>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</si>
  <si>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</si>
  <si>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</si>
  <si>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</si>
  <si>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</si>
  <si>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</si>
  <si>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</si>
  <si>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</si>
  <si>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</si>
  <si>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</si>
  <si>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</si>
  <si>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</si>
  <si>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</si>
  <si>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</si>
  <si>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</si>
  <si>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</si>
  <si>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</si>
  <si>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</si>
  <si>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</si>
  <si>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</si>
  <si>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</si>
  <si>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</si>
  <si>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</si>
  <si>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</si>
  <si>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</si>
  <si>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</si>
  <si>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</si>
  <si>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</si>
  <si>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</si>
  <si>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</si>
  <si>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</si>
  <si>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</si>
  <si>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</si>
  <si>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</si>
  <si>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</si>
  <si>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</si>
  <si>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</si>
  <si>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</si>
  <si>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</si>
  <si>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</si>
  <si>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</si>
  <si>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</si>
  <si>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</si>
  <si>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</si>
  <si>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</si>
  <si>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</si>
  <si>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</si>
  <si>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</si>
  <si>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</si>
  <si>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</si>
  <si>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</si>
  <si>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</si>
  <si>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</si>
  <si>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</si>
  <si>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</si>
  <si>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</si>
  <si>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</si>
  <si>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</si>
  <si>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</si>
  <si>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</si>
  <si>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</si>
  <si>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</si>
  <si>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</si>
  <si>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</si>
  <si>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</si>
  <si>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</si>
  <si>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</si>
  <si>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</si>
  <si>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</si>
  <si>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</si>
  <si>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</si>
  <si>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</si>
  <si>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</si>
  <si>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</si>
  <si>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</si>
  <si>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</si>
  <si>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</si>
  <si>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</si>
  <si>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</si>
  <si>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</si>
  <si>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</si>
  <si>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</si>
  <si>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</si>
  <si>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</si>
  <si>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</si>
  <si>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</si>
  <si>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</si>
  <si>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</si>
  <si>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</si>
  <si>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</si>
  <si>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</si>
  <si>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</si>
  <si>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</si>
  <si>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</si>
  <si>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</si>
  <si>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</si>
  <si>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</si>
  <si>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</si>
  <si>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</si>
  <si>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</si>
  <si>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</si>
  <si>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</si>
  <si>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</si>
  <si>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</si>
  <si>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</si>
  <si>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</si>
  <si>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</si>
  <si>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</si>
  <si>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</si>
  <si>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</si>
  <si>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</si>
  <si>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</si>
  <si>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</si>
  <si>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</si>
  <si>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</si>
  <si>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</si>
  <si>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</si>
  <si>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</si>
  <si>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</si>
  <si>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</si>
  <si>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</si>
  <si>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</si>
  <si>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</si>
  <si>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</si>
  <si>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</si>
  <si>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</si>
  <si>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</si>
  <si>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</si>
  <si>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</si>
  <si>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</si>
  <si>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</si>
  <si>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</si>
  <si>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</si>
  <si>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</si>
  <si>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</si>
  <si>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</si>
  <si>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</si>
  <si>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</si>
  <si>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</si>
  <si>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</si>
  <si>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</si>
  <si>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</si>
  <si>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</si>
  <si>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</si>
  <si>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</si>
  <si>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</si>
  <si>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</si>
  <si>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</si>
  <si>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</si>
  <si>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</si>
  <si>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</si>
  <si>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</si>
  <si>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</si>
  <si>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</si>
  <si>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</si>
  <si>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</si>
  <si>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</si>
  <si>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</si>
  <si>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</si>
  <si>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</si>
  <si>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</si>
  <si>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</si>
  <si>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</si>
  <si>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</si>
  <si>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</si>
  <si>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</si>
  <si>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</si>
  <si>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</si>
  <si>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</si>
  <si>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</si>
  <si>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</si>
  <si>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</si>
  <si>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</si>
  <si>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</si>
  <si>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</si>
  <si>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</si>
  <si>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</si>
  <si>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</si>
  <si>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</si>
  <si>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</si>
  <si>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</si>
  <si>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</si>
  <si>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</si>
  <si>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</si>
  <si>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</si>
  <si>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</si>
  <si>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</si>
  <si>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</si>
  <si>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</si>
  <si>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</si>
  <si>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</si>
  <si>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</si>
  <si>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</si>
  <si>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</si>
  <si>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</si>
  <si>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</si>
  <si>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</si>
  <si>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</si>
  <si>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</si>
  <si>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</si>
  <si>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</si>
  <si>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</si>
  <si>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</si>
  <si>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</si>
  <si>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</si>
  <si>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</si>
  <si>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</si>
  <si>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</si>
  <si>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</si>
  <si>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</si>
  <si>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</si>
  <si>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</si>
  <si>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</si>
  <si>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</si>
  <si>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</si>
  <si>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</si>
  <si>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</si>
  <si>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</si>
  <si>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</si>
  <si>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</si>
  <si>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</si>
  <si>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</si>
  <si>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</si>
  <si>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</si>
  <si>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</si>
  <si>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</si>
  <si>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</si>
  <si>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</si>
  <si>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</si>
  <si>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</si>
  <si>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</si>
  <si>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</si>
  <si>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</si>
  <si>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</si>
  <si>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</si>
  <si>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</si>
  <si>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</si>
  <si>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</si>
  <si>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</si>
  <si>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</si>
  <si>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</si>
  <si>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</si>
  <si>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</si>
  <si>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</si>
  <si>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</si>
  <si>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</si>
  <si>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</si>
  <si>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</si>
  <si>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</si>
  <si>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</si>
  <si>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</si>
  <si>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</si>
  <si>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</si>
  <si>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</si>
  <si>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</si>
  <si>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</si>
  <si>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</si>
  <si>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</si>
  <si>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</si>
  <si>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</si>
  <si>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</si>
  <si>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</si>
  <si>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</si>
  <si>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</si>
  <si>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</si>
  <si>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</si>
  <si>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</si>
  <si>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</si>
  <si>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</si>
  <si>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</si>
  <si>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</si>
  <si>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</si>
  <si>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</si>
  <si>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</si>
  <si>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</si>
  <si>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</si>
  <si>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</si>
  <si>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</si>
  <si>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</si>
  <si>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</si>
  <si>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</si>
  <si>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</si>
  <si>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</si>
  <si>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</si>
  <si>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</si>
  <si>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</si>
  <si>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</si>
  <si>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</si>
  <si>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</si>
  <si>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</si>
  <si>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</si>
  <si>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</si>
  <si>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</si>
  <si>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</si>
  <si>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</si>
  <si>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</si>
  <si>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</si>
  <si>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</si>
  <si>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</si>
  <si>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</si>
  <si>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</si>
  <si>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</si>
  <si>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</si>
  <si>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</si>
  <si>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</si>
  <si>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</si>
  <si>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</si>
  <si>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</si>
  <si>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</si>
  <si>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</si>
  <si>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</si>
  <si>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</si>
  <si>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</si>
  <si>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</si>
  <si>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</si>
  <si>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</si>
  <si>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</si>
  <si>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</si>
  <si>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</si>
  <si>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</si>
  <si>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</si>
  <si>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</si>
  <si>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</si>
  <si>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</si>
  <si>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</si>
  <si>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</si>
  <si>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</si>
  <si>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</si>
  <si>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</si>
  <si>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</si>
  <si>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</si>
  <si>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</si>
  <si>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</si>
  <si>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</si>
  <si>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</si>
  <si>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</si>
  <si>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</si>
  <si>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</si>
  <si>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</si>
  <si>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</si>
  <si>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</si>
  <si>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</si>
  <si>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</si>
  <si>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</si>
  <si>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</si>
  <si>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</si>
  <si>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</si>
  <si>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</si>
  <si>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</si>
  <si>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</si>
  <si>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</si>
  <si>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</si>
  <si>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</si>
  <si>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</si>
  <si>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</si>
  <si>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</si>
  <si>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</si>
  <si>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</si>
  <si>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</si>
  <si>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</si>
  <si>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</si>
  <si>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</si>
  <si>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</si>
  <si>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</si>
  <si>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</si>
  <si>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</si>
  <si>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</si>
  <si>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</si>
  <si>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</si>
  <si>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</si>
  <si>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</si>
  <si>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</si>
  <si>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</si>
  <si>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</si>
  <si>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</si>
  <si>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</si>
  <si>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</si>
  <si>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</si>
  <si>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</si>
  <si>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</si>
  <si>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</si>
  <si>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</si>
  <si>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</si>
  <si>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</si>
  <si>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</si>
  <si>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</si>
  <si>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</si>
  <si>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</si>
  <si>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</si>
  <si>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</si>
  <si>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</si>
  <si>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</si>
  <si>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</si>
  <si>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</si>
  <si>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</si>
  <si>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</si>
  <si>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</si>
  <si>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</si>
  <si>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</si>
  <si>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</si>
  <si>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</si>
  <si>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</si>
  <si>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</si>
  <si>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</si>
  <si>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</si>
  <si>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</si>
  <si>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</si>
  <si>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</si>
  <si>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</si>
  <si>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</si>
  <si>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</si>
  <si>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</si>
  <si>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</si>
  <si>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</si>
  <si>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</si>
  <si>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尖草坪区三给片区,四至:南至规划路;东至和平北路;西至规划路。</t>
  </si>
  <si>
    <t>太原市</t>
  </si>
  <si>
    <t>综合用地(含住宅)</t>
  </si>
  <si>
    <t>拍卖</t>
  </si>
  <si>
    <t>SP-1920</t>
  </si>
  <si>
    <t>住宅,商业,托幼</t>
  </si>
  <si>
    <t>2019-04-24</t>
  </si>
  <si>
    <t>并自然资公出告字[2019]13号</t>
  </si>
  <si>
    <t>太原旭凰鹏泰房地产开发有限公司</t>
  </si>
  <si>
    <t>住宅70年,商业40年,托幼50年</t>
  </si>
  <si>
    <t>3星</t>
  </si>
  <si>
    <t>尖草坪区三给片区,四至:西至集体土地;南至集体土地;北至规划路</t>
  </si>
  <si>
    <t>SP-1927</t>
  </si>
  <si>
    <t>住宅,商业</t>
  </si>
  <si>
    <t>太原旭凰房地产开发有限公司</t>
  </si>
  <si>
    <t>住宅70年,商业40年</t>
  </si>
  <si>
    <t>尖草坪区三给片区,四至:西至和平北路;北至摄乐街;东至规划路</t>
  </si>
  <si>
    <t>SP-1925</t>
  </si>
  <si>
    <t>尖草坪区三给片区,四至:东至和平北路;北至规划路</t>
  </si>
  <si>
    <t>SP-1926</t>
  </si>
  <si>
    <t>尖草坪区三给片区,四至:南至规划路;北至铁路用地</t>
  </si>
  <si>
    <t>SP-1921</t>
  </si>
  <si>
    <t>尖草坪区三给片区,四至:西至和平北路;南至摄乐街;东至规划路</t>
  </si>
  <si>
    <t>SP-1924</t>
  </si>
  <si>
    <t>尖草坪区三给片区,四至:南至规划路;西至和平北路;北至金桥西街。</t>
  </si>
  <si>
    <t>SP-1919</t>
  </si>
  <si>
    <t>尖草坪区三给片区,四至:南至三给街;东至和平北路;北至规划路;西至规划路</t>
  </si>
  <si>
    <t>SP-1928</t>
  </si>
  <si>
    <t>尖草坪区三给片区,四至:东至汾西公路;北至规划路。</t>
  </si>
  <si>
    <t>SP-1922</t>
  </si>
  <si>
    <t>2星</t>
  </si>
  <si>
    <t>尖草坪区,东至滨河西路,南至规划路,西、北至太原市龙泽欣工贸股份有限公司</t>
  </si>
  <si>
    <t>住宅用地</t>
  </si>
  <si>
    <t>SP-1911</t>
  </si>
  <si>
    <t>城镇住宅用地</t>
  </si>
  <si>
    <t>2019-03-26</t>
  </si>
  <si>
    <t>并自然资公出告字[2019]05号</t>
  </si>
  <si>
    <t>山西融创现代置业有限公司</t>
  </si>
  <si>
    <t>70年</t>
  </si>
  <si>
    <t>尖草坪区,东至太钢宿舍、西至北宫花园、南至四运公司、北至北宫花园</t>
  </si>
  <si>
    <t>挂牌</t>
  </si>
  <si>
    <t>2019-02-28</t>
  </si>
  <si>
    <t>并国土公出告字[2019]06号</t>
  </si>
  <si>
    <t>山西诚致和置业有限公司</t>
  </si>
  <si>
    <t>尖草坪区,东至太原选煤厂,西至摄乐村,南至三给村、北至山西宗业工贸有限公司</t>
  </si>
  <si>
    <t>SG-1903</t>
  </si>
  <si>
    <t>其他普通商品住房用地</t>
  </si>
  <si>
    <t>≤2</t>
  </si>
  <si>
    <t>2019-02-25</t>
  </si>
  <si>
    <t>并国土公出告字[2019]03号</t>
  </si>
  <si>
    <t>山西宗业工贸有限公司</t>
  </si>
  <si>
    <t>50年</t>
  </si>
  <si>
    <t>尖草坪区西流村,东至太原富旺工贸开发有限公司、西流村,南、西至太原市龙泽欣工贸股份有限公司,北至太原市龙泽欣工贸股份有限公司、太原市新东武术馆</t>
  </si>
  <si>
    <t>2018-12-19</t>
  </si>
  <si>
    <t>并国土公出告字[2018]66号</t>
  </si>
  <si>
    <t>尖草坪区新村,东至山西新村滨河工贸有限公司用地,南至龙康街,西至、北至山西北辰方正房地产开发有限公司用地。</t>
  </si>
  <si>
    <t>2018-11-05</t>
  </si>
  <si>
    <t>并国土公转告字[2018]52号</t>
  </si>
  <si>
    <t>山西北方鸿基房地产开发有限公司</t>
  </si>
  <si>
    <t>尖草坪区新村,东至大同路,北至龙康街,西至、南至太原市住宅保障中心(龙康新苑);北辰正方建设集团有限公司太原分公司。</t>
  </si>
  <si>
    <t>HGZ-1851</t>
  </si>
  <si>
    <t>并国土公转告字[2018]53号</t>
  </si>
  <si>
    <t>尖草坪区西流村,东至西流东巷、南至规划路、西至西流路、北至规划路</t>
  </si>
  <si>
    <t>HGZ-1838</t>
  </si>
  <si>
    <t>2018-09-28</t>
  </si>
  <si>
    <t>并国土公转告字[2018]40号</t>
  </si>
  <si>
    <t>住宅70年、商服40年</t>
  </si>
  <si>
    <t>尖草坪区西流村,东至西流路、南至和平北路北巷、西至规划路、北至规划路</t>
  </si>
  <si>
    <t>并国土公转告字[2018]39号</t>
  </si>
  <si>
    <t>尖草坪区西流村,东、南、北至太原市龙泽欣工贸股份有限公司、西至彭村</t>
  </si>
  <si>
    <t>HGZ-1842</t>
  </si>
  <si>
    <t>住宅用地,商业用地</t>
  </si>
  <si>
    <t>并国土公转告字[2018]44号</t>
  </si>
  <si>
    <t>尖草坪区西流村,东、南、北至太原市龙泽欣工贸股份有限公司、西至西流村</t>
  </si>
  <si>
    <t>HGZ-1841</t>
  </si>
  <si>
    <t>居住兼容商业、托幼</t>
  </si>
  <si>
    <t>并国土公转告字[2018]43号</t>
  </si>
  <si>
    <t>住宅70年,商业40年,托幼40年</t>
  </si>
  <si>
    <t>尖草坪区西流村,东、南、西至晋西机器厂、北至规划路</t>
  </si>
  <si>
    <t>HGZ-1839</t>
  </si>
  <si>
    <t>并国土公转告字[2018]41号</t>
  </si>
  <si>
    <t>尖草坪区柴村、芮城村、杨家村</t>
  </si>
  <si>
    <t>商业、托幼、住宅、小学</t>
  </si>
  <si>
    <t>2018-09-19</t>
  </si>
  <si>
    <t>并国土公出告字[2018]54号</t>
  </si>
  <si>
    <t>山西雅居房地产开发有限公司</t>
  </si>
  <si>
    <t>商业40年、托幼40年、住宅70年、小学50年</t>
  </si>
  <si>
    <t>SG-1810</t>
  </si>
  <si>
    <t>并国土公出告字[2018]55号</t>
  </si>
  <si>
    <t>SG-1808</t>
  </si>
  <si>
    <t>并国土公出告字[2018]53号</t>
  </si>
  <si>
    <t>SG-1807</t>
  </si>
  <si>
    <t>并国土公出告字[2018]52号</t>
  </si>
  <si>
    <t>尖草坪区大东流村,东至千峰北路,南至、西至、北至规划路</t>
  </si>
  <si>
    <t>2018-09-06</t>
  </si>
  <si>
    <t>并国土公转告字[2018]29号</t>
  </si>
  <si>
    <t>太原富润房地产开发有限公司</t>
  </si>
  <si>
    <t>居住用地,商业用地</t>
  </si>
  <si>
    <t>并国土公转告字[2018]30号</t>
  </si>
  <si>
    <t>居住70年,商业40年</t>
  </si>
  <si>
    <t>尖草坪区大东流村,东至九丰路,南至、西至、北至规划路</t>
  </si>
  <si>
    <t>2018-08-08</t>
  </si>
  <si>
    <t>并国土公转告字[2018]20号</t>
  </si>
  <si>
    <t>山西润碧畅房地产开发有限公司</t>
  </si>
  <si>
    <t>尖草坪区西流村,东、西、北至山西融创现代置业有限公司,南至西流南巷</t>
  </si>
  <si>
    <t>2018-08-02</t>
  </si>
  <si>
    <t>并国土公出告字[2018]40号</t>
  </si>
  <si>
    <t>荣兴天顺用地以南、新兰路以东</t>
  </si>
  <si>
    <t>≥1且≤2.6</t>
  </si>
  <si>
    <t>2018-06-22</t>
  </si>
  <si>
    <t>并不锈钢土告字[2018]2号</t>
  </si>
  <si>
    <t>中铁十四局集团太原房地产开发有限公司</t>
  </si>
  <si>
    <t>住宅70年;商业40年</t>
  </si>
  <si>
    <t>4星</t>
  </si>
  <si>
    <t>丰源西路以东,15米规划路以西</t>
  </si>
  <si>
    <t>住宅、商业</t>
  </si>
  <si>
    <t>≥1且≤3</t>
  </si>
  <si>
    <t>2018-04-04</t>
  </si>
  <si>
    <t>并不锈钢土告字[2018]1号</t>
  </si>
  <si>
    <t>山西荣兴伟业房地产开发有限公司</t>
  </si>
  <si>
    <t>住宅70年、商业40年</t>
  </si>
  <si>
    <t>荣兴伟业用地以西,兴安南二巷以南</t>
  </si>
  <si>
    <t>BXG-1712</t>
  </si>
  <si>
    <t>2018-01-22</t>
  </si>
  <si>
    <t>并不锈钢土告字[2017]1号-1</t>
  </si>
  <si>
    <t>滨河苑小区以南和以西、和平北路以东、规划玉河东街以北。</t>
  </si>
  <si>
    <t>HGZ-1759</t>
  </si>
  <si>
    <t>住宅、商办</t>
  </si>
  <si>
    <t>等于3.4</t>
  </si>
  <si>
    <t>2017-09-12</t>
  </si>
  <si>
    <t>并国土公转告字[2017]61号</t>
  </si>
  <si>
    <t>山西光泗房地产开发有限公司</t>
  </si>
  <si>
    <t>千峰北路以西、瓦窑村地界以东、规划玉河街以南、玉门河北抢险路以北</t>
  </si>
  <si>
    <t>HGZ-1758</t>
  </si>
  <si>
    <t>住宅、商业、托幼</t>
  </si>
  <si>
    <t>等于4.2</t>
  </si>
  <si>
    <t>并国土公转告字[2017]60号</t>
  </si>
  <si>
    <t>山西海智房地产开发有限公司</t>
  </si>
  <si>
    <t>住宅70年、商业40年、托幼40年</t>
  </si>
  <si>
    <t>尖草坪区北至兴华街、西至文兴路、东至滨河西路</t>
  </si>
  <si>
    <t>HGZ-1746</t>
  </si>
  <si>
    <t>等于5.9</t>
  </si>
  <si>
    <t>2017-08-04</t>
  </si>
  <si>
    <t>并国土公转告字[2017]46号</t>
  </si>
  <si>
    <t>住宅70年,商办40年</t>
  </si>
  <si>
    <t>尖草坪区北至兴华北街、南至西流街、东至芙蓉西巷</t>
  </si>
  <si>
    <t>HGZ-1743</t>
  </si>
  <si>
    <t>等于5.7</t>
  </si>
  <si>
    <t>并国土公转告字[2017]43号</t>
  </si>
  <si>
    <t>尖草坪区北至兴华北街、西至规划路、南至西流街</t>
  </si>
  <si>
    <t>HGZ-1742</t>
  </si>
  <si>
    <t>等于5.5</t>
  </si>
  <si>
    <t>并国土公转告字[2017]42号</t>
  </si>
  <si>
    <t>尖草坪区北至西流街、南至西流南巷、西至和平北路</t>
  </si>
  <si>
    <t>HGZ-1744</t>
  </si>
  <si>
    <t>等于6.6</t>
  </si>
  <si>
    <t>并国土公转告字[2017]44号</t>
  </si>
  <si>
    <t>尖草坪区三给片区内,四至为:西至西干渠、南至三给街、东至滨河西路绿化带</t>
  </si>
  <si>
    <t>SP-1656</t>
  </si>
  <si>
    <t>地块三住宅兼容商业,点控托幼、地块四小学</t>
  </si>
  <si>
    <t>住宅兼容商业4.7,托幼1.0,小学1.0</t>
  </si>
  <si>
    <t>2017-01-16</t>
  </si>
  <si>
    <t>并国土公出告字[2016]52号-4</t>
  </si>
  <si>
    <t>住宅70年,商业、托幼40年、小学50年</t>
  </si>
  <si>
    <t>尖草坪区三给片区内,四至为:北至三给街、东至滨河西路绿化带</t>
  </si>
  <si>
    <t>SP-1657</t>
  </si>
  <si>
    <t>地块六住宅兼容商业,点控托幼</t>
  </si>
  <si>
    <t>住宅兼容商业4.5,托幼1.0</t>
  </si>
  <si>
    <t>并国土公出告字[2016]52号-5</t>
  </si>
  <si>
    <t>住宅70年,商业、托幼40年</t>
  </si>
  <si>
    <t>尖草坪区汇丰街以南、东成路以西、千峰北路以东</t>
  </si>
  <si>
    <t>HGZ-1615</t>
  </si>
  <si>
    <t>居住兼容商业</t>
  </si>
  <si>
    <t>2016-08-16</t>
  </si>
  <si>
    <t>并国土公转告字[2016]16号</t>
  </si>
  <si>
    <t>太原市东兴泰房地产开发有限公司</t>
  </si>
  <si>
    <t>住宅70年商业40年</t>
  </si>
  <si>
    <t>其他普通商品住房用地</t>
    <phoneticPr fontId="228" type="noConversion"/>
  </si>
  <si>
    <t>地上</t>
  </si>
  <si>
    <t>商业</t>
  </si>
  <si>
    <t>住宅</t>
    <phoneticPr fontId="7" type="noConversion"/>
  </si>
  <si>
    <t>商业</t>
    <phoneticPr fontId="7" type="noConversion"/>
  </si>
  <si>
    <t>省会市名称</t>
  </si>
  <si>
    <t>建筑型式</t>
  </si>
  <si>
    <t>多层</t>
  </si>
  <si>
    <t>小高层</t>
  </si>
  <si>
    <t>高层</t>
  </si>
  <si>
    <t>太原</t>
  </si>
  <si>
    <t>比较法-住宅、综合</t>
  </si>
  <si>
    <t>剩余法-待开发</t>
  </si>
  <si>
    <t>项目局部</t>
  </si>
  <si>
    <t>土地</t>
  </si>
  <si>
    <t>正常</t>
  </si>
  <si>
    <t>楼面地价</t>
  </si>
  <si>
    <t>中诚信托有限责任公司</t>
    <phoneticPr fontId="6" type="noConversion"/>
  </si>
  <si>
    <t>其他：</t>
  </si>
  <si>
    <t>企业</t>
  </si>
  <si>
    <t>太原旭凰房地产开发有限公司</t>
    <phoneticPr fontId="6" type="noConversion"/>
  </si>
  <si>
    <t>山西省太原市</t>
    <phoneticPr fontId="6" type="noConversion"/>
  </si>
  <si>
    <t>抵押</t>
  </si>
  <si>
    <t>车库</t>
  </si>
  <si>
    <t>HGZ-1820</t>
    <phoneticPr fontId="228" type="noConversion"/>
  </si>
  <si>
    <t>http://www.sohu.com/a/240742559_395088</t>
    <phoneticPr fontId="228" type="noConversion"/>
  </si>
  <si>
    <t>HGZ-1827</t>
    <phoneticPr fontId="228" type="noConversion"/>
  </si>
  <si>
    <t>HGZ-1828</t>
    <phoneticPr fontId="228" type="noConversion"/>
  </si>
  <si>
    <t>宗地按现状公开转让。该地块为城中村改造用地。出让面积20831.88平方米，其中：住宅分摊19790.29平方米、商业分摊1041.59平方米；土地用途：居住兼容商业，兼容比例为5%；出让年限：住宅70年、商业40年；控制高度地上100米</t>
    <phoneticPr fontId="228" type="noConversion"/>
  </si>
  <si>
    <t>出让面积24608.19平方米，其中：住宅分摊19686.55平方米、商业分摊4921.64平方米；土地用途：居住兼容商业，兼容比例为20%</t>
    <phoneticPr fontId="228" type="noConversion"/>
  </si>
  <si>
    <t>宗地按现状公开转让。该地块为城中村改造用地。出让面积18793.02平方米，其中：住宅分摊13434.42平方米、商业分摊3358.6平方米、托幼用地2000平方米；土地用途：居住兼容商业、托幼；出让年限：住宅70年、商业40年、托幼40年。</t>
    <phoneticPr fontId="228" type="noConversion"/>
  </si>
  <si>
    <t>http://www.sohu.com/a/245264685_642062</t>
    <phoneticPr fontId="228" type="noConversion"/>
  </si>
  <si>
    <t>http://shanxi.leju.com/news/2019-03-26/09236516117266156016985.shtml</t>
    <phoneticPr fontId="228" type="noConversion"/>
  </si>
  <si>
    <t>SG-1906</t>
    <phoneticPr fontId="228" type="noConversion"/>
  </si>
  <si>
    <r>
      <rPr>
        <sz val="10"/>
        <rFont val="宋体"/>
        <family val="3"/>
        <charset val="134"/>
      </rPr>
      <t>尖草坪区</t>
    </r>
    <r>
      <rPr>
        <sz val="10"/>
        <rFont val="Arial"/>
        <family val="2"/>
      </rPr>
      <t>,</t>
    </r>
    <r>
      <rPr>
        <sz val="10"/>
        <rFont val="宋体"/>
        <family val="3"/>
        <charset val="134"/>
      </rPr>
      <t>东至太钢宿舍、西至北宫花园、南至四运公司、北至北宫花园</t>
    </r>
    <phoneticPr fontId="228" type="noConversion"/>
  </si>
  <si>
    <t>https://ty.house.ifeng.com/news/2019_01_25-51856109_0.shtml</t>
    <phoneticPr fontId="228" type="noConversion"/>
  </si>
  <si>
    <t>HGZ-1864</t>
    <phoneticPr fontId="228" type="noConversion"/>
  </si>
  <si>
    <t>HGZ-1850</t>
    <phoneticPr fontId="228" type="noConversion"/>
  </si>
  <si>
    <t>http://www.sohu.com/a/273558916_395088</t>
    <phoneticPr fontId="228" type="noConversion"/>
  </si>
  <si>
    <t>http://www.sohu.com/a/273558916_395088</t>
    <phoneticPr fontId="228" type="noConversion"/>
  </si>
  <si>
    <t>HGZ-1837</t>
    <phoneticPr fontId="228" type="noConversion"/>
  </si>
  <si>
    <t>https://www.sohu.com/a/258688924_100199100</t>
    <phoneticPr fontId="228" type="noConversion"/>
  </si>
  <si>
    <t>SG-1809</t>
    <phoneticPr fontId="228" type="noConversion"/>
  </si>
  <si>
    <t>尖草坪区柴村、芮城村、杨家村</t>
    <phoneticPr fontId="228" type="noConversion"/>
  </si>
  <si>
    <t>SG-1837</t>
    <phoneticPr fontId="228" type="noConversion"/>
  </si>
  <si>
    <r>
      <rPr>
        <sz val="10"/>
        <rFont val="宋体"/>
        <family val="3"/>
        <charset val="134"/>
      </rPr>
      <t>尖草坪区西流村</t>
    </r>
    <r>
      <rPr>
        <sz val="10"/>
        <rFont val="Arial"/>
        <family val="2"/>
      </rPr>
      <t>,</t>
    </r>
    <r>
      <rPr>
        <sz val="10"/>
        <rFont val="宋体"/>
        <family val="3"/>
        <charset val="134"/>
      </rPr>
      <t>东、西、北至山西融创现代置业有限公司</t>
    </r>
    <r>
      <rPr>
        <sz val="10"/>
        <rFont val="Arial"/>
        <family val="2"/>
      </rPr>
      <t>,</t>
    </r>
    <r>
      <rPr>
        <sz val="10"/>
        <rFont val="宋体"/>
        <family val="3"/>
        <charset val="134"/>
      </rPr>
      <t>南至西流南巷</t>
    </r>
    <phoneticPr fontId="228" type="noConversion"/>
  </si>
  <si>
    <t>BXG-1801</t>
    <phoneticPr fontId="228" type="noConversion"/>
  </si>
  <si>
    <t>BXG-1718</t>
    <phoneticPr fontId="228" type="noConversion"/>
  </si>
  <si>
    <t>出让面积：11735.19平方米，其中：住宅分摊11500.49平方米、商业分摊234.7平方米；规划指标：使用性质：居住兼容商业（兼容比例2％），容积率4.2，建筑密度25％，绿地率25％，控制高度地上100米；本地块为储备的西流村城中村改造规划地块二十七（连片改造用地与地块二十五统一规划）。本次公开拍卖的地块按照现状公开出让。</t>
    <phoneticPr fontId="228" type="noConversion"/>
  </si>
  <si>
    <t>http://shanxi.leju.com/news/2019-04-24/10006526399699573069559.shtml</t>
    <phoneticPr fontId="228" type="noConversion"/>
  </si>
  <si>
    <t>http://finance.sina.com.cn/roll/2018-11-23/doc-ihpevhck2273058.shtml</t>
    <phoneticPr fontId="228" type="noConversion"/>
  </si>
  <si>
    <t>山西北方鸿基房地产开发有限公司</t>
    <phoneticPr fontId="228" type="noConversion"/>
  </si>
  <si>
    <t>山西融创现代置业有限公司</t>
    <phoneticPr fontId="228" type="noConversion"/>
  </si>
  <si>
    <t>宗地面积：14402.3平方米，其中：住宅分摊14114.25平方米，商业分摊288.05平方米；土地用途：居住兼容商业，兼容比例2%；出让年限:住宅70年,商业40年；该地块为城中村改造用地。</t>
    <phoneticPr fontId="228" type="noConversion"/>
  </si>
  <si>
    <t>宗地按现状公开挂牌转让。该地块为城中村改造用地。出让面积8380.59平方米，其中商业分摊5615平方米，住宅分摊2765.59平方米。控制高度100米。此次供地的出让年期起始日从2014年11月1日起算。</t>
    <phoneticPr fontId="228" type="noConversion"/>
  </si>
  <si>
    <t>宗地按现状公开挂牌转让。该地块为城中村改造用地。出让面积9173.53平方米，其中商业分摊7705.77平方米，住宅分摊1467.76平方米。控制高度100米。此次供地的出让年期起始日从2014年11月1日起算。</t>
    <phoneticPr fontId="228" type="noConversion"/>
  </si>
  <si>
    <t>太原市监测指标情况一览表</t>
  </si>
  <si>
    <t>时间</t>
  </si>
  <si>
    <t>水平值</t>
  </si>
  <si>
    <t>环比增长率</t>
  </si>
  <si>
    <t>较差</t>
  </si>
  <si>
    <t>较好</t>
  </si>
  <si>
    <t>一般</t>
  </si>
  <si>
    <r>
      <t>项</t>
    </r>
    <r>
      <rPr>
        <b/>
        <sz val="10.5"/>
        <color rgb="FF000000"/>
        <rFont val="Times New Roman"/>
        <family val="1"/>
      </rPr>
      <t xml:space="preserve"> </t>
    </r>
    <r>
      <rPr>
        <b/>
        <sz val="10.5"/>
        <color rgb="FF000000"/>
        <rFont val="楷体_GB2312"/>
        <family val="3"/>
        <charset val="134"/>
      </rPr>
      <t>目</t>
    </r>
  </si>
  <si>
    <t>单位</t>
  </si>
  <si>
    <t>数值</t>
  </si>
  <si>
    <t>备注</t>
  </si>
  <si>
    <t>净用用地面积</t>
  </si>
  <si>
    <r>
      <t>m</t>
    </r>
    <r>
      <rPr>
        <vertAlign val="superscript"/>
        <sz val="10.5"/>
        <color rgb="FF000000"/>
        <rFont val="Times New Roman"/>
        <family val="1"/>
      </rPr>
      <t>2</t>
    </r>
  </si>
  <si>
    <t>总建筑面积</t>
  </si>
  <si>
    <t>地上总建筑面积</t>
  </si>
  <si>
    <t>其中</t>
  </si>
  <si>
    <t>住宅建筑面积</t>
  </si>
  <si>
    <t>商业建筑面积</t>
  </si>
  <si>
    <t>社区配套建筑面积</t>
  </si>
  <si>
    <t>幼儿园</t>
  </si>
  <si>
    <t>小学</t>
  </si>
  <si>
    <t>地下总建筑面积</t>
  </si>
  <si>
    <t>地下车库建筑面积</t>
  </si>
  <si>
    <r>
      <t>人防</t>
    </r>
    <r>
      <rPr>
        <sz val="10.5"/>
        <color rgb="FF000000"/>
        <rFont val="Times New Roman"/>
        <family val="1"/>
      </rPr>
      <t>43812</t>
    </r>
  </si>
  <si>
    <t>楼座地下建筑面积</t>
  </si>
  <si>
    <t>建筑基地面积</t>
  </si>
  <si>
    <t>建筑密度</t>
  </si>
  <si>
    <t>%</t>
  </si>
  <si>
    <t>绿地率</t>
  </si>
  <si>
    <t>道路及硬化面积</t>
  </si>
  <si>
    <t>绿地面积</t>
  </si>
  <si>
    <t>居住户数</t>
  </si>
  <si>
    <t>户</t>
  </si>
  <si>
    <t>居住人数</t>
  </si>
  <si>
    <t>人</t>
  </si>
  <si>
    <r>
      <t>每户</t>
    </r>
    <r>
      <rPr>
        <sz val="10.5"/>
        <color rgb="FF000000"/>
        <rFont val="Times New Roman"/>
        <family val="1"/>
      </rPr>
      <t>2.9</t>
    </r>
    <r>
      <rPr>
        <sz val="10.5"/>
        <color rgb="FF000000"/>
        <rFont val="楷体_GB2312"/>
        <family val="3"/>
        <charset val="134"/>
      </rPr>
      <t>人</t>
    </r>
  </si>
  <si>
    <t>机动车停车位</t>
  </si>
  <si>
    <t>辆</t>
  </si>
  <si>
    <t>地上停车位</t>
  </si>
  <si>
    <t>地下停车位</t>
  </si>
  <si>
    <t>非机动车位</t>
  </si>
  <si>
    <t>地下</t>
  </si>
  <si>
    <t>地下车库</t>
    <phoneticPr fontId="7" type="noConversion"/>
  </si>
  <si>
    <t>钢混</t>
  </si>
  <si>
    <t>按租金收入计税</t>
  </si>
  <si>
    <t>土地（套用方法）</t>
  </si>
  <si>
    <t>售价</t>
  </si>
  <si>
    <t>住宅</t>
    <phoneticPr fontId="21" type="noConversion"/>
  </si>
  <si>
    <t>60-70（含）</t>
  </si>
  <si>
    <t>七通</t>
  </si>
  <si>
    <t>折扣</t>
    <phoneticPr fontId="21" type="noConversion"/>
  </si>
  <si>
    <t>精装</t>
  </si>
  <si>
    <t>精装</t>
    <phoneticPr fontId="21" type="noConversion"/>
  </si>
  <si>
    <t>简装</t>
    <phoneticPr fontId="21" type="noConversion"/>
  </si>
  <si>
    <t>毛坯</t>
    <phoneticPr fontId="21" type="noConversion"/>
  </si>
  <si>
    <t>平层</t>
  </si>
  <si>
    <t>平层</t>
    <phoneticPr fontId="21" type="noConversion"/>
  </si>
  <si>
    <t>七通</t>
    <phoneticPr fontId="21" type="noConversion"/>
  </si>
  <si>
    <t>专业</t>
  </si>
  <si>
    <t>专业</t>
    <phoneticPr fontId="21" type="noConversion"/>
  </si>
  <si>
    <t>精装</t>
    <phoneticPr fontId="21" type="noConversion"/>
  </si>
  <si>
    <t>中档</t>
  </si>
  <si>
    <t>中档</t>
    <phoneticPr fontId="21" type="noConversion"/>
  </si>
  <si>
    <t>钢混</t>
    <phoneticPr fontId="21" type="noConversion"/>
  </si>
  <si>
    <t>高层</t>
    <phoneticPr fontId="21" type="noConversion"/>
  </si>
  <si>
    <t>不动产收益法（商业）</t>
  </si>
  <si>
    <t>不动产收益法（地下车库）</t>
  </si>
  <si>
    <t>尖草坪区三给片区一宗住宅、商业、地下车库及科教用地</t>
    <phoneticPr fontId="6" type="noConversion"/>
  </si>
  <si>
    <t>城镇住宅用地</t>
    <phoneticPr fontId="6" type="noConversion"/>
  </si>
  <si>
    <t>住宅、商业、地下车库及科教</t>
    <phoneticPr fontId="6" type="noConversion"/>
  </si>
  <si>
    <t>一致</t>
  </si>
  <si>
    <t>《不动产权证书》[晋（2019）太原市不动产权第0053440号]</t>
    <phoneticPr fontId="6" type="noConversion"/>
  </si>
  <si>
    <t>否</t>
  </si>
  <si>
    <t>抵押价格</t>
  </si>
  <si>
    <t>场地平整</t>
  </si>
  <si>
    <t>通路</t>
  </si>
  <si>
    <t>通电</t>
  </si>
  <si>
    <t>通讯</t>
  </si>
  <si>
    <t>通上水</t>
  </si>
  <si>
    <t>通下水</t>
  </si>
  <si>
    <t>通热</t>
  </si>
  <si>
    <t>燃气</t>
  </si>
  <si>
    <t>居住项目</t>
  </si>
  <si>
    <t>http://yuncheng.loupan.com/html/news/201701/2576822.html</t>
    <phoneticPr fontId="228" type="noConversion"/>
  </si>
  <si>
    <t>尖草坪区北至兴华街、西至文兴路、东至滨河西路</t>
    <phoneticPr fontId="228" type="noConversion"/>
  </si>
  <si>
    <t>较规则</t>
  </si>
  <si>
    <t>较规则</t>
    <phoneticPr fontId="26" type="noConversion"/>
  </si>
  <si>
    <t>较适宜</t>
  </si>
  <si>
    <t>较适宜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</si>
  <si>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</si>
  <si>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</si>
  <si>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</si>
  <si>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</si>
  <si>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</si>
  <si>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</si>
  <si>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</si>
  <si>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</si>
  <si>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</si>
  <si>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</si>
  <si>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</si>
  <si>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</si>
  <si>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请录依据文件名称：http://www.sxbda.cn/NewsPage.aspx?id=16174</t>
    <phoneticPr fontId="3" type="noConversion"/>
  </si>
  <si>
    <t>融创</t>
    <phoneticPr fontId="26" type="noConversion"/>
  </si>
  <si>
    <t>富力</t>
    <phoneticPr fontId="26" type="noConversion"/>
  </si>
  <si>
    <t>碧桂园</t>
    <phoneticPr fontId="26" type="noConversion"/>
  </si>
  <si>
    <t>住宅、商业、地下车库及科教</t>
  </si>
  <si>
    <t>富力天禧城</t>
    <phoneticPr fontId="3" type="noConversion"/>
  </si>
  <si>
    <t>滨河西路与北中环交汇处往北100米</t>
    <phoneticPr fontId="3" type="noConversion"/>
  </si>
  <si>
    <t>富力天禧公馆</t>
    <phoneticPr fontId="3" type="noConversion"/>
  </si>
  <si>
    <t>北中环与和平北路交汇处往东200米</t>
    <phoneticPr fontId="3" type="noConversion"/>
  </si>
  <si>
    <t>碧桂园朗悦湾</t>
    <phoneticPr fontId="3" type="noConversion"/>
  </si>
  <si>
    <t>兴华街与九丰路交汇处往北500米</t>
    <phoneticPr fontId="3" type="noConversion"/>
  </si>
  <si>
    <t>本次/亩</t>
    <phoneticPr fontId="228" type="noConversion"/>
  </si>
  <si>
    <t>合计/亩</t>
    <phoneticPr fontId="228" type="noConversion"/>
  </si>
  <si>
    <r>
      <rPr>
        <sz val="10"/>
        <rFont val="宋体"/>
        <family val="3"/>
        <charset val="134"/>
      </rPr>
      <t>尖草坪区大东流村</t>
    </r>
    <r>
      <rPr>
        <sz val="10"/>
        <rFont val="Arial"/>
        <family val="2"/>
      </rPr>
      <t>,</t>
    </r>
    <r>
      <rPr>
        <sz val="10"/>
        <rFont val="宋体"/>
        <family val="3"/>
        <charset val="134"/>
      </rPr>
      <t>东至千峰北路</t>
    </r>
    <r>
      <rPr>
        <sz val="10"/>
        <rFont val="Arial"/>
        <family val="2"/>
      </rPr>
      <t>,</t>
    </r>
    <r>
      <rPr>
        <sz val="10"/>
        <rFont val="宋体"/>
        <family val="3"/>
        <charset val="134"/>
      </rPr>
      <t>南至、西至、北至规划路</t>
    </r>
    <phoneticPr fontId="228" type="noConversion"/>
  </si>
  <si>
    <t>已付</t>
    <phoneticPr fontId="228" type="noConversion"/>
  </si>
  <si>
    <t>已付拆迁补偿款</t>
    <phoneticPr fontId="228" type="noConversion"/>
  </si>
  <si>
    <t>应付</t>
    <phoneticPr fontId="228" type="noConversion"/>
  </si>
  <si>
    <t>尖草坪区柴村、芮城村、杨家村</t>
    <phoneticPr fontId="228" type="noConversion"/>
  </si>
  <si>
    <t>已付</t>
    <phoneticPr fontId="9" type="noConversion"/>
  </si>
  <si>
    <t>比较法</t>
  </si>
  <si>
    <t>剩余法</t>
  </si>
  <si>
    <t>应付</t>
    <phoneticPr fontId="9" type="noConversion"/>
  </si>
  <si>
    <t>经营性</t>
    <phoneticPr fontId="228" type="noConversion"/>
  </si>
  <si>
    <t>土地面积</t>
    <phoneticPr fontId="228" type="noConversion"/>
  </si>
  <si>
    <t>非经营性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</si>
</sst>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u/>
      <sz val="11"/>
      <color theme="10"/>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Times New Roman"/>
      <family val="1"/>
    </font>
    <font>
      <b/>
      <sz val="10.5"/>
      <color rgb="FF000000"/>
      <name val="楷体_GB2312"/>
      <family val="3"/>
      <charset val="134"/>
    </font>
    <font>
      <b/>
      <sz val="10.5"/>
      <color rgb="FF000000"/>
      <name val="Times New Roman"/>
      <family val="1"/>
    </font>
    <font>
      <sz val="10.5"/>
      <color rgb="FF000000"/>
      <name val="Times New Roman"/>
      <family val="1"/>
    </font>
    <font>
      <sz val="10.5"/>
      <color rgb="FF000000"/>
      <name val="楷体_GB2312"/>
      <family val="3"/>
      <charset val="134"/>
    </font>
    <font>
      <vertAlign val="superscript"/>
      <sz val="10.5"/>
      <color rgb="FF000000"/>
      <name val="Times New Roman"/>
      <family val="1"/>
    </font>
    <font>
      <u/>
      <sz val="11"/>
      <color theme="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499984740745262"/>
        <bgColor indexed="64"/>
      </patternFill>
    </fill>
    <fill>
      <patternFill patternType="solid">
        <fgColor rgb="FFEAE8E8"/>
        <bgColor indexed="64"/>
      </patternFill>
    </fill>
    <fill>
      <patternFill patternType="solid">
        <fgColor rgb="FFF1F1F1"/>
        <bgColor indexed="64"/>
      </patternFill>
    </fill>
    <fill>
      <patternFill patternType="solid">
        <fgColor theme="6"/>
        <bgColor indexed="64"/>
      </patternFill>
    </fill>
    <fill>
      <patternFill patternType="solid">
        <fgColor rgb="FF00B050"/>
        <bgColor indexed="64"/>
      </patternFill>
    </fill>
  </fills>
  <borders count="16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7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cellStyleXfs>
  <cellXfs count="35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86" fillId="0" borderId="0" xfId="16" applyAlignment="1">
      <alignment horizontal="left" vertical="center"/>
    </xf>
    <xf numFmtId="0" fontId="86" fillId="17" borderId="0" xfId="16" applyFill="1" applyAlignment="1">
      <alignment horizontal="left" vertical="center"/>
    </xf>
    <xf numFmtId="0" fontId="0" fillId="17" borderId="0" xfId="0" applyFill="1" applyAlignment="1">
      <alignment horizontal="left" vertical="center"/>
    </xf>
    <xf numFmtId="0" fontId="95" fillId="17" borderId="0" xfId="16" applyFont="1" applyFill="1" applyAlignment="1">
      <alignment horizontal="left" vertical="center"/>
    </xf>
    <xf numFmtId="0" fontId="146" fillId="17" borderId="0" xfId="0" applyFont="1" applyFill="1" applyAlignment="1">
      <alignment horizontal="left" vertical="center"/>
    </xf>
    <xf numFmtId="0" fontId="127" fillId="0" borderId="0" xfId="16" applyFont="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18" borderId="0" xfId="16" applyFill="1" applyAlignment="1">
      <alignment horizontal="left" vertical="center"/>
    </xf>
    <xf numFmtId="0" fontId="127" fillId="18" borderId="0" xfId="16" applyFont="1" applyFill="1" applyAlignment="1">
      <alignment horizontal="left" vertical="center"/>
    </xf>
    <xf numFmtId="0" fontId="0" fillId="18" borderId="0" xfId="0" applyFill="1" applyAlignment="1">
      <alignment horizontal="left" vertical="center"/>
    </xf>
    <xf numFmtId="0" fontId="145" fillId="0" borderId="0" xfId="0" applyFont="1" applyAlignment="1">
      <alignment horizontal="left" vertical="center"/>
    </xf>
    <xf numFmtId="0" fontId="275" fillId="0" borderId="0" xfId="17" applyAlignment="1">
      <alignment horizontal="left" vertical="center"/>
    </xf>
    <xf numFmtId="0" fontId="275" fillId="17" borderId="0" xfId="17" applyFill="1" applyAlignment="1">
      <alignment horizontal="left" vertical="center"/>
    </xf>
    <xf numFmtId="0" fontId="276" fillId="0" borderId="0" xfId="0" applyFont="1" applyAlignment="1">
      <alignment horizontal="center" vertical="center"/>
    </xf>
    <xf numFmtId="0" fontId="277" fillId="19" borderId="157" xfId="0" applyFont="1" applyFill="1" applyBorder="1" applyAlignment="1">
      <alignment horizontal="center"/>
    </xf>
    <xf numFmtId="0" fontId="277" fillId="19"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20" borderId="0" xfId="0" applyFont="1" applyFill="1" applyAlignment="1">
      <alignment horizontal="left" vertical="center" wrapText="1"/>
    </xf>
    <xf numFmtId="0" fontId="145" fillId="20" borderId="159" xfId="0" applyFont="1" applyFill="1" applyBorder="1" applyAlignment="1">
      <alignment horizontal="right" vertical="center" wrapText="1"/>
    </xf>
    <xf numFmtId="0" fontId="278" fillId="13" borderId="0" xfId="0" applyFont="1" applyFill="1" applyAlignment="1">
      <alignment horizontal="left" vertical="center" wrapText="1"/>
    </xf>
    <xf numFmtId="0" fontId="278" fillId="13" borderId="159" xfId="0" applyFont="1" applyFill="1" applyBorder="1" applyAlignment="1">
      <alignment horizontal="right" vertical="center" wrapText="1"/>
    </xf>
    <xf numFmtId="0" fontId="86" fillId="0" borderId="0" xfId="16" applyFont="1" applyFill="1" applyAlignment="1">
      <alignment horizontal="left" vertical="center"/>
    </xf>
    <xf numFmtId="0" fontId="127" fillId="0" borderId="0" xfId="16" applyFont="1" applyFill="1" applyAlignment="1">
      <alignment horizontal="left" vertical="center"/>
    </xf>
    <xf numFmtId="0" fontId="274" fillId="0" borderId="0" xfId="0" applyFont="1" applyFill="1" applyAlignment="1">
      <alignment horizontal="left" vertical="center"/>
    </xf>
    <xf numFmtId="0" fontId="275" fillId="0" borderId="0" xfId="17" applyFill="1" applyAlignment="1">
      <alignment horizontal="left" vertical="center"/>
    </xf>
    <xf numFmtId="0" fontId="280" fillId="0" borderId="82" xfId="0" applyFont="1" applyBorder="1" applyAlignment="1">
      <alignment horizontal="center" vertical="center" wrapText="1"/>
    </xf>
    <xf numFmtId="0" fontId="280" fillId="0" borderId="38"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66" xfId="0" applyFont="1" applyBorder="1" applyAlignment="1">
      <alignment horizontal="center" vertical="center" wrapText="1"/>
    </xf>
    <xf numFmtId="0" fontId="283" fillId="0" borderId="66" xfId="0" applyFont="1" applyBorder="1" applyAlignment="1">
      <alignment horizontal="center" vertical="center" wrapText="1"/>
    </xf>
    <xf numFmtId="0" fontId="283" fillId="0" borderId="66" xfId="0" applyFont="1" applyBorder="1" applyAlignment="1">
      <alignment horizontal="center" vertical="center"/>
    </xf>
    <xf numFmtId="0" fontId="282" fillId="0" borderId="66" xfId="0" applyFont="1" applyBorder="1" applyAlignment="1">
      <alignment horizontal="center" vertical="center"/>
    </xf>
    <xf numFmtId="0" fontId="279" fillId="0" borderId="66" xfId="0" applyFont="1" applyBorder="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applyFill="1" applyAlignment="1">
      <alignment horizontal="left" vertical="center"/>
    </xf>
    <xf numFmtId="0" fontId="0" fillId="0" borderId="0" xfId="0" applyFill="1" applyAlignment="1">
      <alignment horizontal="left" vertical="center"/>
    </xf>
    <xf numFmtId="0" fontId="86" fillId="21" borderId="0" xfId="16" applyFill="1" applyAlignment="1">
      <alignment horizontal="left" vertical="center"/>
    </xf>
    <xf numFmtId="0" fontId="0" fillId="21" borderId="0" xfId="0" applyFill="1" applyAlignment="1">
      <alignment horizontal="left" vertical="center"/>
    </xf>
    <xf numFmtId="0" fontId="275" fillId="21" borderId="0" xfId="17" applyFill="1" applyAlignment="1">
      <alignment horizontal="left" vertical="center"/>
    </xf>
    <xf numFmtId="0" fontId="127" fillId="21" borderId="0" xfId="16" applyFont="1" applyFill="1" applyAlignment="1">
      <alignment horizontal="left" vertical="center"/>
    </xf>
    <xf numFmtId="0" fontId="282" fillId="18" borderId="80" xfId="0" applyFont="1" applyFill="1" applyBorder="1" applyAlignment="1">
      <alignment horizontal="center" vertical="center" wrapText="1"/>
    </xf>
    <xf numFmtId="0" fontId="283" fillId="18" borderId="66" xfId="0" applyFont="1" applyFill="1" applyBorder="1" applyAlignment="1">
      <alignment horizontal="center" vertical="center"/>
    </xf>
    <xf numFmtId="0" fontId="282" fillId="18" borderId="66" xfId="0" applyFont="1" applyFill="1" applyBorder="1" applyAlignment="1">
      <alignment horizontal="center" vertical="center" wrapText="1"/>
    </xf>
    <xf numFmtId="0" fontId="283" fillId="18" borderId="66" xfId="0" applyFont="1" applyFill="1" applyBorder="1" applyAlignment="1">
      <alignment horizontal="center" vertical="center" wrapText="1"/>
    </xf>
    <xf numFmtId="0" fontId="0" fillId="18" borderId="0" xfId="0" applyFill="1">
      <alignment vertical="center"/>
    </xf>
    <xf numFmtId="0" fontId="86" fillId="22" borderId="0" xfId="16" applyFill="1" applyAlignment="1">
      <alignment horizontal="left" vertical="center"/>
    </xf>
    <xf numFmtId="0" fontId="145" fillId="22" borderId="0" xfId="0" applyFont="1" applyFill="1" applyAlignment="1">
      <alignment horizontal="left" vertical="center"/>
    </xf>
    <xf numFmtId="0" fontId="275" fillId="22" borderId="0" xfId="17" applyFill="1" applyAlignment="1">
      <alignment horizontal="left" vertical="center"/>
    </xf>
    <xf numFmtId="0" fontId="0" fillId="22" borderId="0" xfId="0" applyFill="1" applyAlignment="1">
      <alignment horizontal="left" vertical="center"/>
    </xf>
    <xf numFmtId="0" fontId="86" fillId="22" borderId="0" xfId="16" applyFont="1" applyFill="1" applyAlignment="1">
      <alignment horizontal="left" vertical="center"/>
    </xf>
    <xf numFmtId="0" fontId="274" fillId="22" borderId="0" xfId="0" applyFont="1" applyFill="1" applyAlignment="1">
      <alignment horizontal="left" vertical="center"/>
    </xf>
    <xf numFmtId="0" fontId="250" fillId="5" borderId="0" xfId="0" applyFont="1" applyFill="1" applyAlignment="1" applyProtection="1">
      <alignment horizontal="center" vertical="center"/>
      <protection locked="0"/>
    </xf>
    <xf numFmtId="0" fontId="212" fillId="5" borderId="0" xfId="0" applyFont="1" applyFill="1" applyBorder="1" applyAlignment="1" applyProtection="1">
      <alignment vertical="center"/>
      <protection locked="0"/>
    </xf>
    <xf numFmtId="181" fontId="76" fillId="6" borderId="12" xfId="0" applyNumberFormat="1" applyFont="1" applyFill="1" applyBorder="1" applyAlignment="1" applyProtection="1">
      <alignment horizontal="center" vertical="center"/>
      <protection locked="0"/>
    </xf>
    <xf numFmtId="0" fontId="282" fillId="0" borderId="80" xfId="0" applyFont="1" applyFill="1" applyBorder="1" applyAlignment="1">
      <alignment horizontal="center" vertical="center" wrapText="1"/>
    </xf>
    <xf numFmtId="0" fontId="283" fillId="0" borderId="66" xfId="0" applyFont="1" applyFill="1" applyBorder="1" applyAlignment="1">
      <alignment horizontal="center" vertical="center"/>
    </xf>
    <xf numFmtId="0" fontId="282" fillId="0" borderId="66" xfId="0" applyFont="1" applyFill="1" applyBorder="1" applyAlignment="1">
      <alignment horizontal="center" vertical="center" wrapText="1"/>
    </xf>
    <xf numFmtId="0" fontId="283" fillId="0" borderId="66" xfId="0" applyFont="1" applyFill="1" applyBorder="1" applyAlignment="1">
      <alignment horizontal="center" vertical="center" wrapText="1"/>
    </xf>
    <xf numFmtId="0" fontId="0" fillId="0" borderId="0" xfId="0" applyFill="1">
      <alignment vertical="center"/>
    </xf>
    <xf numFmtId="0" fontId="280" fillId="0" borderId="115" xfId="0" applyFont="1" applyFill="1" applyBorder="1" applyAlignment="1">
      <alignment horizontal="center" vertical="center" wrapText="1"/>
    </xf>
    <xf numFmtId="0" fontId="0" fillId="0" borderId="89" xfId="0" applyBorder="1">
      <alignment vertical="center"/>
    </xf>
    <xf numFmtId="0" fontId="0" fillId="0" borderId="116" xfId="0" applyBorder="1">
      <alignment vertical="center"/>
    </xf>
    <xf numFmtId="179" fontId="76" fillId="5" borderId="0" xfId="0" applyNumberFormat="1" applyFont="1" applyFill="1" applyProtection="1">
      <alignment vertical="center"/>
      <protection locked="0"/>
    </xf>
    <xf numFmtId="0" fontId="280" fillId="0" borderId="0" xfId="0" applyFont="1" applyFill="1" applyBorder="1" applyAlignment="1">
      <alignment horizontal="right" vertical="center" wrapText="1"/>
    </xf>
    <xf numFmtId="0" fontId="146" fillId="7" borderId="1" xfId="0" applyFont="1" applyFill="1" applyBorder="1" applyAlignment="1">
      <alignment horizontal="right" vertical="center"/>
    </xf>
    <xf numFmtId="0" fontId="146" fillId="7" borderId="6" xfId="0" applyFont="1" applyFill="1" applyBorder="1" applyAlignment="1">
      <alignment horizontal="right" vertical="center"/>
    </xf>
    <xf numFmtId="0" fontId="286" fillId="7" borderId="7" xfId="0" applyFont="1" applyFill="1" applyBorder="1" applyAlignment="1">
      <alignment horizontal="right" vertical="center"/>
    </xf>
    <xf numFmtId="0" fontId="0" fillId="0" borderId="0" xfId="0" applyAlignment="1">
      <alignment horizontal="right" vertical="center"/>
    </xf>
    <xf numFmtId="0" fontId="145" fillId="0" borderId="43" xfId="0" applyFont="1" applyBorder="1" applyAlignment="1">
      <alignment horizontal="right" vertical="center"/>
    </xf>
    <xf numFmtId="0" fontId="0" fillId="0" borderId="44" xfId="0" applyBorder="1" applyAlignment="1">
      <alignment horizontal="right" vertical="center"/>
    </xf>
    <xf numFmtId="0" fontId="0" fillId="0" borderId="46" xfId="0" applyBorder="1" applyAlignment="1">
      <alignment horizontal="right" vertical="center"/>
    </xf>
    <xf numFmtId="0" fontId="71" fillId="0" borderId="43" xfId="0" applyNumberFormat="1" applyFont="1" applyFill="1" applyBorder="1" applyAlignment="1" applyProtection="1">
      <alignment horizontal="center" vertical="center" wrapText="1"/>
      <protection locked="0"/>
    </xf>
    <xf numFmtId="0" fontId="134" fillId="5" borderId="0" xfId="0" applyFont="1" applyFill="1" applyProtection="1">
      <alignment vertical="center"/>
      <protection locked="0"/>
    </xf>
    <xf numFmtId="0" fontId="85" fillId="5" borderId="0" xfId="0" applyFont="1" applyFill="1" applyProtection="1">
      <alignment vertical="center"/>
      <protection locked="0"/>
    </xf>
    <xf numFmtId="0" fontId="145" fillId="0" borderId="0" xfId="0" applyFont="1">
      <alignment vertical="center"/>
    </xf>
    <xf numFmtId="0" fontId="85" fillId="5" borderId="0" xfId="0" applyFont="1" applyFill="1" applyAlignment="1" applyProtection="1">
      <alignment horizontal="center" vertical="center"/>
      <protection locked="0"/>
    </xf>
    <xf numFmtId="179" fontId="85" fillId="5" borderId="0" xfId="0" applyNumberFormat="1" applyFont="1" applyFill="1" applyProtection="1">
      <alignment vertical="center"/>
      <protection locked="0"/>
    </xf>
    <xf numFmtId="181" fontId="85" fillId="5" borderId="0" xfId="0" applyNumberFormat="1"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3" fillId="0" borderId="36" xfId="0" applyFont="1" applyBorder="1" applyAlignment="1">
      <alignment horizontal="center" vertical="center"/>
    </xf>
    <xf numFmtId="0" fontId="283" fillId="0" borderId="38" xfId="0" applyFont="1" applyBorder="1" applyAlignment="1">
      <alignment horizontal="center" vertical="center"/>
    </xf>
    <xf numFmtId="0" fontId="280" fillId="0" borderId="36" xfId="0" applyFont="1" applyBorder="1" applyAlignment="1">
      <alignment horizontal="center" vertical="center" wrapText="1"/>
    </xf>
    <xf numFmtId="0" fontId="280" fillId="0" borderId="38" xfId="0" applyFont="1" applyBorder="1" applyAlignment="1">
      <alignment horizontal="center" vertical="center" wrapText="1"/>
    </xf>
    <xf numFmtId="0" fontId="283" fillId="0" borderId="35" xfId="0" applyFont="1" applyBorder="1" applyAlignment="1">
      <alignment horizontal="center" vertical="center" wrapText="1"/>
    </xf>
    <xf numFmtId="0" fontId="283" fillId="0" borderId="79" xfId="0" applyFont="1" applyBorder="1" applyAlignment="1">
      <alignment horizontal="center" vertical="center" wrapText="1"/>
    </xf>
    <xf numFmtId="0" fontId="283" fillId="0" borderId="80" xfId="0" applyFont="1" applyBorder="1" applyAlignment="1">
      <alignment horizontal="center" vertical="center" wrapText="1"/>
    </xf>
    <xf numFmtId="0" fontId="283" fillId="0" borderId="35" xfId="0" applyFont="1" applyBorder="1" applyAlignment="1">
      <alignment horizontal="center" vertical="center"/>
    </xf>
    <xf numFmtId="0" fontId="283" fillId="0" borderId="80" xfId="0" applyFont="1" applyBorder="1" applyAlignment="1">
      <alignment horizontal="center" vertical="center"/>
    </xf>
    <xf numFmtId="0" fontId="283" fillId="0" borderId="36" xfId="0" applyFont="1" applyBorder="1" applyAlignment="1">
      <alignment horizontal="center" vertical="center" wrapText="1"/>
    </xf>
    <xf numFmtId="0" fontId="283" fillId="0" borderId="38"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22">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 name="已访问的超链接" xfId="18" builtinId="9" hidden="1"/>
    <cellStyle name="已访问的超链接" xfId="19" builtinId="9" hidden="1"/>
    <cellStyle name="已访问的超链接" xfId="20" builtinId="9" hidden="1"/>
    <cellStyle name="已访问的超链接" xfId="21" builtinId="9" hidden="1"/>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42</xdr:row>
      <xdr:rowOff>49278</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269228"/>
        </a:xfrm>
        <a:prstGeom prst="rect">
          <a:avLst/>
        </a:prstGeom>
      </xdr:spPr>
    </xdr:pic>
    <xdr:clientData/>
  </xdr:twoCellAnchor>
  <xdr:twoCellAnchor>
    <xdr:from>
      <xdr:col>0</xdr:col>
      <xdr:colOff>0</xdr:colOff>
      <xdr:row>3</xdr:row>
      <xdr:rowOff>123825</xdr:rowOff>
    </xdr:from>
    <xdr:to>
      <xdr:col>14</xdr:col>
      <xdr:colOff>457200</xdr:colOff>
      <xdr:row>41</xdr:row>
      <xdr:rowOff>142875</xdr:rowOff>
    </xdr:to>
    <xdr:grpSp>
      <xdr:nvGrpSpPr>
        <xdr:cNvPr id="11" name="组合 10"/>
        <xdr:cNvGrpSpPr/>
      </xdr:nvGrpSpPr>
      <xdr:grpSpPr>
        <a:xfrm>
          <a:off x="0" y="647700"/>
          <a:ext cx="9925050" cy="6543675"/>
          <a:chOff x="0" y="638175"/>
          <a:chExt cx="10058400" cy="6534150"/>
        </a:xfrm>
      </xdr:grpSpPr>
      <xdr:sp macro="" textlink="">
        <xdr:nvSpPr>
          <xdr:cNvPr id="4" name="矩形标注 3"/>
          <xdr:cNvSpPr/>
        </xdr:nvSpPr>
        <xdr:spPr>
          <a:xfrm>
            <a:off x="7591425" y="6543675"/>
            <a:ext cx="2466975" cy="504825"/>
          </a:xfrm>
          <a:prstGeom prst="wedgeRectCallout">
            <a:avLst>
              <a:gd name="adj1" fmla="val -60917"/>
              <a:gd name="adj2" fmla="val 2317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融创</a:t>
            </a:r>
            <a:endParaRPr lang="en-US" altLang="zh-CN" sz="1100">
              <a:solidFill>
                <a:sysClr val="windowText" lastClr="000000"/>
              </a:solidFill>
            </a:endParaRPr>
          </a:p>
          <a:p>
            <a:pPr algn="l"/>
            <a:r>
              <a:rPr lang="en-US" altLang="zh-CN" sz="1100">
                <a:solidFill>
                  <a:sysClr val="windowText" lastClr="000000"/>
                </a:solidFill>
              </a:rPr>
              <a:t>R4.2</a:t>
            </a:r>
            <a:r>
              <a:rPr lang="zh-CN" altLang="en-US" sz="1100">
                <a:solidFill>
                  <a:sysClr val="windowText" lastClr="000000"/>
                </a:solidFill>
              </a:rPr>
              <a:t>，</a:t>
            </a:r>
            <a:r>
              <a:rPr lang="en-US" altLang="zh-CN" sz="1100">
                <a:solidFill>
                  <a:sysClr val="windowText" lastClr="000000"/>
                </a:solidFill>
              </a:rPr>
              <a:t>3100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880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xdr:txBody>
      </xdr:sp>
      <xdr:sp macro="" textlink="">
        <xdr:nvSpPr>
          <xdr:cNvPr id="6" name="矩形标注 5"/>
          <xdr:cNvSpPr/>
        </xdr:nvSpPr>
        <xdr:spPr>
          <a:xfrm>
            <a:off x="7591425" y="638175"/>
            <a:ext cx="2466975" cy="676275"/>
          </a:xfrm>
          <a:prstGeom prst="wedgeRectCallout">
            <a:avLst>
              <a:gd name="adj1" fmla="val -130801"/>
              <a:gd name="adj2" fmla="val -11267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北方鸿基</a:t>
            </a:r>
            <a:endParaRPr lang="en-US" altLang="zh-CN" sz="1100">
              <a:solidFill>
                <a:sysClr val="windowText" lastClr="000000"/>
              </a:solidFill>
            </a:endParaRPr>
          </a:p>
          <a:p>
            <a:pPr algn="l"/>
            <a:r>
              <a:rPr lang="en-US" altLang="zh-CN" sz="1100">
                <a:solidFill>
                  <a:sysClr val="windowText" lastClr="000000"/>
                </a:solidFill>
              </a:rPr>
              <a:t>R10.5</a:t>
            </a:r>
            <a:r>
              <a:rPr lang="zh-CN" altLang="en-US" sz="1100">
                <a:solidFill>
                  <a:sysClr val="windowText" lastClr="000000"/>
                </a:solidFill>
              </a:rPr>
              <a:t>，</a:t>
            </a:r>
            <a:r>
              <a:rPr lang="en-US" altLang="zh-CN" sz="1100">
                <a:solidFill>
                  <a:sysClr val="windowText" lastClr="000000"/>
                </a:solidFill>
              </a:rPr>
              <a:t>1503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1052</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rPr>
              <a:t>R7</a:t>
            </a:r>
            <a:r>
              <a:rPr lang="zh-CN" altLang="en-US" sz="1100">
                <a:solidFill>
                  <a:sysClr val="windowText" lastClr="000000"/>
                </a:solidFill>
              </a:rPr>
              <a:t>，</a:t>
            </a:r>
            <a:r>
              <a:rPr lang="en-US" altLang="zh-CN" sz="1100">
                <a:solidFill>
                  <a:sysClr val="windowText" lastClr="000000"/>
                </a:solidFill>
              </a:rPr>
              <a:t>1900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r>
              <a:rPr lang="en-US" altLang="zh-CN" sz="1100">
                <a:solidFill>
                  <a:sysClr val="windowText" lastClr="000000"/>
                </a:solidFill>
              </a:rPr>
              <a:t>918</a:t>
            </a:r>
            <a:r>
              <a:rPr lang="zh-CN" altLang="zh-CN" sz="1100">
                <a:solidFill>
                  <a:sysClr val="windowText" lastClr="000000"/>
                </a:solidFill>
                <a:effectLst/>
                <a:latin typeface="+mn-lt"/>
                <a:ea typeface="+mn-ea"/>
                <a:cs typeface="+mn-cs"/>
              </a:rPr>
              <a:t>万</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亩</a:t>
            </a:r>
            <a:endParaRPr lang="zh-CN" altLang="zh-CN">
              <a:solidFill>
                <a:sysClr val="windowText" lastClr="000000"/>
              </a:solidFill>
              <a:effectLst/>
            </a:endParaRPr>
          </a:p>
        </xdr:txBody>
      </xdr:sp>
      <xdr:sp macro="" textlink="">
        <xdr:nvSpPr>
          <xdr:cNvPr id="7" name="矩形标注 6"/>
          <xdr:cNvSpPr/>
        </xdr:nvSpPr>
        <xdr:spPr>
          <a:xfrm>
            <a:off x="0" y="6515100"/>
            <a:ext cx="3143250" cy="657225"/>
          </a:xfrm>
          <a:prstGeom prst="wedgeRectCallout">
            <a:avLst>
              <a:gd name="adj1" fmla="val 86860"/>
              <a:gd name="adj2" fmla="val -1334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融创</a:t>
            </a:r>
            <a:endParaRPr lang="en-US" altLang="zh-CN" sz="1100">
              <a:solidFill>
                <a:sysClr val="windowText" lastClr="000000"/>
              </a:solidFill>
            </a:endParaRPr>
          </a:p>
          <a:p>
            <a:pPr algn="l"/>
            <a:r>
              <a:rPr lang="en-US" altLang="zh-CN" sz="1100">
                <a:solidFill>
                  <a:sysClr val="windowText" lastClr="000000"/>
                </a:solidFill>
              </a:rPr>
              <a:t>R3.8-4.2</a:t>
            </a:r>
            <a:r>
              <a:rPr lang="zh-CN" altLang="en-US" sz="1100">
                <a:solidFill>
                  <a:sysClr val="windowText" lastClr="000000"/>
                </a:solidFill>
              </a:rPr>
              <a:t>，</a:t>
            </a:r>
            <a:r>
              <a:rPr lang="en-US" altLang="zh-CN" sz="1100">
                <a:solidFill>
                  <a:sysClr val="windowText" lastClr="000000"/>
                </a:solidFill>
              </a:rPr>
              <a:t>2500-2800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710-790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effectLst/>
                <a:latin typeface="+mn-lt"/>
                <a:ea typeface="+mn-ea"/>
                <a:cs typeface="+mn-cs"/>
              </a:rPr>
              <a:t>R6.6</a:t>
            </a:r>
            <a:r>
              <a:rPr lang="zh-CN" altLang="en-US" sz="1100">
                <a:solidFill>
                  <a:sysClr val="windowText" lastClr="000000"/>
                </a:solidFill>
                <a:effectLst/>
                <a:latin typeface="+mn-lt"/>
                <a:ea typeface="+mn-ea"/>
                <a:cs typeface="+mn-cs"/>
              </a:rPr>
              <a:t>，</a:t>
            </a:r>
            <a:r>
              <a:rPr lang="en-US" altLang="zh-CN" sz="1100">
                <a:solidFill>
                  <a:sysClr val="windowText" lastClr="000000"/>
                </a:solidFill>
                <a:effectLst/>
                <a:latin typeface="+mn-lt"/>
                <a:ea typeface="+mn-ea"/>
                <a:cs typeface="+mn-cs"/>
              </a:rPr>
              <a:t>2600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r>
              <a:rPr lang="en-US" altLang="zh-CN" sz="1100">
                <a:solidFill>
                  <a:sysClr val="windowText" lastClr="000000"/>
                </a:solidFill>
                <a:effectLst/>
                <a:latin typeface="+mn-lt"/>
                <a:ea typeface="+mn-ea"/>
                <a:cs typeface="+mn-cs"/>
              </a:rPr>
              <a:t>1160</a:t>
            </a:r>
            <a:r>
              <a:rPr lang="zh-CN" altLang="zh-CN" sz="1100">
                <a:solidFill>
                  <a:sysClr val="windowText" lastClr="000000"/>
                </a:solidFill>
                <a:effectLst/>
                <a:latin typeface="+mn-lt"/>
                <a:ea typeface="+mn-ea"/>
                <a:cs typeface="+mn-cs"/>
              </a:rPr>
              <a:t>万</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亩</a:t>
            </a:r>
            <a:endParaRPr lang="en-US" altLang="zh-CN" sz="1100">
              <a:solidFill>
                <a:sysClr val="windowText" lastClr="000000"/>
              </a:solidFill>
            </a:endParaRPr>
          </a:p>
        </xdr:txBody>
      </xdr:sp>
      <xdr:sp macro="" textlink="">
        <xdr:nvSpPr>
          <xdr:cNvPr id="8" name="矩形标注 7"/>
          <xdr:cNvSpPr/>
        </xdr:nvSpPr>
        <xdr:spPr>
          <a:xfrm>
            <a:off x="0" y="5438775"/>
            <a:ext cx="3143250" cy="657225"/>
          </a:xfrm>
          <a:prstGeom prst="wedgeRectCallout">
            <a:avLst>
              <a:gd name="adj1" fmla="val 92921"/>
              <a:gd name="adj2" fmla="val -696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富力</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rPr>
              <a:t>R4.4</a:t>
            </a:r>
            <a:r>
              <a:rPr lang="zh-CN" altLang="en-US" sz="1100">
                <a:solidFill>
                  <a:sysClr val="windowText" lastClr="000000"/>
                </a:solidFill>
              </a:rPr>
              <a:t>，</a:t>
            </a:r>
            <a:r>
              <a:rPr lang="en-US" altLang="zh-CN" sz="1100">
                <a:solidFill>
                  <a:sysClr val="windowText" lastClr="000000"/>
                </a:solidFill>
              </a:rPr>
              <a:t>2400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710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ysClr val="windowText" lastClr="000000"/>
                </a:solidFill>
                <a:effectLst/>
                <a:latin typeface="+mn-lt"/>
                <a:ea typeface="+mn-ea"/>
                <a:cs typeface="+mn-cs"/>
              </a:rPr>
              <a:t>R5.6</a:t>
            </a:r>
            <a:r>
              <a:rPr lang="zh-CN" altLang="zh-CN" sz="1100">
                <a:solidFill>
                  <a:sysClr val="windowText" lastClr="000000"/>
                </a:solidFill>
                <a:effectLst/>
                <a:latin typeface="+mn-lt"/>
                <a:ea typeface="+mn-ea"/>
                <a:cs typeface="+mn-cs"/>
              </a:rPr>
              <a:t>，</a:t>
            </a:r>
            <a:r>
              <a:rPr lang="en-US" altLang="zh-CN" sz="1100">
                <a:solidFill>
                  <a:sysClr val="windowText" lastClr="000000"/>
                </a:solidFill>
                <a:effectLst/>
                <a:latin typeface="+mn-lt"/>
                <a:ea typeface="+mn-ea"/>
                <a:cs typeface="+mn-cs"/>
              </a:rPr>
              <a:t>2400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r>
              <a:rPr lang="en-US" altLang="zh-CN" sz="1100">
                <a:solidFill>
                  <a:sysClr val="windowText" lastClr="000000"/>
                </a:solidFill>
                <a:effectLst/>
                <a:latin typeface="+mn-lt"/>
                <a:ea typeface="+mn-ea"/>
                <a:cs typeface="+mn-cs"/>
              </a:rPr>
              <a:t>926</a:t>
            </a:r>
            <a:r>
              <a:rPr lang="zh-CN" altLang="zh-CN" sz="1100">
                <a:solidFill>
                  <a:sysClr val="windowText" lastClr="000000"/>
                </a:solidFill>
                <a:effectLst/>
                <a:latin typeface="+mn-lt"/>
                <a:ea typeface="+mn-ea"/>
                <a:cs typeface="+mn-cs"/>
              </a:rPr>
              <a:t>万</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亩</a:t>
            </a:r>
            <a:endParaRPr lang="zh-CN" altLang="zh-CN">
              <a:solidFill>
                <a:sysClr val="windowText" lastClr="000000"/>
              </a:solidFill>
              <a:effectLst/>
            </a:endParaRPr>
          </a:p>
          <a:p>
            <a:pPr algn="l"/>
            <a:endParaRPr lang="en-US" altLang="zh-CN" sz="1100">
              <a:solidFill>
                <a:sysClr val="windowText" lastClr="000000"/>
              </a:solidFill>
            </a:endParaRPr>
          </a:p>
        </xdr:txBody>
      </xdr:sp>
      <xdr:sp macro="" textlink="">
        <xdr:nvSpPr>
          <xdr:cNvPr id="10" name="矩形标注 9"/>
          <xdr:cNvSpPr/>
        </xdr:nvSpPr>
        <xdr:spPr>
          <a:xfrm>
            <a:off x="7591425" y="5000625"/>
            <a:ext cx="2466975" cy="504825"/>
          </a:xfrm>
          <a:prstGeom prst="wedgeRectCallout">
            <a:avLst>
              <a:gd name="adj1" fmla="val -120376"/>
              <a:gd name="adj2" fmla="val 2422"/>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碧桂园</a:t>
            </a:r>
            <a:endParaRPr lang="en-US" altLang="zh-CN" sz="1100">
              <a:solidFill>
                <a:sysClr val="windowText" lastClr="000000"/>
              </a:solidFill>
            </a:endParaRPr>
          </a:p>
          <a:p>
            <a:pPr algn="l"/>
            <a:r>
              <a:rPr lang="en-US" altLang="zh-CN" sz="1100">
                <a:solidFill>
                  <a:sysClr val="windowText" lastClr="000000"/>
                </a:solidFill>
              </a:rPr>
              <a:t>R4.9</a:t>
            </a:r>
            <a:r>
              <a:rPr lang="zh-CN" altLang="en-US" sz="1100">
                <a:solidFill>
                  <a:sysClr val="windowText" lastClr="000000"/>
                </a:solidFill>
              </a:rPr>
              <a:t>，</a:t>
            </a:r>
            <a:r>
              <a:rPr lang="en-US" altLang="zh-CN" sz="1100">
                <a:solidFill>
                  <a:sysClr val="windowText" lastClr="000000"/>
                </a:solidFill>
              </a:rPr>
              <a:t>2100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平方米，</a:t>
            </a:r>
            <a:r>
              <a:rPr lang="en-US" altLang="zh-CN" sz="1100">
                <a:solidFill>
                  <a:sysClr val="windowText" lastClr="000000"/>
                </a:solidFill>
              </a:rPr>
              <a:t>700</a:t>
            </a:r>
            <a:r>
              <a:rPr lang="zh-CN" altLang="en-US" sz="1100">
                <a:solidFill>
                  <a:sysClr val="windowText" lastClr="000000"/>
                </a:solidFill>
              </a:rPr>
              <a:t>万</a:t>
            </a:r>
            <a:r>
              <a:rPr lang="en-US" altLang="zh-CN" sz="1100">
                <a:solidFill>
                  <a:sysClr val="windowText" lastClr="000000"/>
                </a:solidFill>
              </a:rPr>
              <a:t>/</a:t>
            </a:r>
            <a:r>
              <a:rPr lang="zh-CN" altLang="en-US" sz="1100">
                <a:solidFill>
                  <a:sysClr val="windowText" lastClr="000000"/>
                </a:solidFill>
              </a:rPr>
              <a:t>亩</a:t>
            </a:r>
            <a:endParaRPr lang="en-US" altLang="zh-CN" sz="1100">
              <a:solidFill>
                <a:sysClr val="windowText" lastClr="000000"/>
              </a:solidFill>
            </a:endParaRPr>
          </a:p>
        </xdr:txBody>
      </xdr:sp>
    </xdr:grpSp>
    <xdr:clientData/>
  </xdr:twoCellAnchor>
  <xdr:twoCellAnchor editAs="oneCell">
    <xdr:from>
      <xdr:col>0</xdr:col>
      <xdr:colOff>0</xdr:colOff>
      <xdr:row>45</xdr:row>
      <xdr:rowOff>0</xdr:rowOff>
    </xdr:from>
    <xdr:to>
      <xdr:col>10</xdr:col>
      <xdr:colOff>466725</xdr:colOff>
      <xdr:row>75</xdr:row>
      <xdr:rowOff>161925</xdr:rowOff>
    </xdr:to>
    <xdr:pic>
      <xdr:nvPicPr>
        <xdr:cNvPr id="12" name="图片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7324725" cy="5305425"/>
        </a:xfrm>
        <a:prstGeom prst="rect">
          <a:avLst/>
        </a:prstGeom>
      </xdr:spPr>
    </xdr:pic>
    <xdr:clientData/>
  </xdr:twoCellAnchor>
  <xdr:twoCellAnchor editAs="oneCell">
    <xdr:from>
      <xdr:col>0</xdr:col>
      <xdr:colOff>0</xdr:colOff>
      <xdr:row>77</xdr:row>
      <xdr:rowOff>0</xdr:rowOff>
    </xdr:from>
    <xdr:to>
      <xdr:col>12</xdr:col>
      <xdr:colOff>257175</xdr:colOff>
      <xdr:row>115</xdr:row>
      <xdr:rowOff>28575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220700"/>
          <a:ext cx="8372475" cy="6543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14',22);"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sohu.com/a/258688924_100199100" TargetMode="External"/><Relationship Id="rId13" Type="http://schemas.openxmlformats.org/officeDocument/2006/relationships/hyperlink" Target="http://shanxi.leju.com/news/2019-04-24/10006526399699573069559.shtml" TargetMode="External"/><Relationship Id="rId3" Type="http://schemas.openxmlformats.org/officeDocument/2006/relationships/hyperlink" Target="http://www.sohu.com/a/245264685_642062" TargetMode="External"/><Relationship Id="rId7" Type="http://schemas.openxmlformats.org/officeDocument/2006/relationships/hyperlink" Target="http://www.sohu.com/a/273558916_395088" TargetMode="External"/><Relationship Id="rId12" Type="http://schemas.openxmlformats.org/officeDocument/2006/relationships/hyperlink" Target="https://www.sohu.com/a/258688924_100199100" TargetMode="External"/><Relationship Id="rId2" Type="http://schemas.openxmlformats.org/officeDocument/2006/relationships/hyperlink" Target="http://www.sohu.com/a/245264685_642062" TargetMode="External"/><Relationship Id="rId16" Type="http://schemas.openxmlformats.org/officeDocument/2006/relationships/hyperlink" Target="http://yuncheng.loupan.com/html/news/201701/2576822.html" TargetMode="External"/><Relationship Id="rId1" Type="http://schemas.openxmlformats.org/officeDocument/2006/relationships/hyperlink" Target="http://www.sohu.com/a/240742559_395088" TargetMode="External"/><Relationship Id="rId6" Type="http://schemas.openxmlformats.org/officeDocument/2006/relationships/hyperlink" Target="http://www.sohu.com/a/273558916_395088" TargetMode="External"/><Relationship Id="rId11" Type="http://schemas.openxmlformats.org/officeDocument/2006/relationships/hyperlink" Target="https://www.sohu.com/a/258688924_100199100" TargetMode="External"/><Relationship Id="rId5" Type="http://schemas.openxmlformats.org/officeDocument/2006/relationships/hyperlink" Target="https://ty.house.ifeng.com/news/2019_01_25-51856109_0.shtml" TargetMode="External"/><Relationship Id="rId15" Type="http://schemas.openxmlformats.org/officeDocument/2006/relationships/hyperlink" Target="http://yuncheng.loupan.com/html/news/201701/2576822.html" TargetMode="External"/><Relationship Id="rId10" Type="http://schemas.openxmlformats.org/officeDocument/2006/relationships/hyperlink" Target="https://www.sohu.com/a/258688924_100199100" TargetMode="External"/><Relationship Id="rId4" Type="http://schemas.openxmlformats.org/officeDocument/2006/relationships/hyperlink" Target="http://shanxi.leju.com/news/2019-03-26/09236516117266156016985.shtml" TargetMode="External"/><Relationship Id="rId9" Type="http://schemas.openxmlformats.org/officeDocument/2006/relationships/hyperlink" Target="https://www.sohu.com/a/258688924_100199100" TargetMode="External"/><Relationship Id="rId14" Type="http://schemas.openxmlformats.org/officeDocument/2006/relationships/hyperlink" Target="http://finance.sina.com.cn/roll/2018-11-23/doc-ihpevhck2273058.shtml"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2652</v>
      </c>
      <c r="B1" s="2846" t="s">
        <v>2749</v>
      </c>
    </row>
    <row r="2" spans="1:55" s="2850" customFormat="1" ht="15" thickTop="1">
      <c r="A2" s="2848" t="s">
        <v>2656</v>
      </c>
      <c r="B2" s="2849" t="str">
        <f>'预评函-封皮'!B37</f>
        <v>山西省太原市尖草坪区三给片区一宗住宅、商业、地下车库及科教用地出让国有建设用地使用权抵押价格预评估</v>
      </c>
      <c r="AX2" s="2851"/>
      <c r="AZ2" s="2851"/>
      <c r="BA2" s="2852"/>
      <c r="BC2" s="2852"/>
    </row>
    <row r="3" spans="1:55" s="2853" customFormat="1">
      <c r="A3" s="2832" t="s">
        <v>2657</v>
      </c>
      <c r="B3" s="2835" t="str">
        <f>'预评函-封皮'!B40</f>
        <v>中诚信托有限责任公司</v>
      </c>
    </row>
    <row r="4" spans="1:55" s="2834" customFormat="1">
      <c r="A4" s="2832" t="s">
        <v>2658</v>
      </c>
      <c r="B4" s="2833" t="str">
        <f>'预评函-封皮'!B46</f>
        <v>王鹏、郑燚</v>
      </c>
      <c r="N4" s="2834" t="str">
        <f>'预评函-1'!A28</f>
        <v/>
      </c>
    </row>
    <row r="5" spans="1:55" s="2847" customFormat="1" ht="15" thickBot="1">
      <c r="A5" s="2854" t="s">
        <v>2659</v>
      </c>
      <c r="B5" s="2855" t="str">
        <f>'预评函-封皮'!B49</f>
        <v>康正预评字号</v>
      </c>
    </row>
    <row r="6" spans="1:55" s="2856" customFormat="1" ht="15" thickTop="1">
      <c r="A6" s="2848" t="s">
        <v>2701</v>
      </c>
      <c r="B6" s="2849" t="str">
        <f>'预评函-1'!A4</f>
        <v>受贵公司委托，我公司对山西省太原市尖草坪区三给片区一宗住宅、商业、地下车库及科教用地出让国有建设用地使用权抵押价格进行了预评估。</v>
      </c>
      <c r="AM6" s="2857"/>
    </row>
    <row r="7" spans="1:55" s="2831" customFormat="1">
      <c r="A7" s="2832" t="s">
        <v>2653</v>
      </c>
      <c r="B7" s="2833" t="str">
        <f>'预评函-1'!A6</f>
        <v>估价对象为太原旭凰房地产开发有限公司使用的、位于山西省太原市尖草坪区三给片区一宗住宅、商业、地下车库及科教用地出让国有建设用地使用权。根据《国有土地使用证》[]，估价对象（分摊）出让国有建设用地使用权面积为161741.64平方米。根据《建设工程规划许可证》[]、《出让合同》[]，估价对象规划建筑面积为760592.92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1" customFormat="1">
      <c r="A10" s="2832" t="s">
        <v>2655</v>
      </c>
      <c r="B10" s="2833" t="str">
        <f>'预评函-1'!A11</f>
        <v>2019年6月5日（评估专业人员勘察现场之日）</v>
      </c>
    </row>
    <row r="11" spans="1:55" s="2831" customFormat="1">
      <c r="A11" s="2832" t="s">
        <v>2661</v>
      </c>
      <c r="B11" s="2833" t="str">
        <f>'预评函-1'!A14</f>
        <v>根据《不动产权证书》[晋（2019）太原市不动产权第0053440号]，本次评估估价对象证载（地类）用途为城镇住宅用地。</v>
      </c>
    </row>
    <row r="12" spans="1:55" s="2831" customFormat="1">
      <c r="A12" s="2832" t="s">
        <v>2662</v>
      </c>
      <c r="B12" s="2833" t="str">
        <f>'预评函-1'!A15</f>
        <v>本次评估设定用途即为证载用途住宅、商业、地下车库及科教。</v>
      </c>
    </row>
    <row r="13" spans="1:55" s="2831" customFormat="1">
      <c r="A13" s="2832" t="s">
        <v>2663</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根据《国有土地使用证》[]，估价对象（分摊）出让国有建设用地使用权面积为161741.64平方米。根据《建设工程规划许可证》[]、《出让合同》[]，估价对象规划建筑面积为760592.92平方米。</v>
      </c>
    </row>
    <row r="16" spans="1:55" s="2831" customFormat="1">
      <c r="A16" s="2832" t="s">
        <v>2665</v>
      </c>
      <c r="B16" s="2833" t="str">
        <f>'预评函-1'!A22</f>
        <v>本次估价对象为出让国有建设用地使用权，《不动产权证书》[晋（2019）太原市不动产权第0053440号]证载土地终止日期为住宅2089年5月7日、商业2059年5月7日、办公2059年5月7日、车库2069年5月7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2670</v>
      </c>
      <c r="B21" s="2855" t="str">
        <f>'预评函-1'!A28</f>
        <v/>
      </c>
    </row>
    <row r="22" spans="1:48" ht="15"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估价期日：2019年6月5日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t="str">
        <f>'预评函-2'!E5</f>
        <v>城镇住宅用地</v>
      </c>
      <c r="AV32" s="2837"/>
    </row>
    <row r="33" spans="1:2">
      <c r="A33" s="2832" t="s">
        <v>2709</v>
      </c>
      <c r="B33" s="2833">
        <f>'预评函-2'!F5</f>
        <v>258</v>
      </c>
    </row>
    <row r="34" spans="1:2">
      <c r="A34" s="2832" t="s">
        <v>2710</v>
      </c>
      <c r="B34" s="2833" t="str">
        <f>'预评函-2'!G5</f>
        <v>住宅、商业、地下车库及科教</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红线外七通、宗地红线内场地平整</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161741.64000000001</v>
      </c>
    </row>
    <row r="44" spans="1:2">
      <c r="A44" s="2832" t="s">
        <v>2736</v>
      </c>
      <c r="B44" s="2833" t="str">
        <f>'预评函-2'!O3</f>
        <v>规划建筑面积/㎡</v>
      </c>
    </row>
    <row r="45" spans="1:2">
      <c r="A45" s="2832" t="s">
        <v>2718</v>
      </c>
      <c r="B45" s="2833">
        <f>'预评函-2'!O5</f>
        <v>760592.91999999993</v>
      </c>
    </row>
    <row r="46" spans="1:2">
      <c r="A46" s="2832" t="s">
        <v>2719</v>
      </c>
      <c r="B46" s="2833">
        <f ca="1">'预评函-2'!P5</f>
        <v>8804</v>
      </c>
    </row>
    <row r="47" spans="1:2">
      <c r="A47" s="2832" t="s">
        <v>2720</v>
      </c>
      <c r="B47" s="2833">
        <f ca="1">'预评函-2'!Q5</f>
        <v>1872</v>
      </c>
    </row>
    <row r="48" spans="1:2">
      <c r="A48" s="2832" t="s">
        <v>2721</v>
      </c>
      <c r="B48" s="2833">
        <f ca="1">'预评函-2'!R5</f>
        <v>142396</v>
      </c>
    </row>
    <row r="49" spans="1:2">
      <c r="A49" s="2832" t="s">
        <v>2737</v>
      </c>
      <c r="B49" s="2833" t="str">
        <f>'预评函-2'!A6</f>
        <v>抵押价格</v>
      </c>
    </row>
    <row r="50" spans="1:2">
      <c r="A50" s="2832" t="s">
        <v>2722</v>
      </c>
      <c r="B50" s="2833">
        <f ca="1">'预评函-2'!R6</f>
        <v>142396</v>
      </c>
    </row>
    <row r="51" spans="1:2">
      <c r="A51" s="2832" t="s">
        <v>2738</v>
      </c>
      <c r="B51" s="2833" t="str">
        <f>'预评函-2'!A7</f>
        <v>——</v>
      </c>
    </row>
    <row r="52" spans="1:2">
      <c r="A52" s="2832" t="s">
        <v>2723</v>
      </c>
      <c r="B52" s="2833" t="str">
        <f>'预评函-2'!R7</f>
        <v>——</v>
      </c>
    </row>
    <row r="53" spans="1:2">
      <c r="A53" s="2832" t="s">
        <v>2739</v>
      </c>
      <c r="B53" s="2833" t="str">
        <f>'预评函-2'!A8</f>
        <v>——</v>
      </c>
    </row>
    <row r="54" spans="1:2" s="2847" customFormat="1" ht="15" thickBot="1">
      <c r="A54" s="2854" t="s">
        <v>2724</v>
      </c>
      <c r="B54" s="2855" t="str">
        <f>'预评函-2'!R8</f>
        <v>——</v>
      </c>
    </row>
    <row r="55" spans="1:2" ht="15" thickTop="1">
      <c r="A55" s="2843" t="s">
        <v>2674</v>
      </c>
      <c r="B55" s="2844" t="str">
        <f>'预评函-3'!A2</f>
        <v>1.权利限制：根据估价对象《不动产权证书》复印件，截至估价期日，估价对象抵押权未见登记。未设定租赁等其他他项权利。</v>
      </c>
    </row>
    <row r="56" spans="1:2">
      <c r="A56" s="2832" t="s">
        <v>2675</v>
      </c>
      <c r="B56" s="2833" t="str">
        <f>'预评函-3'!A3</f>
        <v>2.基础设施条件：估价对象实际开发程度为红线外七通、宗地红线内场地平整；本次评估设定开发程度为红线外七通、宗地红线内场地。</v>
      </c>
    </row>
    <row r="57" spans="1:2">
      <c r="A57" s="2832" t="s">
        <v>2676</v>
      </c>
      <c r="B57" s="2833" t="str">
        <f>'预评函-3'!A4</f>
        <v>3.估价规划限制条件：详见《建设工程规划许可证》[]、《出让合同》[]。</v>
      </c>
    </row>
    <row r="58" spans="1:2" s="2847" customFormat="1" ht="15" thickBot="1">
      <c r="A58" s="2854" t="s">
        <v>2725</v>
      </c>
      <c r="B58" s="2855" t="str">
        <f>'预评函-3'!A5</f>
        <v>4.影响价格的其他限定条件：无。</v>
      </c>
    </row>
    <row r="59" spans="1:2" ht="15"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（1）根据估价对象《不动产权证书》复印件，截至估价期日，估价对象抵押权未见登记。</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2688</v>
      </c>
      <c r="B68" s="2858">
        <f>'预评函-3'!D30</f>
        <v>42558</v>
      </c>
    </row>
    <row r="69" spans="1:2" ht="15" thickTop="1">
      <c r="A69" s="2843" t="s">
        <v>2686</v>
      </c>
      <c r="B69" s="2844" t="str">
        <f>'预评函-3'!A20</f>
        <v>王鹏</v>
      </c>
    </row>
    <row r="70" spans="1:2">
      <c r="A70" s="2832" t="s">
        <v>2686</v>
      </c>
      <c r="B70" s="2839">
        <f ca="1">'预评函-3'!B20</f>
        <v>2002110030</v>
      </c>
    </row>
    <row r="71" spans="1:2">
      <c r="A71" s="2832" t="s">
        <v>2687</v>
      </c>
      <c r="B71" s="2833" t="str">
        <f>'预评函-3'!A21</f>
        <v>郑燚</v>
      </c>
    </row>
    <row r="72" spans="1:2" s="2847" customFormat="1" ht="15" thickBot="1">
      <c r="A72" s="2854" t="s">
        <v>2687</v>
      </c>
      <c r="B72" s="2860">
        <f ca="1">'预评函-3'!B21</f>
        <v>2014110011</v>
      </c>
    </row>
    <row r="73" spans="1:2" ht="15"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C10" sqref="C1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321" t="str">
        <f>IF(B10="北京市","北京市",C10)&amp;F10&amp;B16&amp;"国有建设用地使用权"&amp;B9&amp;"预评估"</f>
        <v>山西省太原市尖草坪区三给片区一宗住宅、商业、地下车库及科教用地出让国有建设用地使用权抵押价格预评估</v>
      </c>
      <c r="C1" s="3322"/>
      <c r="D1" s="3322"/>
      <c r="E1" s="3322"/>
      <c r="F1" s="3322"/>
      <c r="G1" s="3322"/>
      <c r="H1" s="3322"/>
      <c r="I1" s="3323"/>
      <c r="J1" s="1677"/>
      <c r="K1" s="2418" t="str">
        <f>IF(B10="北京市","北京市",C10)&amp;F10&amp;B16&amp;"国有建设用地使用权"&amp;B9</f>
        <v>山西省太原市尖草坪区三给片区一宗住宅、商业、地下车库及科教用地出让国有建设用地使用权抵押价格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山西省太原市尖草坪区三给片区一宗住宅、商业、地下车库及科教用地出让国有建设用地使用权</v>
      </c>
      <c r="L2" s="1706"/>
      <c r="M2" s="1706"/>
      <c r="N2" s="1677"/>
      <c r="O2" s="1678"/>
      <c r="P2" s="1677"/>
      <c r="Q2" s="1677"/>
      <c r="R2" s="1677"/>
      <c r="S2" s="1677"/>
      <c r="T2" s="1677"/>
      <c r="U2" s="1677"/>
    </row>
    <row r="3" spans="1:21">
      <c r="A3" s="1644" t="s">
        <v>1939</v>
      </c>
      <c r="B3" s="1645">
        <v>43621</v>
      </c>
      <c r="C3" s="1646" t="s">
        <v>1993</v>
      </c>
      <c r="D3" s="1645">
        <f>B3</f>
        <v>43621</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2990</v>
      </c>
      <c r="C4" s="1829">
        <f ca="1">SUMIF(土地估价师,B4,估价师及机构信息!E3:E24)</f>
        <v>2002110030</v>
      </c>
      <c r="D4" s="1826" t="s">
        <v>2991</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8" t="s">
        <v>1941</v>
      </c>
      <c r="B5" s="1772" t="str">
        <f>B6</f>
        <v>中诚信托有限责任公司</v>
      </c>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t="s">
        <v>3205</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2703</v>
      </c>
      <c r="B7" s="1772" t="str">
        <f>C11</f>
        <v>太原旭凰房地产开发有限公司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3210</v>
      </c>
      <c r="C8" s="1654"/>
      <c r="D8" s="3327" t="s">
        <v>1944</v>
      </c>
      <c r="E8" s="1827" t="s">
        <v>3317</v>
      </c>
      <c r="F8" s="1655"/>
      <c r="G8" s="1643"/>
      <c r="H8" s="1643"/>
      <c r="I8" s="1690"/>
      <c r="J8" s="1677"/>
      <c r="K8" s="1757"/>
      <c r="L8" s="1706"/>
      <c r="M8" s="1706"/>
      <c r="N8" s="1677"/>
      <c r="O8" s="1678"/>
      <c r="P8" s="1677"/>
      <c r="Q8" s="1677"/>
      <c r="R8" s="1677"/>
      <c r="S8" s="1677"/>
      <c r="T8" s="1677"/>
      <c r="U8" s="1677"/>
    </row>
    <row r="9" spans="1:21" ht="15" thickBot="1">
      <c r="A9" s="1656" t="s">
        <v>1943</v>
      </c>
      <c r="B9" s="1657" t="s">
        <v>3317</v>
      </c>
      <c r="C9" s="1658"/>
      <c r="D9" s="3328"/>
      <c r="E9" s="1657" t="s">
        <v>952</v>
      </c>
      <c r="F9" s="1730"/>
      <c r="G9" s="1725"/>
      <c r="H9" s="1725"/>
      <c r="I9" s="1726"/>
      <c r="J9" s="1677"/>
      <c r="K9" s="1757"/>
      <c r="L9" s="1706"/>
      <c r="M9" s="1706"/>
      <c r="N9" s="1677"/>
      <c r="O9" s="1678"/>
      <c r="P9" s="1677"/>
      <c r="Q9" s="1677"/>
      <c r="R9" s="1677"/>
      <c r="S9" s="1677"/>
      <c r="T9" s="1677"/>
      <c r="U9" s="1677"/>
    </row>
    <row r="10" spans="1:21" ht="15" thickTop="1">
      <c r="A10" s="1727" t="s">
        <v>1997</v>
      </c>
      <c r="B10" s="1702" t="s">
        <v>3206</v>
      </c>
      <c r="C10" s="1659" t="s">
        <v>3209</v>
      </c>
      <c r="D10" s="1650"/>
      <c r="E10" s="1660" t="s">
        <v>1946</v>
      </c>
      <c r="F10" s="1661" t="s">
        <v>3311</v>
      </c>
      <c r="G10" s="1728"/>
      <c r="H10" s="1729"/>
      <c r="I10" s="1650"/>
      <c r="J10" s="1677"/>
      <c r="K10" s="1757"/>
      <c r="L10" s="1706"/>
      <c r="M10" s="1706"/>
      <c r="N10" s="1677"/>
      <c r="O10" s="1678"/>
      <c r="P10" s="1677"/>
      <c r="Q10" s="1677"/>
      <c r="R10" s="1677"/>
      <c r="S10" s="1677"/>
      <c r="T10" s="1677"/>
      <c r="U10" s="1677"/>
    </row>
    <row r="11" spans="1:21" ht="42.75">
      <c r="A11" s="1680" t="s">
        <v>1998</v>
      </c>
      <c r="B11" s="1681" t="s">
        <v>3207</v>
      </c>
      <c r="C11" s="1662" t="s">
        <v>3208</v>
      </c>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324" t="s">
        <v>3312</v>
      </c>
      <c r="C12" s="3325"/>
      <c r="D12" s="3326"/>
      <c r="E12" s="1682" t="s">
        <v>2059</v>
      </c>
      <c r="F12" s="3342" t="s">
        <v>3315</v>
      </c>
      <c r="G12" s="3343"/>
      <c r="H12" s="3343"/>
      <c r="I12" s="3344"/>
      <c r="J12" s="1677"/>
      <c r="K12" s="1757"/>
      <c r="L12" s="1706"/>
      <c r="M12" s="1706"/>
      <c r="N12" s="1677"/>
      <c r="O12" s="1678"/>
      <c r="P12" s="1677"/>
      <c r="Q12" s="1677"/>
      <c r="R12" s="1677"/>
      <c r="S12" s="1677"/>
      <c r="T12" s="1677"/>
      <c r="U12" s="1677"/>
    </row>
    <row r="13" spans="1:21">
      <c r="A13" s="1670" t="s">
        <v>2057</v>
      </c>
      <c r="B13" s="3324" t="s">
        <v>3313</v>
      </c>
      <c r="C13" s="3325"/>
      <c r="D13" s="3326"/>
      <c r="E13" s="1682" t="s">
        <v>2059</v>
      </c>
      <c r="F13" s="3342" t="s">
        <v>2885</v>
      </c>
      <c r="G13" s="3343"/>
      <c r="H13" s="3343"/>
      <c r="I13" s="3344"/>
      <c r="J13" s="1677"/>
      <c r="K13" s="1757"/>
      <c r="L13" s="1706"/>
      <c r="M13" s="1706"/>
      <c r="N13" s="1677"/>
      <c r="O13" s="1678"/>
      <c r="P13" s="1677"/>
      <c r="Q13" s="1677"/>
      <c r="R13" s="1677"/>
      <c r="S13" s="1677"/>
      <c r="T13" s="1677"/>
      <c r="U13" s="1677"/>
    </row>
    <row r="14" spans="1:21">
      <c r="A14" s="1644" t="s">
        <v>2060</v>
      </c>
      <c r="B14" s="1682"/>
      <c r="C14" s="1828" t="s">
        <v>3314</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2986</v>
      </c>
      <c r="C16" s="1682" t="s">
        <v>1948</v>
      </c>
      <c r="D16" s="2609" t="s">
        <v>1949</v>
      </c>
      <c r="E16" s="1705" t="s">
        <v>3190</v>
      </c>
      <c r="F16" s="1705" t="s">
        <v>1677</v>
      </c>
      <c r="G16" s="1705" t="s">
        <v>3211</v>
      </c>
      <c r="H16" s="1705"/>
      <c r="I16" s="1669" t="s">
        <v>1954</v>
      </c>
      <c r="J16" s="1677"/>
      <c r="K16" s="2419" t="str">
        <f>IF(D17="","",D16&amp;TEXT(D17,"yyyy年m月d日;;"))</f>
        <v>住宅2089年5月7日</v>
      </c>
      <c r="L16" s="1682" t="str">
        <f>IF(OR(K16="",M16=""),"","、")</f>
        <v>、</v>
      </c>
      <c r="M16" s="2419" t="str">
        <f>IF(E17="","",E16&amp;TEXT(E17,"yyyy年m月d日;;"))</f>
        <v>商业2059年5月7日</v>
      </c>
      <c r="N16" s="1682" t="str">
        <f>IF(OR(M16="",O16=""),"","、")</f>
        <v>、</v>
      </c>
      <c r="O16" s="2419" t="str">
        <f>IF(F17="","",F16&amp;TEXT(F17,"yyyy年m月d日;;"))</f>
        <v>办公2059年5月7日</v>
      </c>
      <c r="P16" s="1682" t="str">
        <f>IF(OR(O16="",Q16=""),"","、")</f>
        <v>、</v>
      </c>
      <c r="Q16" s="2419" t="str">
        <f>IF(G17="","",G16&amp;TEXT(G17,"yyyy年m月d日;;"))</f>
        <v>车库2069年5月7日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69160</v>
      </c>
      <c r="E17" s="1683">
        <v>58202</v>
      </c>
      <c r="F17" s="1683">
        <v>58202</v>
      </c>
      <c r="G17" s="1683">
        <v>61855</v>
      </c>
      <c r="H17" s="1683"/>
      <c r="I17" s="1683"/>
      <c r="J17" s="1677"/>
      <c r="K17" s="2418" t="str">
        <f>CONCATENATE(K16,L16,M16,N16,O16,P16,Q16,R16,S16,T16,,U16)</f>
        <v>住宅2089年5月7日、商业2059年5月7日、办公2059年5月7日、车库2069年5月7日</v>
      </c>
      <c r="L17" s="1706"/>
      <c r="M17" s="1706"/>
      <c r="N17" s="1677"/>
      <c r="O17" s="1678"/>
      <c r="P17" s="1677"/>
      <c r="Q17" s="1677"/>
      <c r="R17" s="1677"/>
      <c r="S17" s="1677"/>
      <c r="T17" s="1677"/>
      <c r="U17" s="1677"/>
    </row>
    <row r="18" spans="1:21">
      <c r="A18" s="1746"/>
      <c r="B18" s="1665"/>
      <c r="C18" s="1666" t="s">
        <v>1956</v>
      </c>
      <c r="D18" s="1667">
        <v>70</v>
      </c>
      <c r="E18" s="1667">
        <v>40</v>
      </c>
      <c r="F18" s="1667">
        <v>50</v>
      </c>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69.959999999999994</v>
      </c>
      <c r="E19" s="1668">
        <f>IF(B16="出让",IF(E17="","",ROUNDDOWN(MIN((E17-$D$3)/365,E18),2)),E18)</f>
        <v>39.94</v>
      </c>
      <c r="F19" s="1668">
        <f>IF(B16="出让",IF(F17="","",ROUNDDOWN(MIN((F17-$D$3)/365,F18),2)),F18)</f>
        <v>39.94</v>
      </c>
      <c r="G19" s="1668">
        <f>IF(B16="出让",IF(G17="","",ROUNDDOWN(MIN((G17-$D$3)/365,G18),2)),G18)</f>
        <v>49.95</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339"/>
      <c r="E20" s="3340"/>
      <c r="F20" s="3340"/>
      <c r="G20" s="3340"/>
      <c r="H20" s="3340"/>
      <c r="I20" s="3341"/>
      <c r="J20" s="1677"/>
      <c r="K20" s="1757"/>
      <c r="L20" s="1706"/>
      <c r="M20" s="1706"/>
      <c r="N20" s="1677"/>
      <c r="O20" s="1678"/>
      <c r="P20" s="1677"/>
      <c r="Q20" s="1677"/>
      <c r="R20" s="1677"/>
      <c r="S20" s="1677"/>
      <c r="T20" s="1677"/>
      <c r="U20" s="1677"/>
    </row>
    <row r="21" spans="1:21">
      <c r="A21" s="1746" t="s">
        <v>1958</v>
      </c>
      <c r="B21" s="1747" t="s">
        <v>1959</v>
      </c>
      <c r="C21" s="1742">
        <f>'数据-汇总表'!E3</f>
        <v>760592.91999999993</v>
      </c>
      <c r="D21" s="1743" t="s">
        <v>1960</v>
      </c>
      <c r="E21" s="3329" t="s">
        <v>1996</v>
      </c>
      <c r="F21" s="3330"/>
      <c r="G21" s="3330"/>
      <c r="H21" s="3330"/>
      <c r="I21" s="3331"/>
      <c r="J21" s="1677"/>
      <c r="K21" s="1757"/>
      <c r="L21" s="1706"/>
      <c r="M21" s="1706"/>
      <c r="N21" s="1677"/>
      <c r="O21" s="1678"/>
      <c r="P21" s="1677"/>
      <c r="Q21" s="1677"/>
      <c r="R21" s="1677"/>
      <c r="S21" s="1677"/>
      <c r="T21" s="1677"/>
      <c r="U21" s="1677"/>
    </row>
    <row r="22" spans="1:21">
      <c r="A22" s="3096" t="s">
        <v>952</v>
      </c>
      <c r="B22" s="1644" t="s">
        <v>1961</v>
      </c>
      <c r="C22" s="1669">
        <f>'数据-汇总表'!D3</f>
        <v>161741.64000000001</v>
      </c>
      <c r="D22" s="1670" t="s">
        <v>1960</v>
      </c>
      <c r="E22" s="3329" t="s">
        <v>2886</v>
      </c>
      <c r="F22" s="3330"/>
      <c r="G22" s="3330"/>
      <c r="H22" s="3330"/>
      <c r="I22" s="3331"/>
      <c r="J22" s="1677"/>
      <c r="K22" s="1757"/>
      <c r="L22" s="1706"/>
      <c r="M22" s="1706"/>
      <c r="N22" s="1677"/>
      <c r="O22" s="1678"/>
      <c r="P22" s="1677"/>
      <c r="Q22" s="1677"/>
      <c r="R22" s="1677"/>
      <c r="S22" s="1677"/>
      <c r="T22" s="1677"/>
      <c r="U22" s="1677"/>
    </row>
    <row r="23" spans="1:21" ht="43.5" thickBot="1">
      <c r="A23" s="1748" t="s">
        <v>1962</v>
      </c>
      <c r="B23" s="1684" t="s">
        <v>1963</v>
      </c>
      <c r="C23" s="1685" t="s">
        <v>3316</v>
      </c>
      <c r="D23" s="1686" t="s">
        <v>1964</v>
      </c>
      <c r="E23" s="1687" t="s">
        <v>952</v>
      </c>
      <c r="F23" s="1688" t="str">
        <f>IF(AND(C23="是",E23="否"),"是否提供他项权证或相关说明","")</f>
        <v/>
      </c>
      <c r="G23" s="1689" t="s">
        <v>952</v>
      </c>
      <c r="H23" s="1677"/>
      <c r="I23" s="1690"/>
      <c r="J23" s="1677"/>
      <c r="K23" s="1757"/>
      <c r="L23" s="1706"/>
      <c r="M23" s="1706"/>
      <c r="N23" s="1677"/>
      <c r="O23" s="1678"/>
      <c r="P23" s="1677"/>
      <c r="Q23" s="1677"/>
      <c r="R23" s="1677"/>
      <c r="S23" s="1677"/>
      <c r="T23" s="1677"/>
      <c r="U23" s="1677"/>
    </row>
    <row r="24" spans="1:21">
      <c r="A24" s="1733" t="s">
        <v>1965</v>
      </c>
      <c r="B24" s="3332" t="s">
        <v>1966</v>
      </c>
      <c r="C24" s="3333"/>
      <c r="D24" s="3334" t="s">
        <v>1967</v>
      </c>
      <c r="E24" s="3335"/>
      <c r="F24" s="1691" t="s">
        <v>1968</v>
      </c>
      <c r="G24" s="1677"/>
      <c r="H24" s="1677"/>
      <c r="I24" s="1690"/>
      <c r="J24" s="1677"/>
      <c r="K24" s="3320" t="s">
        <v>1969</v>
      </c>
      <c r="L24" s="242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6"/>
      <c r="N24" s="1677"/>
      <c r="O24" s="1678"/>
      <c r="P24" s="1677"/>
      <c r="Q24" s="1677"/>
      <c r="R24" s="1677"/>
      <c r="S24" s="1677"/>
      <c r="T24" s="1677"/>
      <c r="U24" s="1677"/>
    </row>
    <row r="25" spans="1:21" ht="28.5">
      <c r="A25" s="1734"/>
      <c r="B25" s="1731" t="s">
        <v>2323</v>
      </c>
      <c r="C25" s="1692" t="s">
        <v>2324</v>
      </c>
      <c r="D25" s="1693"/>
      <c r="E25" s="1694" t="s">
        <v>952</v>
      </c>
      <c r="F25" s="1695"/>
      <c r="G25" s="1677"/>
      <c r="H25" s="1677"/>
      <c r="I25" s="1690"/>
      <c r="J25" s="1677"/>
      <c r="K25" s="332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t="s">
        <v>952</v>
      </c>
      <c r="C26" s="1692" t="s">
        <v>952</v>
      </c>
      <c r="D26" s="1643"/>
      <c r="E26" s="1643"/>
      <c r="F26" s="1671"/>
      <c r="G26" s="1677"/>
      <c r="H26" s="1677"/>
      <c r="I26" s="1690"/>
      <c r="J26" s="1677"/>
      <c r="K26" s="332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306" t="s">
        <v>1999</v>
      </c>
      <c r="B31" s="1747" t="s">
        <v>2000</v>
      </c>
      <c r="C31" s="3345" t="s">
        <v>3326</v>
      </c>
      <c r="D31" s="3346"/>
      <c r="E31" s="1677"/>
      <c r="F31" s="1677"/>
      <c r="G31" s="1677"/>
      <c r="H31" s="1677"/>
      <c r="I31" s="1690"/>
      <c r="J31" s="1677"/>
      <c r="K31" s="2421"/>
      <c r="L31" s="1677"/>
      <c r="M31" s="1677"/>
      <c r="N31" s="1677"/>
      <c r="O31" s="1677"/>
      <c r="P31" s="1677"/>
      <c r="Q31" s="1677"/>
      <c r="R31" s="1677"/>
      <c r="S31" s="1677"/>
      <c r="T31" s="1677"/>
      <c r="U31" s="1677"/>
    </row>
    <row r="32" spans="1:21">
      <c r="A32" s="3306"/>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06"/>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07"/>
      <c r="B34" s="1644" t="s">
        <v>2003</v>
      </c>
      <c r="C34" s="3308"/>
      <c r="D34" s="3309"/>
      <c r="E34" s="1677"/>
      <c r="F34" s="1677"/>
      <c r="G34" s="1677"/>
      <c r="H34" s="1677"/>
      <c r="I34" s="1690"/>
      <c r="J34" s="1677"/>
      <c r="K34" s="2421"/>
      <c r="L34" s="1677"/>
      <c r="M34" s="1677"/>
      <c r="N34" s="1677"/>
      <c r="O34" s="1677"/>
      <c r="P34" s="1677"/>
      <c r="Q34" s="1677"/>
      <c r="R34" s="1677"/>
      <c r="S34" s="1677"/>
      <c r="T34" s="1677"/>
      <c r="U34" s="1677"/>
    </row>
    <row r="35" spans="1:21">
      <c r="A35" s="3310" t="s">
        <v>847</v>
      </c>
      <c r="B35" s="1705" t="s">
        <v>3318</v>
      </c>
      <c r="C35" s="1759" t="str">
        <f>IF(B35="场地平整","——","具体情况：")</f>
        <v>——</v>
      </c>
      <c r="D35" s="3312"/>
      <c r="E35" s="3313"/>
      <c r="F35" s="3313"/>
      <c r="G35" s="3313"/>
      <c r="H35" s="3313"/>
      <c r="I35" s="3314"/>
      <c r="J35" s="1677"/>
      <c r="K35" s="1758"/>
      <c r="L35" s="1706"/>
      <c r="M35" s="1706"/>
      <c r="N35" s="1677"/>
      <c r="O35" s="1678"/>
      <c r="P35" s="1677"/>
      <c r="Q35" s="1677"/>
      <c r="R35" s="1677"/>
      <c r="S35" s="1677"/>
      <c r="T35" s="1677"/>
      <c r="U35" s="1677"/>
    </row>
    <row r="36" spans="1:21">
      <c r="A36" s="3306"/>
      <c r="B36" s="3315" t="s">
        <v>2052</v>
      </c>
      <c r="C36" s="3316"/>
      <c r="D36" s="1775"/>
      <c r="E36" s="3317"/>
      <c r="F36" s="3317"/>
      <c r="G36" s="1670" t="str">
        <f>IF(B35="场地未平整","估价结果处理","")</f>
        <v/>
      </c>
      <c r="H36" s="3318"/>
      <c r="I36" s="3318"/>
      <c r="J36" s="1677"/>
      <c r="K36" s="1758"/>
      <c r="L36" s="1706"/>
      <c r="M36" s="1706"/>
      <c r="N36" s="1677"/>
      <c r="O36" s="1678"/>
      <c r="P36" s="1677"/>
      <c r="Q36" s="1677"/>
      <c r="R36" s="1677"/>
      <c r="S36" s="1677"/>
      <c r="T36" s="1677"/>
      <c r="U36" s="1677"/>
    </row>
    <row r="37" spans="1:21" ht="28.5">
      <c r="A37" s="3306"/>
      <c r="B37" s="3336"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06"/>
      <c r="B38" s="3337"/>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307"/>
      <c r="B39" s="333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3319</v>
      </c>
      <c r="C40" s="1673" t="s">
        <v>3320</v>
      </c>
      <c r="D40" s="1673" t="s">
        <v>3321</v>
      </c>
      <c r="E40" s="1673" t="s">
        <v>3322</v>
      </c>
      <c r="F40" s="1673" t="s">
        <v>3323</v>
      </c>
      <c r="G40" s="1673" t="s">
        <v>3324</v>
      </c>
      <c r="H40" s="1673" t="s">
        <v>3325</v>
      </c>
      <c r="I40" s="1690"/>
      <c r="J40" s="1677"/>
      <c r="K40" s="1713">
        <f>COUNTIF(B40:H40,"——")</f>
        <v>0</v>
      </c>
      <c r="L40" s="1682" t="s">
        <v>1976</v>
      </c>
      <c r="M40" s="1679" t="s">
        <v>1977</v>
      </c>
      <c r="N40" s="1679" t="s">
        <v>1978</v>
      </c>
      <c r="O40" s="1679" t="s">
        <v>1979</v>
      </c>
      <c r="P40" s="1679" t="s">
        <v>1980</v>
      </c>
      <c r="Q40" s="1679" t="s">
        <v>1981</v>
      </c>
      <c r="R40" s="1679" t="s">
        <v>1982</v>
      </c>
      <c r="S40" s="3319" t="s">
        <v>1983</v>
      </c>
      <c r="T40" s="1714" t="str">
        <f>NUMBERSTRING(7-K40,1)&amp;"通"</f>
        <v>七通</v>
      </c>
      <c r="U40" s="1677"/>
    </row>
    <row r="41" spans="1:21" ht="28.5">
      <c r="A41" s="1646"/>
      <c r="B41" s="3311" t="s">
        <v>1721</v>
      </c>
      <c r="C41" s="3311"/>
      <c r="D41" s="3311"/>
      <c r="E41" s="3311"/>
      <c r="F41" s="1715" t="str">
        <f>C10</f>
        <v>山西省太原市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319"/>
      <c r="T41" s="1716" t="str">
        <f>IF(T40="一通",L41,IF(T40="二通",M41,IF(T40="三通",N41,IF(T40="四通",O41,IF(T40="五通",P41,IF(T40="六通",Q41,R41))))))</f>
        <v>通路、通电、通讯、通上水、通下水、通热、燃气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2887</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O13" activePane="bottomRight" state="frozen"/>
      <selection pane="topRight" activeCell="E1" sqref="E1"/>
      <selection pane="bottomLeft" activeCell="A12" sqref="A12"/>
      <selection pane="bottomRight" activeCell="R14" sqref="R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2331</v>
      </c>
      <c r="BA2" s="2324"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161741.64000000001</v>
      </c>
      <c r="B3" s="22">
        <f>IF(C3="否",G5-AT5,G5)</f>
        <v>760592.91999999993</v>
      </c>
      <c r="C3" s="23" t="s">
        <v>952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760592.91999999993</v>
      </c>
      <c r="H5" s="27">
        <f t="shared" ref="H5:AT5" si="0">SUM(H13:H641)</f>
        <v>683344.47</v>
      </c>
      <c r="I5" s="27">
        <f t="shared" si="0"/>
        <v>536085</v>
      </c>
      <c r="J5" s="27">
        <f t="shared" si="0"/>
        <v>0</v>
      </c>
      <c r="K5" s="27">
        <f t="shared" si="0"/>
        <v>35629</v>
      </c>
      <c r="L5" s="27">
        <f t="shared" si="0"/>
        <v>0</v>
      </c>
      <c r="M5" s="27">
        <f t="shared" si="0"/>
        <v>111630.47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77248.45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13694</v>
      </c>
      <c r="AM5" s="27">
        <f t="shared" si="0"/>
        <v>0</v>
      </c>
      <c r="AN5" s="27">
        <f t="shared" si="0"/>
        <v>19742.45</v>
      </c>
      <c r="AO5" s="27">
        <f t="shared" si="0"/>
        <v>0</v>
      </c>
      <c r="AP5" s="27">
        <f t="shared" si="0"/>
        <v>0</v>
      </c>
      <c r="AQ5" s="27">
        <f t="shared" si="0"/>
        <v>0</v>
      </c>
      <c r="AR5" s="27">
        <f t="shared" si="0"/>
        <v>43812</v>
      </c>
      <c r="AS5" s="27">
        <f t="shared" si="0"/>
        <v>0</v>
      </c>
      <c r="AT5" s="27">
        <f t="shared" si="0"/>
        <v>0</v>
      </c>
      <c r="AU5" s="987"/>
      <c r="AV5" s="26" t="s">
        <v>168</v>
      </c>
      <c r="AW5" s="988"/>
      <c r="AX5" s="988"/>
      <c r="AY5" s="28" t="s">
        <v>3</v>
      </c>
      <c r="AZ5" s="29">
        <f t="shared" ref="AZ5:BT5" si="1">SUM(AZ13:AZ641)</f>
        <v>760592.91999999993</v>
      </c>
      <c r="BA5" s="29">
        <f t="shared" si="1"/>
        <v>683344.47</v>
      </c>
      <c r="BB5" s="29">
        <f t="shared" si="1"/>
        <v>536085</v>
      </c>
      <c r="BC5" s="29">
        <f t="shared" si="1"/>
        <v>35629</v>
      </c>
      <c r="BD5" s="29">
        <f t="shared" si="1"/>
        <v>111630.47</v>
      </c>
      <c r="BE5" s="29">
        <f t="shared" si="1"/>
        <v>0</v>
      </c>
      <c r="BF5" s="29">
        <f t="shared" si="1"/>
        <v>0</v>
      </c>
      <c r="BG5" s="29">
        <f t="shared" si="1"/>
        <v>0</v>
      </c>
      <c r="BH5" s="29">
        <f t="shared" si="1"/>
        <v>0</v>
      </c>
      <c r="BI5" s="29">
        <f t="shared" si="1"/>
        <v>0</v>
      </c>
      <c r="BJ5" s="29">
        <f t="shared" si="1"/>
        <v>0</v>
      </c>
      <c r="BK5" s="29">
        <f t="shared" si="1"/>
        <v>0</v>
      </c>
      <c r="BL5" s="29">
        <f t="shared" si="1"/>
        <v>77248.45</v>
      </c>
      <c r="BM5" s="29">
        <f t="shared" si="1"/>
        <v>0</v>
      </c>
      <c r="BN5" s="29">
        <f t="shared" si="1"/>
        <v>0</v>
      </c>
      <c r="BO5" s="29">
        <f t="shared" si="1"/>
        <v>0</v>
      </c>
      <c r="BP5" s="29">
        <f t="shared" si="1"/>
        <v>0</v>
      </c>
      <c r="BQ5" s="29">
        <f t="shared" si="1"/>
        <v>13694</v>
      </c>
      <c r="BR5" s="29">
        <f t="shared" si="1"/>
        <v>19742.45</v>
      </c>
      <c r="BS5" s="29">
        <f t="shared" si="1"/>
        <v>0</v>
      </c>
      <c r="BT5" s="30">
        <f t="shared" si="1"/>
        <v>43812</v>
      </c>
    </row>
    <row r="6" spans="1:72" s="37" customFormat="1" ht="12.75">
      <c r="A6" s="26" t="s">
        <v>169</v>
      </c>
      <c r="B6" s="31"/>
      <c r="C6" s="31"/>
      <c r="D6" s="32"/>
      <c r="E6" s="27">
        <f>H6+AC6+AT6</f>
        <v>161741.64000000001</v>
      </c>
      <c r="F6" s="27" t="s">
        <v>1</v>
      </c>
      <c r="G6" s="27" t="s">
        <v>2</v>
      </c>
      <c r="H6" s="33">
        <f>SUMIF(I$12:AB$12,"总值",I6:AB6)</f>
        <v>145314.6</v>
      </c>
      <c r="I6" s="27">
        <f t="shared" ref="I6:AB6" si="2">ROUND($A$3*I5/$B$3,2)</f>
        <v>113999.57</v>
      </c>
      <c r="J6" s="27">
        <f t="shared" si="2"/>
        <v>0</v>
      </c>
      <c r="K6" s="27">
        <f t="shared" si="2"/>
        <v>7576.58</v>
      </c>
      <c r="L6" s="27">
        <f t="shared" si="2"/>
        <v>0</v>
      </c>
      <c r="M6" s="27">
        <f t="shared" si="2"/>
        <v>23738.45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16427.04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2912.06</v>
      </c>
      <c r="AM6" s="27">
        <f t="shared" si="3"/>
        <v>0</v>
      </c>
      <c r="AN6" s="27">
        <f t="shared" si="3"/>
        <v>4198.2700000000004</v>
      </c>
      <c r="AO6" s="27">
        <f t="shared" si="3"/>
        <v>0</v>
      </c>
      <c r="AP6" s="27">
        <f t="shared" si="3"/>
        <v>0</v>
      </c>
      <c r="AQ6" s="27">
        <f t="shared" si="3"/>
        <v>0</v>
      </c>
      <c r="AR6" s="27">
        <f t="shared" si="3"/>
        <v>9316.7099999999991</v>
      </c>
      <c r="AS6" s="27">
        <f t="shared" si="3"/>
        <v>0</v>
      </c>
      <c r="AT6" s="33">
        <f>IF(C3="是",ROUND($A$3*AT5/$B$3,2),0)</f>
        <v>0</v>
      </c>
      <c r="AU6" s="34"/>
      <c r="AV6" s="26" t="s">
        <v>169</v>
      </c>
      <c r="AW6" s="31"/>
      <c r="AX6" s="31"/>
      <c r="AY6" s="35">
        <f>IF(AY3&gt;0,AY3,ROUND($A$3*AZ5/$B$3,2))</f>
        <v>161741.64000000001</v>
      </c>
      <c r="AZ6" s="27" t="s">
        <v>3</v>
      </c>
      <c r="BA6" s="27">
        <f>ROUND($AY$6*BA5/$AZ$5,2)</f>
        <v>145314.6</v>
      </c>
      <c r="BB6" s="27">
        <f>ROUND($AY$6*BB5/$AZ$5,2)</f>
        <v>113999.57</v>
      </c>
      <c r="BC6" s="27">
        <f t="shared" ref="BC6:BH6" si="4">ROUND($AY$6*BC5/$AZ$5,2)</f>
        <v>7576.58</v>
      </c>
      <c r="BD6" s="27">
        <f t="shared" si="4"/>
        <v>23738.45</v>
      </c>
      <c r="BE6" s="27">
        <f t="shared" si="4"/>
        <v>0</v>
      </c>
      <c r="BF6" s="27">
        <f t="shared" si="4"/>
        <v>0</v>
      </c>
      <c r="BG6" s="27">
        <f t="shared" si="4"/>
        <v>0</v>
      </c>
      <c r="BH6" s="27">
        <f t="shared" si="4"/>
        <v>0</v>
      </c>
      <c r="BI6" s="27">
        <f t="shared" ref="BI6:BT6" si="5">ROUND($AY$6*BI5/$AZ$5,2)</f>
        <v>0</v>
      </c>
      <c r="BJ6" s="27">
        <f t="shared" si="5"/>
        <v>0</v>
      </c>
      <c r="BK6" s="27">
        <f t="shared" si="5"/>
        <v>0</v>
      </c>
      <c r="BL6" s="27">
        <f t="shared" si="5"/>
        <v>16427.04</v>
      </c>
      <c r="BM6" s="27">
        <f t="shared" si="5"/>
        <v>0</v>
      </c>
      <c r="BN6" s="27">
        <f t="shared" si="5"/>
        <v>0</v>
      </c>
      <c r="BO6" s="27">
        <f t="shared" si="5"/>
        <v>0</v>
      </c>
      <c r="BP6" s="27">
        <f t="shared" si="5"/>
        <v>0</v>
      </c>
      <c r="BQ6" s="27">
        <f t="shared" si="5"/>
        <v>2912.06</v>
      </c>
      <c r="BR6" s="27">
        <f t="shared" si="5"/>
        <v>4198.2700000000004</v>
      </c>
      <c r="BS6" s="27">
        <f t="shared" si="5"/>
        <v>0</v>
      </c>
      <c r="BT6" s="36">
        <f t="shared" si="5"/>
        <v>9316.7099999999991</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3189</v>
      </c>
      <c r="J9" s="51"/>
      <c r="K9" s="2970" t="s">
        <v>3189</v>
      </c>
      <c r="L9" s="51"/>
      <c r="M9" s="2970" t="s">
        <v>3285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923</v>
      </c>
      <c r="J10" s="51"/>
      <c r="K10" s="2972" t="s">
        <v>3190</v>
      </c>
      <c r="L10" s="51"/>
      <c r="M10" s="2972" t="s">
        <v>3211</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1"/>
      <c r="AF11" s="2318" t="s">
        <v>2328</v>
      </c>
      <c r="AG11" s="1001"/>
      <c r="AH11" s="2318" t="s">
        <v>2327</v>
      </c>
      <c r="AI11" s="2319"/>
      <c r="AJ11" s="2318" t="s">
        <v>2327</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1678</v>
      </c>
      <c r="E13" s="27">
        <f t="shared" ref="E13:E20" si="6">IF($C$3="是",ROUND($A$3*G13/$B$3,2),ROUND($A$3*(G13-AT13)/$B$3,2))</f>
        <v>161741.64000000001</v>
      </c>
      <c r="F13" s="81"/>
      <c r="G13" s="82">
        <f t="shared" ref="G13:G20" si="7">H13+AC13+AT13</f>
        <v>760592.91999999993</v>
      </c>
      <c r="H13" s="33">
        <f t="shared" ref="H13:H20" si="8">SUMIF(I$12:AB$12,"总值",I13:AB13)</f>
        <v>683344.47</v>
      </c>
      <c r="I13" s="2969">
        <f>Sheet3!E5</f>
        <v>536085</v>
      </c>
      <c r="J13" s="2969"/>
      <c r="K13" s="2969">
        <f>Sheet3!E6</f>
        <v>35629</v>
      </c>
      <c r="L13" s="2969"/>
      <c r="M13" s="2969">
        <f>Sheet3!E11-Sheet3!G11</f>
        <v>111630.47</v>
      </c>
      <c r="N13" s="83"/>
      <c r="O13" s="83"/>
      <c r="P13" s="83"/>
      <c r="Q13" s="83"/>
      <c r="R13" s="83"/>
      <c r="S13" s="83"/>
      <c r="T13" s="83"/>
      <c r="U13" s="83"/>
      <c r="V13" s="83"/>
      <c r="W13" s="83"/>
      <c r="X13" s="83"/>
      <c r="Y13" s="83"/>
      <c r="Z13" s="83"/>
      <c r="AA13" s="83"/>
      <c r="AB13" s="83"/>
      <c r="AC13" s="27">
        <f t="shared" ref="AC13:AC20" si="9">SUMIF(AD$12:AS$12,"总值",AD13:AS13)</f>
        <v>77248.45</v>
      </c>
      <c r="AD13" s="2973"/>
      <c r="AE13" s="2973"/>
      <c r="AF13" s="2973"/>
      <c r="AG13" s="2973"/>
      <c r="AH13" s="2973"/>
      <c r="AI13" s="2973"/>
      <c r="AJ13" s="2973"/>
      <c r="AK13" s="2973"/>
      <c r="AL13" s="2973">
        <f>Sheet3!E7+Sheet3!E8</f>
        <v>13694</v>
      </c>
      <c r="AM13" s="2973"/>
      <c r="AN13" s="2973">
        <f>Sheet3!E12</f>
        <v>19742.45</v>
      </c>
      <c r="AO13" s="2973"/>
      <c r="AP13" s="2973"/>
      <c r="AQ13" s="2973"/>
      <c r="AR13" s="2973">
        <f>Sheet3!G11</f>
        <v>43812</v>
      </c>
      <c r="AS13" s="2973"/>
      <c r="AT13" s="2974"/>
      <c r="AU13" s="2975"/>
      <c r="AV13" s="17">
        <f t="shared" ref="AV13:AX20" si="10">A13</f>
        <v>0</v>
      </c>
      <c r="AW13" s="17">
        <f t="shared" si="10"/>
        <v>0</v>
      </c>
      <c r="AX13" s="17">
        <f t="shared" si="10"/>
        <v>0</v>
      </c>
      <c r="AY13" s="995">
        <f t="shared" ref="AY13:AY20" si="11">ROUND($AY$6*AZ13/$AZ$5,2)</f>
        <v>161741.64000000001</v>
      </c>
      <c r="AZ13" s="27">
        <f t="shared" ref="AZ13:AZ20" si="12">BA13+BL13</f>
        <v>760592.91999999993</v>
      </c>
      <c r="BA13" s="27">
        <f t="shared" ref="BA13:BA20" si="13">SUM(BB13:BK13)</f>
        <v>683344.47</v>
      </c>
      <c r="BB13" s="27">
        <f t="shared" ref="BB13:BB20" si="14">IF($D13="是",I13-J13,0)</f>
        <v>536085</v>
      </c>
      <c r="BC13" s="27">
        <f t="shared" ref="BC13:BC20" si="15">IF($D13="是",K13-L13,0)</f>
        <v>35629</v>
      </c>
      <c r="BD13" s="27">
        <f t="shared" ref="BD13:BD20" si="16">IF($D13="是",M13-N13,0)</f>
        <v>111630.47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77248.45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13694</v>
      </c>
      <c r="BR13" s="27">
        <f t="shared" ref="BR13:BR20" si="30">IF($D13="是",AN13-AO13,0)</f>
        <v>19742.45</v>
      </c>
      <c r="BS13" s="27">
        <f t="shared" ref="BS13:BS20" si="31">IF($D13="是",AP13-AQ13,0)</f>
        <v>0</v>
      </c>
      <c r="BT13" s="36">
        <f t="shared" ref="BT13:BT20" si="32">IF($D13="是",AR13-AS13,0)</f>
        <v>43812</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47" t="s">
        <v>0</v>
      </c>
      <c r="B1" s="3347" t="s">
        <v>4</v>
      </c>
      <c r="C1" s="3347" t="s">
        <v>5</v>
      </c>
      <c r="D1" s="3348" t="s">
        <v>40</v>
      </c>
      <c r="E1" s="3348" t="s">
        <v>41</v>
      </c>
      <c r="F1" s="3348"/>
      <c r="G1" s="3348"/>
      <c r="H1" s="3348"/>
      <c r="I1" s="3348"/>
      <c r="J1" s="3348"/>
      <c r="K1" s="3348"/>
      <c r="L1" s="3348"/>
      <c r="M1" s="3348"/>
    </row>
    <row r="2" spans="1:13" ht="27" customHeight="1">
      <c r="A2" s="3347"/>
      <c r="B2" s="3347"/>
      <c r="C2" s="3347"/>
      <c r="D2" s="3348"/>
      <c r="E2" s="3348" t="s">
        <v>24</v>
      </c>
      <c r="F2" s="3348" t="s">
        <v>25</v>
      </c>
      <c r="G2" s="3348"/>
      <c r="H2" s="3348"/>
      <c r="I2" s="3348"/>
      <c r="J2" s="3348" t="s">
        <v>26</v>
      </c>
      <c r="K2" s="3348"/>
      <c r="L2" s="3348"/>
      <c r="M2" s="3348"/>
    </row>
    <row r="3" spans="1:13" ht="28.5">
      <c r="A3" s="3347"/>
      <c r="B3" s="3347"/>
      <c r="C3" s="3347"/>
      <c r="D3" s="3348"/>
      <c r="E3" s="33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8" t="s">
        <v>42</v>
      </c>
      <c r="B9" s="3348"/>
      <c r="C9" s="33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J24" sqref="J24"/>
    </sheetView>
  </sheetViews>
  <sheetFormatPr defaultColWidth="8.875" defaultRowHeight="13.5"/>
  <cols>
    <col min="3" max="3" width="18" customWidth="1"/>
    <col min="9" max="10" width="15.25" customWidth="1"/>
    <col min="11" max="11" width="8.875" customWidth="1"/>
    <col min="13" max="13" width="10.5" bestFit="1" customWidth="1"/>
  </cols>
  <sheetData>
    <row r="1" spans="1:13" ht="14.25" thickBot="1">
      <c r="A1" s="3221" t="s">
        <v>2372</v>
      </c>
      <c r="B1" s="3351" t="s">
        <v>3251</v>
      </c>
      <c r="C1" s="3352"/>
      <c r="D1" s="3222" t="s">
        <v>3252</v>
      </c>
      <c r="E1" s="3222" t="s">
        <v>3253</v>
      </c>
      <c r="F1" s="3222" t="s">
        <v>3254</v>
      </c>
      <c r="I1" s="3259" t="s">
        <v>3360</v>
      </c>
      <c r="J1" s="3263" t="s">
        <v>3359</v>
      </c>
      <c r="K1" s="3264" t="s">
        <v>3356</v>
      </c>
      <c r="L1" s="3265">
        <f>M15</f>
        <v>281.66000000000003</v>
      </c>
      <c r="M1" s="3266">
        <f>ROUNDDOWN(L1/L2*I5/10000,0)</f>
        <v>81593</v>
      </c>
    </row>
    <row r="2" spans="1:13" ht="17.25" thickBot="1">
      <c r="A2" s="3223">
        <v>1</v>
      </c>
      <c r="B2" s="3349" t="s">
        <v>3255</v>
      </c>
      <c r="C2" s="3350"/>
      <c r="D2" s="3224" t="s">
        <v>3256</v>
      </c>
      <c r="E2" s="3224">
        <v>187776</v>
      </c>
      <c r="F2" s="3224">
        <v>281.66000000000003</v>
      </c>
      <c r="I2" s="3260">
        <v>1000000000</v>
      </c>
      <c r="J2" s="3267"/>
      <c r="K2" s="3268" t="s">
        <v>3357</v>
      </c>
      <c r="L2" s="3269">
        <v>3510</v>
      </c>
      <c r="M2" s="3270">
        <f>I5/10000</f>
        <v>1016800</v>
      </c>
    </row>
    <row r="3" spans="1:13" ht="17.25" thickBot="1">
      <c r="A3" s="3223">
        <v>2</v>
      </c>
      <c r="B3" s="3349" t="s">
        <v>3257</v>
      </c>
      <c r="C3" s="3350"/>
      <c r="D3" s="3224" t="s">
        <v>3256</v>
      </c>
      <c r="E3" s="3224">
        <v>780734</v>
      </c>
      <c r="F3" s="3225"/>
      <c r="I3" s="3260">
        <v>5499000000</v>
      </c>
      <c r="J3" s="3267"/>
      <c r="K3" s="3267"/>
      <c r="L3" s="3267"/>
      <c r="M3" s="3267"/>
    </row>
    <row r="4" spans="1:13" ht="17.25" thickBot="1">
      <c r="A4" s="3223">
        <v>3</v>
      </c>
      <c r="B4" s="3349" t="s">
        <v>3258</v>
      </c>
      <c r="C4" s="3350"/>
      <c r="D4" s="3224" t="s">
        <v>3256</v>
      </c>
      <c r="E4" s="3224">
        <v>605549</v>
      </c>
      <c r="F4" s="3225"/>
      <c r="I4" s="3260">
        <v>3669000000</v>
      </c>
      <c r="J4" s="3263" t="s">
        <v>3361</v>
      </c>
      <c r="K4" s="3264" t="s">
        <v>3356</v>
      </c>
      <c r="L4" s="3265">
        <f>M15</f>
        <v>281.66000000000003</v>
      </c>
      <c r="M4" s="3266">
        <f>ROUND(L4/L5*M5,0)</f>
        <v>95492</v>
      </c>
    </row>
    <row r="5" spans="1:13" ht="17.25" thickBot="1">
      <c r="A5" s="3223">
        <v>3.1</v>
      </c>
      <c r="B5" s="3353" t="s">
        <v>3259</v>
      </c>
      <c r="C5" s="3226" t="s">
        <v>3260</v>
      </c>
      <c r="D5" s="3224" t="s">
        <v>3256</v>
      </c>
      <c r="E5" s="3224">
        <v>536085</v>
      </c>
      <c r="F5" s="3225"/>
      <c r="I5" s="3261">
        <f>SUM(I2:I4)</f>
        <v>10168000000</v>
      </c>
      <c r="J5" s="3267"/>
      <c r="K5" s="3268" t="s">
        <v>3357</v>
      </c>
      <c r="L5" s="3269">
        <v>3510</v>
      </c>
      <c r="M5" s="3270">
        <v>1190000</v>
      </c>
    </row>
    <row r="6" spans="1:13" ht="17.25" thickBot="1">
      <c r="A6" s="3223">
        <v>3.2</v>
      </c>
      <c r="B6" s="3354"/>
      <c r="C6" s="3226" t="s">
        <v>3261</v>
      </c>
      <c r="D6" s="3224" t="s">
        <v>3256</v>
      </c>
      <c r="E6" s="3224">
        <v>35629</v>
      </c>
      <c r="F6" s="3225"/>
    </row>
    <row r="7" spans="1:13" ht="17.25" thickBot="1">
      <c r="A7" s="3223">
        <v>3.3</v>
      </c>
      <c r="B7" s="3354"/>
      <c r="C7" s="3226" t="s">
        <v>3262</v>
      </c>
      <c r="D7" s="3224" t="s">
        <v>3256</v>
      </c>
      <c r="E7" s="3224">
        <v>7794</v>
      </c>
      <c r="F7" s="3225"/>
    </row>
    <row r="8" spans="1:13" s="3258" customFormat="1" ht="17.25" thickBot="1">
      <c r="A8" s="3254">
        <v>3.4</v>
      </c>
      <c r="B8" s="3354"/>
      <c r="C8" s="3255" t="s">
        <v>3263</v>
      </c>
      <c r="D8" s="3256" t="s">
        <v>3256</v>
      </c>
      <c r="E8" s="3256">
        <v>5900</v>
      </c>
      <c r="F8" s="3257"/>
    </row>
    <row r="9" spans="1:13" s="3244" customFormat="1" ht="17.25" thickBot="1">
      <c r="A9" s="3240">
        <v>3.5</v>
      </c>
      <c r="B9" s="3355"/>
      <c r="C9" s="3241" t="s">
        <v>3264</v>
      </c>
      <c r="D9" s="3242" t="s">
        <v>3256</v>
      </c>
      <c r="E9" s="3242">
        <v>20141</v>
      </c>
      <c r="F9" s="3243"/>
    </row>
    <row r="10" spans="1:13" ht="17.25" thickBot="1">
      <c r="A10" s="3223">
        <v>4</v>
      </c>
      <c r="B10" s="3349" t="s">
        <v>3265</v>
      </c>
      <c r="C10" s="3350"/>
      <c r="D10" s="3224" t="s">
        <v>3256</v>
      </c>
      <c r="E10" s="3224">
        <v>175185</v>
      </c>
      <c r="F10" s="3225"/>
    </row>
    <row r="11" spans="1:13" ht="17.25" thickBot="1">
      <c r="A11" s="3223">
        <v>4.0999999999999996</v>
      </c>
      <c r="B11" s="3356" t="s">
        <v>3259</v>
      </c>
      <c r="C11" s="3226" t="s">
        <v>3266</v>
      </c>
      <c r="D11" s="3224" t="s">
        <v>3256</v>
      </c>
      <c r="E11" s="3224">
        <v>155442.47</v>
      </c>
      <c r="F11" s="3225" t="s">
        <v>3267</v>
      </c>
      <c r="G11">
        <v>43812</v>
      </c>
    </row>
    <row r="12" spans="1:13" ht="17.25" thickBot="1">
      <c r="A12" s="3223">
        <v>4.2</v>
      </c>
      <c r="B12" s="3357"/>
      <c r="C12" s="3226" t="s">
        <v>3268</v>
      </c>
      <c r="D12" s="3224" t="s">
        <v>3256</v>
      </c>
      <c r="E12" s="3224">
        <v>19742.45</v>
      </c>
      <c r="F12" s="3225"/>
      <c r="L12" s="3274" t="s">
        <v>3368</v>
      </c>
    </row>
    <row r="13" spans="1:13" ht="17.25" thickBot="1">
      <c r="A13" s="3223">
        <v>5</v>
      </c>
      <c r="B13" s="3349" t="s">
        <v>3269</v>
      </c>
      <c r="C13" s="3350"/>
      <c r="D13" s="3224" t="s">
        <v>3256</v>
      </c>
      <c r="E13" s="3224">
        <v>46944</v>
      </c>
      <c r="F13" s="3225"/>
      <c r="K13" s="3274" t="s">
        <v>3367</v>
      </c>
      <c r="L13">
        <f>'数据-汇总表'!D3</f>
        <v>161741.64000000001</v>
      </c>
    </row>
    <row r="14" spans="1:13" ht="14.25" thickBot="1">
      <c r="A14" s="3223">
        <v>6</v>
      </c>
      <c r="B14" s="3349" t="s">
        <v>2030</v>
      </c>
      <c r="C14" s="3350"/>
      <c r="D14" s="3225"/>
      <c r="E14" s="3224">
        <v>3.7</v>
      </c>
      <c r="F14" s="3225"/>
      <c r="K14" s="3274" t="s">
        <v>3369</v>
      </c>
      <c r="L14">
        <v>26035.34</v>
      </c>
    </row>
    <row r="15" spans="1:13" ht="14.25" thickBot="1">
      <c r="A15" s="3223">
        <v>7</v>
      </c>
      <c r="B15" s="3349" t="s">
        <v>3270</v>
      </c>
      <c r="C15" s="3350"/>
      <c r="D15" s="3224" t="s">
        <v>3271</v>
      </c>
      <c r="E15" s="3224">
        <v>25</v>
      </c>
      <c r="F15" s="3225"/>
      <c r="L15">
        <f>SUM(L13:L14)</f>
        <v>187776.98</v>
      </c>
      <c r="M15">
        <f>ROUND(L15/666.67,2)</f>
        <v>281.66000000000003</v>
      </c>
    </row>
    <row r="16" spans="1:13" ht="14.25" thickBot="1">
      <c r="A16" s="3223">
        <v>8</v>
      </c>
      <c r="B16" s="3349" t="s">
        <v>3272</v>
      </c>
      <c r="C16" s="3350"/>
      <c r="D16" s="3224" t="s">
        <v>3271</v>
      </c>
      <c r="E16" s="3224">
        <v>30</v>
      </c>
      <c r="F16" s="3225"/>
    </row>
    <row r="17" spans="1:6" ht="17.25" thickBot="1">
      <c r="A17" s="3223">
        <v>9</v>
      </c>
      <c r="B17" s="3349" t="s">
        <v>3273</v>
      </c>
      <c r="C17" s="3350"/>
      <c r="D17" s="3224" t="s">
        <v>3256</v>
      </c>
      <c r="E17" s="3227">
        <v>84499.199999999997</v>
      </c>
      <c r="F17" s="3225"/>
    </row>
    <row r="18" spans="1:6" ht="17.25" thickBot="1">
      <c r="A18" s="3223">
        <v>10</v>
      </c>
      <c r="B18" s="3349" t="s">
        <v>3274</v>
      </c>
      <c r="C18" s="3350"/>
      <c r="D18" s="3224" t="s">
        <v>3256</v>
      </c>
      <c r="E18" s="3227">
        <v>56332.800000000003</v>
      </c>
      <c r="F18" s="3225"/>
    </row>
    <row r="19" spans="1:6" ht="14.25" thickBot="1">
      <c r="A19" s="3223">
        <v>11</v>
      </c>
      <c r="B19" s="3358" t="s">
        <v>3275</v>
      </c>
      <c r="C19" s="3359"/>
      <c r="D19" s="3225" t="s">
        <v>3276</v>
      </c>
      <c r="E19" s="3224">
        <v>4300</v>
      </c>
      <c r="F19" s="3225"/>
    </row>
    <row r="20" spans="1:6" ht="14.25" thickBot="1">
      <c r="A20" s="3223">
        <v>12</v>
      </c>
      <c r="B20" s="3358" t="s">
        <v>3277</v>
      </c>
      <c r="C20" s="3359"/>
      <c r="D20" s="3225" t="s">
        <v>3278</v>
      </c>
      <c r="E20" s="3224">
        <v>12470</v>
      </c>
      <c r="F20" s="3225" t="s">
        <v>3279</v>
      </c>
    </row>
    <row r="21" spans="1:6" ht="14.25" thickBot="1">
      <c r="A21" s="3223">
        <v>13</v>
      </c>
      <c r="B21" s="3349" t="s">
        <v>3280</v>
      </c>
      <c r="C21" s="3350"/>
      <c r="D21" s="3226" t="s">
        <v>3281</v>
      </c>
      <c r="E21" s="3227">
        <v>5725</v>
      </c>
      <c r="F21" s="3228"/>
    </row>
    <row r="22" spans="1:6" ht="14.25" thickBot="1">
      <c r="A22" s="3223">
        <v>13.1</v>
      </c>
      <c r="B22" s="3356" t="s">
        <v>3259</v>
      </c>
      <c r="C22" s="3226" t="s">
        <v>3282</v>
      </c>
      <c r="D22" s="3226" t="s">
        <v>3281</v>
      </c>
      <c r="E22" s="3227">
        <v>573</v>
      </c>
      <c r="F22" s="3225"/>
    </row>
    <row r="23" spans="1:6" ht="14.25" thickBot="1">
      <c r="A23" s="3223">
        <v>13.2</v>
      </c>
      <c r="B23" s="3357"/>
      <c r="C23" s="3226" t="s">
        <v>3283</v>
      </c>
      <c r="D23" s="3226" t="s">
        <v>3281</v>
      </c>
      <c r="E23" s="3227">
        <v>5153</v>
      </c>
      <c r="F23" s="3226"/>
    </row>
    <row r="24" spans="1:6" ht="14.25" thickBot="1">
      <c r="A24" s="3223">
        <v>14</v>
      </c>
      <c r="B24" s="3349" t="s">
        <v>3284</v>
      </c>
      <c r="C24" s="3350"/>
      <c r="D24" s="3226"/>
      <c r="E24" s="3227">
        <v>10071</v>
      </c>
      <c r="F24" s="3228"/>
    </row>
  </sheetData>
  <mergeCells count="18">
    <mergeCell ref="B24:C24"/>
    <mergeCell ref="B11:B12"/>
    <mergeCell ref="B13:C13"/>
    <mergeCell ref="B14:C14"/>
    <mergeCell ref="B15:C15"/>
    <mergeCell ref="B16:C16"/>
    <mergeCell ref="B17:C17"/>
    <mergeCell ref="B18:C18"/>
    <mergeCell ref="B19:C19"/>
    <mergeCell ref="B20:C20"/>
    <mergeCell ref="B21:C21"/>
    <mergeCell ref="B22:B23"/>
    <mergeCell ref="B10:C10"/>
    <mergeCell ref="B1:C1"/>
    <mergeCell ref="B2:C2"/>
    <mergeCell ref="B3:C3"/>
    <mergeCell ref="B4:C4"/>
    <mergeCell ref="B5:B9"/>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25" sqref="F25"/>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369" t="s">
        <v>203</v>
      </c>
      <c r="B2" s="3369"/>
      <c r="C2" s="3369"/>
      <c r="D2" s="1959" t="s">
        <v>204</v>
      </c>
      <c r="E2" s="106" t="s">
        <v>205</v>
      </c>
      <c r="F2" s="1968"/>
      <c r="G2" s="1193"/>
      <c r="H2" s="1194"/>
      <c r="I2" s="1195" t="s">
        <v>857</v>
      </c>
      <c r="J2" s="1968"/>
      <c r="K2" s="1968"/>
      <c r="L2" s="1968"/>
    </row>
    <row r="3" spans="1:16" ht="15.75" thickBot="1">
      <c r="A3" s="3370" t="s">
        <v>206</v>
      </c>
      <c r="B3" s="3370"/>
      <c r="C3" s="3370"/>
      <c r="D3" s="107">
        <f>'数据-基础表'!AY6</f>
        <v>161741.64000000001</v>
      </c>
      <c r="E3" s="107">
        <f>'数据-基础表'!AZ5</f>
        <v>760592.91999999993</v>
      </c>
      <c r="F3" s="1968"/>
      <c r="G3" s="280" t="s">
        <v>858</v>
      </c>
      <c r="H3" s="275" t="s">
        <v>859</v>
      </c>
      <c r="I3" s="1960">
        <f>ROUND('数据-基础表'!B3/'数据-基础表'!A3,2)</f>
        <v>4.7</v>
      </c>
      <c r="J3" s="1968"/>
      <c r="K3" s="1968"/>
      <c r="L3" s="1968"/>
    </row>
    <row r="4" spans="1:16" ht="15">
      <c r="A4" s="3371"/>
      <c r="B4" s="3372"/>
      <c r="C4" s="3373"/>
      <c r="D4" s="108" t="s">
        <v>204</v>
      </c>
      <c r="E4" s="109" t="s">
        <v>205</v>
      </c>
      <c r="F4" s="1968"/>
      <c r="G4" s="1196"/>
      <c r="H4" s="275" t="s">
        <v>860</v>
      </c>
      <c r="I4" s="1960">
        <f>ROUND(SUMIF('数据-基础表'!I9:AS9,"地上",'数据-基础表'!I5:AS5)/'数据-基础表'!A3,2)</f>
        <v>3.62</v>
      </c>
      <c r="J4" s="1968"/>
      <c r="K4" s="1968"/>
      <c r="L4" s="1968"/>
    </row>
    <row r="5" spans="1:16">
      <c r="A5" s="110" t="s">
        <v>207</v>
      </c>
      <c r="B5" s="3374" t="s">
        <v>230</v>
      </c>
      <c r="C5" s="3374"/>
      <c r="D5" s="111">
        <f>ROUND($D$3*E5/$E$3,2)</f>
        <v>113999.57</v>
      </c>
      <c r="E5" s="112">
        <f>SUMIF('数据-基础表'!$11:$11,"住宅",'数据-基础表'!$5:$5)</f>
        <v>536085</v>
      </c>
      <c r="F5" s="1968"/>
      <c r="G5" s="280" t="s">
        <v>861</v>
      </c>
      <c r="H5" s="275" t="s">
        <v>859</v>
      </c>
      <c r="I5" s="1960">
        <f>ROUND(E31/D31,2)</f>
        <v>4.7</v>
      </c>
      <c r="J5" s="1968"/>
      <c r="K5" s="1968"/>
      <c r="L5" s="1968"/>
    </row>
    <row r="6" spans="1:16" ht="15" thickBot="1">
      <c r="A6" s="113"/>
      <c r="B6" s="3374" t="s">
        <v>208</v>
      </c>
      <c r="C6" s="3374"/>
      <c r="D6" s="111">
        <f>ROUND($D$3*E6/$E$3,2)</f>
        <v>47742.07</v>
      </c>
      <c r="E6" s="112">
        <f>E3-E5</f>
        <v>224507.91999999993</v>
      </c>
      <c r="F6" s="1968"/>
      <c r="G6" s="1196"/>
      <c r="H6" s="275" t="s">
        <v>860</v>
      </c>
      <c r="I6" s="1960">
        <f>ROUND(F31/D31,2)</f>
        <v>3.62</v>
      </c>
      <c r="J6" s="1968"/>
      <c r="K6" s="1968"/>
      <c r="L6" s="1968"/>
    </row>
    <row r="7" spans="1:16" ht="15">
      <c r="A7" s="3366"/>
      <c r="B7" s="3367"/>
      <c r="C7" s="3368"/>
      <c r="D7" s="108" t="s">
        <v>204</v>
      </c>
      <c r="E7" s="114" t="s">
        <v>231</v>
      </c>
      <c r="F7" s="1968"/>
      <c r="G7" s="1151" t="s">
        <v>1645</v>
      </c>
      <c r="H7" s="1152"/>
      <c r="I7" s="1830"/>
      <c r="J7" s="1968"/>
      <c r="K7" s="1968"/>
      <c r="L7" s="1968"/>
    </row>
    <row r="8" spans="1:16">
      <c r="A8" s="110" t="s">
        <v>209</v>
      </c>
      <c r="B8" s="115" t="s">
        <v>210</v>
      </c>
      <c r="C8" s="111" t="s">
        <v>211</v>
      </c>
      <c r="D8" s="111">
        <f t="shared" ref="D8:D15" si="0">ROUND($D$3*E8/$E$3,2)</f>
        <v>121576.15</v>
      </c>
      <c r="E8" s="116">
        <f>SUMIF('数据-基础表'!BB10:BK10,"地上",'数据-基础表'!BB5:BK5)</f>
        <v>571714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23738.45</v>
      </c>
      <c r="E13" s="116">
        <f>SUMPRODUCT(('数据-基础表'!BB10:BK10="地下")*('数据-基础表'!BB11:BK11="车库")*('数据-基础表'!BB5:BK5))</f>
        <v>111630.47</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145314.6</v>
      </c>
      <c r="E16" s="120">
        <f>SUM(E8:E15)</f>
        <v>683344.47</v>
      </c>
      <c r="F16" s="1968"/>
      <c r="G16" s="1970"/>
      <c r="H16" s="967" t="s">
        <v>219</v>
      </c>
      <c r="I16" s="968"/>
      <c r="J16" s="1968"/>
      <c r="K16" s="3360" t="s">
        <v>2563</v>
      </c>
      <c r="L16" s="3361"/>
      <c r="M16" s="3361"/>
      <c r="N16" s="3361"/>
      <c r="O16" s="3361"/>
      <c r="P16" s="3362"/>
    </row>
    <row r="17" spans="1:19" ht="15">
      <c r="A17" s="121" t="s">
        <v>216</v>
      </c>
      <c r="B17" s="122" t="s">
        <v>217</v>
      </c>
      <c r="C17" s="2282" t="s">
        <v>2311</v>
      </c>
      <c r="D17" s="108" t="s">
        <v>204</v>
      </c>
      <c r="E17" s="124" t="s">
        <v>205</v>
      </c>
      <c r="F17" s="125"/>
      <c r="G17" s="1361"/>
      <c r="H17" s="969" t="s">
        <v>218</v>
      </c>
      <c r="I17" s="970" t="s">
        <v>2310</v>
      </c>
      <c r="J17" s="1968"/>
      <c r="K17" s="3363" t="s">
        <v>2564</v>
      </c>
      <c r="L17" s="3364"/>
      <c r="M17" s="3365"/>
      <c r="N17" s="3363" t="s">
        <v>2565</v>
      </c>
      <c r="O17" s="3364"/>
      <c r="P17" s="3365"/>
      <c r="R17" s="2283" t="s">
        <v>2309</v>
      </c>
      <c r="S17" s="144"/>
    </row>
    <row r="18" spans="1:19" ht="15">
      <c r="A18" s="117"/>
      <c r="B18" s="128"/>
      <c r="C18" s="129"/>
      <c r="D18" s="2605"/>
      <c r="E18" s="130" t="s">
        <v>220</v>
      </c>
      <c r="F18" s="131" t="s">
        <v>221</v>
      </c>
      <c r="G18" s="1362" t="s">
        <v>222</v>
      </c>
      <c r="H18" s="971" t="s">
        <v>223</v>
      </c>
      <c r="I18" s="972" t="s">
        <v>224</v>
      </c>
      <c r="J18" s="1968"/>
      <c r="K18" s="2568" t="s">
        <v>2566</v>
      </c>
      <c r="L18" s="2569" t="s">
        <v>2567</v>
      </c>
      <c r="M18" s="2570" t="s">
        <v>2568</v>
      </c>
      <c r="N18" s="2568" t="s">
        <v>2566</v>
      </c>
      <c r="O18" s="2569" t="s">
        <v>2567</v>
      </c>
      <c r="P18" s="2570" t="s">
        <v>2568</v>
      </c>
      <c r="R18" s="2284" t="s">
        <v>2307</v>
      </c>
      <c r="S18" s="2284" t="s">
        <v>2308</v>
      </c>
    </row>
    <row r="19" spans="1:19">
      <c r="A19" s="133"/>
      <c r="B19" s="115" t="s">
        <v>225</v>
      </c>
      <c r="C19" s="2976" t="s">
        <v>3191</v>
      </c>
      <c r="D19" s="111">
        <f t="shared" ref="D19:D26" si="1">ROUND($D$3*E19/$E$3,2)</f>
        <v>113999.57</v>
      </c>
      <c r="E19" s="134">
        <f t="shared" ref="E19:E26" si="2">SUM(F19:G19)</f>
        <v>536085</v>
      </c>
      <c r="F19" s="135">
        <f>'数据-基础表'!I13</f>
        <v>536085</v>
      </c>
      <c r="G19" s="1363"/>
      <c r="H19" s="973">
        <f>ROUND($D$3*I19/$E$3,2)</f>
        <v>12887.04</v>
      </c>
      <c r="I19" s="116">
        <f>IF($I$17="自定义",P19,M19)</f>
        <v>60601.55</v>
      </c>
      <c r="J19" s="1968"/>
      <c r="K19" s="2571">
        <f t="shared" ref="K19:K26" si="3">ROUND(E$28*E19/E$27,2)</f>
        <v>60601.55</v>
      </c>
      <c r="L19" s="275">
        <f t="shared" ref="L19:L26" si="4">ROUND(IF(COUNTIF(C19,"*住宅*")&gt;0,E$29*E19/E$32,0),2)</f>
        <v>0</v>
      </c>
      <c r="M19" s="2572">
        <f>K19+L19</f>
        <v>60601.55</v>
      </c>
      <c r="N19" s="2573"/>
      <c r="O19" s="2574"/>
      <c r="P19" s="2575">
        <f>N19+O19</f>
        <v>0</v>
      </c>
      <c r="R19" s="275">
        <f t="shared" ref="R19:S26" si="5">D19+H19</f>
        <v>126886.61000000002</v>
      </c>
      <c r="S19" s="2285">
        <f t="shared" si="5"/>
        <v>596686.55000000005</v>
      </c>
    </row>
    <row r="20" spans="1:19">
      <c r="A20" s="138"/>
      <c r="B20" s="115" t="s">
        <v>226</v>
      </c>
      <c r="C20" s="2976" t="s">
        <v>3192</v>
      </c>
      <c r="D20" s="111">
        <f t="shared" si="1"/>
        <v>7576.58</v>
      </c>
      <c r="E20" s="134">
        <f t="shared" si="2"/>
        <v>35629</v>
      </c>
      <c r="F20" s="135">
        <f>'数据-基础表'!K13</f>
        <v>35629</v>
      </c>
      <c r="G20" s="1363"/>
      <c r="H20" s="973">
        <f t="shared" ref="H20:H26" si="6">ROUND($D$3*I20/$E$3,2)</f>
        <v>856.49</v>
      </c>
      <c r="I20" s="116">
        <f t="shared" ref="I20:I26" si="7">IF($I$17="自定义",P20,M20)</f>
        <v>4027.67</v>
      </c>
      <c r="J20" s="1968"/>
      <c r="K20" s="2571">
        <f t="shared" si="3"/>
        <v>4027.67</v>
      </c>
      <c r="L20" s="275">
        <f t="shared" si="4"/>
        <v>0</v>
      </c>
      <c r="M20" s="2572">
        <f t="shared" ref="M20:M26" si="8">K20+L20</f>
        <v>4027.67</v>
      </c>
      <c r="N20" s="2573"/>
      <c r="O20" s="2574"/>
      <c r="P20" s="2575">
        <f t="shared" ref="P20:P26" si="9">N20+O20</f>
        <v>0</v>
      </c>
      <c r="R20" s="275">
        <f t="shared" si="5"/>
        <v>8433.07</v>
      </c>
      <c r="S20" s="2285">
        <f t="shared" si="5"/>
        <v>39656.67</v>
      </c>
    </row>
    <row r="21" spans="1:19">
      <c r="A21" s="138"/>
      <c r="B21" s="115" t="s">
        <v>226</v>
      </c>
      <c r="C21" s="2976" t="s">
        <v>3286</v>
      </c>
      <c r="D21" s="111">
        <f t="shared" si="1"/>
        <v>23738.45</v>
      </c>
      <c r="E21" s="134">
        <f t="shared" si="2"/>
        <v>111630.47</v>
      </c>
      <c r="F21" s="135"/>
      <c r="G21" s="1363">
        <f>'数据-基础表'!M13</f>
        <v>111630.47</v>
      </c>
      <c r="H21" s="973">
        <f t="shared" si="6"/>
        <v>2683.51</v>
      </c>
      <c r="I21" s="116">
        <f t="shared" si="7"/>
        <v>12619.23</v>
      </c>
      <c r="J21" s="1968"/>
      <c r="K21" s="2571">
        <f t="shared" si="3"/>
        <v>12619.23</v>
      </c>
      <c r="L21" s="275">
        <f t="shared" si="4"/>
        <v>0</v>
      </c>
      <c r="M21" s="2572">
        <f t="shared" si="8"/>
        <v>12619.23</v>
      </c>
      <c r="N21" s="2573"/>
      <c r="O21" s="2574"/>
      <c r="P21" s="2575">
        <f t="shared" si="9"/>
        <v>0</v>
      </c>
      <c r="R21" s="275">
        <f t="shared" si="5"/>
        <v>26421.96</v>
      </c>
      <c r="S21" s="2285">
        <f t="shared" si="5"/>
        <v>124249.7</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145314.6</v>
      </c>
      <c r="E27" s="143">
        <f>IF(SUM(E19:E26)='数据-基础表'!BA5,SUM(E19:E26),IF(F27="地上面积有误","面积有误","地下面积有误"))</f>
        <v>683344.47</v>
      </c>
      <c r="F27" s="134">
        <f>IF(SUM(F19:F26)=E8,SUM(F19:F26),"地上面积有误")</f>
        <v>571714</v>
      </c>
      <c r="G27" s="112">
        <f>SUM(G19:G26)</f>
        <v>111630.47</v>
      </c>
      <c r="H27" s="974">
        <f>SUM(H19:H26)</f>
        <v>16427.04</v>
      </c>
      <c r="I27" s="975">
        <f>SUM(I19:I26)</f>
        <v>77248.45</v>
      </c>
      <c r="J27" s="1968"/>
      <c r="K27" s="2580">
        <f>SUM(K19:K26)</f>
        <v>77248.45</v>
      </c>
      <c r="L27" s="2581">
        <f>SUM(L19:L26)</f>
        <v>0</v>
      </c>
      <c r="M27" s="2582">
        <f>SUM(M19:M26)</f>
        <v>77248.45</v>
      </c>
      <c r="N27" s="2580">
        <f t="shared" ref="N27:O27" si="10">SUM(N19:N26)</f>
        <v>0</v>
      </c>
      <c r="O27" s="2581">
        <f t="shared" si="10"/>
        <v>0</v>
      </c>
      <c r="P27" s="2583">
        <f>SUM(P19:P26)</f>
        <v>0</v>
      </c>
      <c r="R27" s="2289">
        <f>IF(SUM(R19:R26)=$D$3,SUM(R19:R26),SUM(R19:R26)&amp;"误差"&amp;ROUND(SUM(R19:R26)-$D$3,2))</f>
        <v>161741.64000000001</v>
      </c>
      <c r="S27" s="275">
        <f>IF(SUM(S19:S26)=$E$3,SUM(S19:S26),SUM(S19:S26)&amp;"误差"&amp;ROUND(SUM(S19:S26)-E3,2))</f>
        <v>760592.92</v>
      </c>
    </row>
    <row r="28" spans="1:19">
      <c r="A28" s="138"/>
      <c r="B28" s="115" t="s">
        <v>227</v>
      </c>
      <c r="C28" s="136" t="s">
        <v>228</v>
      </c>
      <c r="D28" s="111">
        <f>ROUND($D$3*E28/$E$3,2)</f>
        <v>16427.04</v>
      </c>
      <c r="E28" s="134">
        <f>SUM(F28:G28)</f>
        <v>77248.45</v>
      </c>
      <c r="F28" s="144">
        <f>'数据-基础表'!BQ5+'数据-基础表'!BS5</f>
        <v>13694</v>
      </c>
      <c r="G28" s="145">
        <f>'数据-基础表'!BR5+'数据-基础表'!BT5</f>
        <v>63554.45</v>
      </c>
      <c r="H28" s="1968"/>
      <c r="I28" s="1968"/>
      <c r="J28" s="1968"/>
      <c r="K28" s="1968"/>
      <c r="L28" s="1968"/>
    </row>
    <row r="29" spans="1:19">
      <c r="A29" s="138"/>
      <c r="B29" s="115" t="s">
        <v>227</v>
      </c>
      <c r="C29" s="2297" t="s">
        <v>2318</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16427.04</v>
      </c>
      <c r="E30" s="134">
        <f>SUM(E28:E29)</f>
        <v>77248.45</v>
      </c>
      <c r="F30" s="134">
        <f>SUM(F28:F29)</f>
        <v>13694</v>
      </c>
      <c r="G30" s="112">
        <f>SUM(G28:G29)</f>
        <v>63554.45</v>
      </c>
      <c r="H30" s="1968"/>
      <c r="I30" s="1968"/>
      <c r="J30" s="1968"/>
      <c r="K30" s="1968"/>
      <c r="L30" s="1968"/>
    </row>
    <row r="31" spans="1:19" ht="32.25" customHeight="1" thickBot="1">
      <c r="A31" s="1365"/>
      <c r="B31" s="1366" t="s">
        <v>229</v>
      </c>
      <c r="C31" s="2314" t="s">
        <v>2320</v>
      </c>
      <c r="D31" s="1367">
        <f>D27+D30</f>
        <v>161741.64000000001</v>
      </c>
      <c r="E31" s="1367">
        <f>E27+E30</f>
        <v>760592.91999999993</v>
      </c>
      <c r="F31" s="1368">
        <f>F27+F30</f>
        <v>585408</v>
      </c>
      <c r="G31" s="1369">
        <f>G27+G30</f>
        <v>175184.91999999998</v>
      </c>
      <c r="H31" s="1968"/>
      <c r="I31" s="1968"/>
      <c r="J31" s="1968"/>
      <c r="K31" s="1968"/>
      <c r="L31" s="1968"/>
    </row>
    <row r="32" spans="1:19">
      <c r="A32" s="1968"/>
      <c r="B32" s="2326" t="s">
        <v>2319</v>
      </c>
      <c r="C32" s="2610"/>
      <c r="D32" s="1196"/>
      <c r="E32" s="1196">
        <f>SUMIF(C19:C26,"*住宅*",E19:E26)</f>
        <v>536085</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K6" activePane="bottomRight" state="frozen"/>
      <selection pane="topRight" activeCell="D1" sqref="D1"/>
      <selection pane="bottomLeft" activeCell="A4" sqref="A4"/>
      <selection pane="bottomRight" activeCell="M30" sqref="M30"/>
    </sheetView>
  </sheetViews>
  <sheetFormatPr defaultColWidth="13.62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125" style="1198" customWidth="1"/>
    <col min="26" max="30" width="6.625" style="1198" hidden="1" customWidth="1"/>
    <col min="31" max="31" width="6.5" style="1198" customWidth="1"/>
    <col min="32" max="34" width="7.125" style="1198" customWidth="1"/>
    <col min="35" max="39" width="8" style="1198" customWidth="1"/>
    <col min="40" max="41" width="13.625" style="1982"/>
    <col min="42" max="42" width="0" style="1982" hidden="1" customWidth="1"/>
    <col min="43" max="83" width="13.625" style="1982"/>
    <col min="84" max="16384" width="13.62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43621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69160</v>
      </c>
      <c r="F6" s="174">
        <f>SUMIF(项目基本情况!D$15:I$15,C6,项目基本情况!D$19:I$19)</f>
        <v>69.959999999999994</v>
      </c>
      <c r="G6" s="175">
        <f>IF(ISERROR(ROUND(POWER(1+H6,D6-F6)*(POWER(1+H6,F6)-1)/(POWER(1+H6,D6)-1),3)),0,ROUND(POWER(1+H6,D6-F6)*(POWER(1+H6,F6)-1)/(POWER(1+H6,D6)-1),3))</f>
        <v>1</v>
      </c>
      <c r="H6" s="2977">
        <v>4.4999999999999998E-2</v>
      </c>
      <c r="I6" s="2977">
        <v>5.5E-2</v>
      </c>
      <c r="J6" s="176">
        <v>8.5000000000000006E-2</v>
      </c>
      <c r="K6" s="179">
        <f>SUMIF('数据-汇总表'!C$19:C$33,'数据-取费表'!A6,'数据-汇总表'!E$19:E$33)</f>
        <v>536085</v>
      </c>
      <c r="L6" s="2978">
        <v>2900</v>
      </c>
      <c r="M6" s="177">
        <f t="shared" ref="M6:M14" si="0">ROUND(K6*L6/10000,0)</f>
        <v>155465</v>
      </c>
      <c r="N6" s="2979">
        <v>0</v>
      </c>
      <c r="O6" s="177">
        <f>IF($N$5="成新度","——",ROUND(M6*N6,0))</f>
        <v>0</v>
      </c>
      <c r="P6" s="178">
        <f>IF($N$5="成新度","——",M6-O6)</f>
        <v>155465</v>
      </c>
      <c r="Q6" s="2980">
        <v>0.25</v>
      </c>
      <c r="R6" s="179">
        <f>SUMIF('数据-汇总表'!C$19:C$33,A6,'数据-汇总表'!R$19:R$33)</f>
        <v>126886.61000000002</v>
      </c>
      <c r="S6" s="132">
        <f>IF('数据-汇总表'!$I$17="按面积比例",SUMIF('数据-汇总表'!C$19:C$33,A6,'数据-汇总表'!K$19:K$33),SUMIF('数据-汇总表'!C$19:C$33,A6,'数据-汇总表'!N$19:N$33))</f>
        <v>60601.55</v>
      </c>
      <c r="T6" s="2218">
        <f>IF($T$4="按面积比例",IF(ISERROR(ROUND($M$14*S6/S$16,0)),"0",ROUND($M$14*S6/S$16,0)),"需自行计算录入")</f>
        <v>13333</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3190</v>
      </c>
      <c r="D7" s="2292">
        <f>SUMIF(项目基本情况!D$15:I$15,C7,项目基本情况!D$18:I$18)</f>
        <v>40</v>
      </c>
      <c r="E7" s="2293">
        <f>IF(B7="","",SUMIF(项目基本情况!D$15:I$15,C7,项目基本情况!D$17:I$17))</f>
        <v>58202</v>
      </c>
      <c r="F7" s="174">
        <f>SUMIF(项目基本情况!D$15:I$15,C7,项目基本情况!D$19:I$19)</f>
        <v>39.94</v>
      </c>
      <c r="G7" s="175">
        <f t="shared" ref="G7:G11" si="2">IF(ISERROR(ROUND(POWER(1+H7,D7-F7)*(POWER(1+H7,F7)-1)/(POWER(1+H7,D7)-1),3)),0,ROUND(POWER(1+H7,D7-F7)*(POWER(1+H7,F7)-1)/(POWER(1+H7,D7)-1),3))</f>
        <v>1</v>
      </c>
      <c r="H7" s="2977">
        <v>0.05</v>
      </c>
      <c r="I7" s="2977">
        <v>0.06</v>
      </c>
      <c r="J7" s="176">
        <v>8.5000000000000006E-2</v>
      </c>
      <c r="K7" s="179">
        <f>SUMIF('数据-汇总表'!C$19:C$33,'数据-取费表'!A7,'数据-汇总表'!E$19:E$33)</f>
        <v>35629</v>
      </c>
      <c r="L7" s="2978">
        <v>2300</v>
      </c>
      <c r="M7" s="177">
        <f t="shared" si="0"/>
        <v>8195</v>
      </c>
      <c r="N7" s="2979">
        <v>0</v>
      </c>
      <c r="O7" s="177">
        <f t="shared" ref="O7:O14" si="3">IF($N$5="成新度","——",ROUND(M7*N7,0))</f>
        <v>0</v>
      </c>
      <c r="P7" s="178">
        <f t="shared" ref="P7:P14" si="4">IF($N$5="成新度","——",M7-O7)</f>
        <v>8195</v>
      </c>
      <c r="Q7" s="2980">
        <v>0.3</v>
      </c>
      <c r="R7" s="179">
        <f>SUMIF('数据-汇总表'!C$19:C$33,A7,'数据-汇总表'!R$19:R$33)</f>
        <v>8433.07</v>
      </c>
      <c r="S7" s="132">
        <f>IF('数据-汇总表'!$I$17="按面积比例",SUMIF('数据-汇总表'!C$19:C$33,A7,'数据-汇总表'!K$19:K$33),SUMIF('数据-汇总表'!C$19:C$33,A7,'数据-汇总表'!N$19:N$33))</f>
        <v>4027.67</v>
      </c>
      <c r="T7" s="2218">
        <f t="shared" ref="T7:T13" si="5">IF($T$4="按面积比例",IF(ISERROR(ROUND($M$14*S7/S$16,0)),"0",ROUND($M$14*S7/S$16,0)),"需自行计算录入")</f>
        <v>886</v>
      </c>
      <c r="U7" s="180">
        <v>3</v>
      </c>
      <c r="V7" s="181">
        <v>0.03</v>
      </c>
      <c r="W7" s="181">
        <v>0.1</v>
      </c>
      <c r="X7" s="2305"/>
      <c r="Y7" s="182">
        <v>1</v>
      </c>
      <c r="Z7" s="183"/>
      <c r="AA7" s="176"/>
      <c r="AB7" s="176"/>
      <c r="AC7" s="2308"/>
      <c r="AD7" s="184"/>
      <c r="AE7" s="971">
        <f t="shared" ref="AE7:AE13" ca="1" si="6">IF(AN7="",0,SUMIF(INDIRECT("'"&amp;AN7&amp;"'"&amp;"!E:E"),$AE$5,INDIRECT("'"&amp;AN7&amp;"'"&amp;"!F:F")))</f>
        <v>35.94</v>
      </c>
      <c r="AF7" s="141"/>
      <c r="AG7" s="1208">
        <f t="shared" ref="AG7:AG13" si="7">IF(AF7="",0,AE7-AF7)</f>
        <v>0</v>
      </c>
      <c r="AH7" s="141"/>
      <c r="AI7" s="187">
        <v>365</v>
      </c>
      <c r="AJ7" s="188"/>
      <c r="AK7" s="189">
        <v>1.4999999999999999E-2</v>
      </c>
      <c r="AL7" s="190">
        <v>1.5E-3</v>
      </c>
      <c r="AM7" s="2353">
        <v>1.4999999999999999E-2</v>
      </c>
      <c r="AN7" s="2355" t="s">
        <v>3309</v>
      </c>
      <c r="AO7" s="1984"/>
      <c r="AP7" s="1199">
        <f t="shared" ref="AP7:AP13" si="8">ROUND(1-1/(1+H7)^F7,3)</f>
        <v>0.85799999999999998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3211</v>
      </c>
      <c r="D8" s="2292">
        <f>SUMIF(项目基本情况!D$15:I$15,C8,项目基本情况!D$18:I$18)</f>
        <v>50</v>
      </c>
      <c r="E8" s="2293">
        <f>IF(B8="","",SUMIF(项目基本情况!D$15:I$15,C8,项目基本情况!D$17:I$17))</f>
        <v>61855</v>
      </c>
      <c r="F8" s="174">
        <f>SUMIF(项目基本情况!D$15:I$15,C8,项目基本情况!D$19:I$19)</f>
        <v>49.95</v>
      </c>
      <c r="G8" s="175">
        <f t="shared" si="2"/>
        <v>1</v>
      </c>
      <c r="H8" s="2977">
        <v>4.4999999999999998E-2</v>
      </c>
      <c r="I8" s="2977">
        <v>5.5E-2</v>
      </c>
      <c r="J8" s="176">
        <v>8.5000000000000006E-2</v>
      </c>
      <c r="K8" s="179">
        <f>SUMIF('数据-汇总表'!C$19:C$33,'数据-取费表'!A8,'数据-汇总表'!E$19:E$33)</f>
        <v>111630.47</v>
      </c>
      <c r="L8" s="2978">
        <v>2200</v>
      </c>
      <c r="M8" s="177">
        <f>ROUND(K8*L8/10000,0)</f>
        <v>24559</v>
      </c>
      <c r="N8" s="2979">
        <v>0</v>
      </c>
      <c r="O8" s="177">
        <f t="shared" si="3"/>
        <v>0</v>
      </c>
      <c r="P8" s="178">
        <f t="shared" si="4"/>
        <v>24559</v>
      </c>
      <c r="Q8" s="2980">
        <v>0.1</v>
      </c>
      <c r="R8" s="179">
        <f>SUMIF('数据-汇总表'!C$19:C$33,A8,'数据-汇总表'!R$19:R$33)</f>
        <v>26421.96</v>
      </c>
      <c r="S8" s="132">
        <f>IF('数据-汇总表'!$I$17="按面积比例",SUMIF('数据-汇总表'!C$19:C$33,A8,'数据-汇总表'!K$19:K$33),SUMIF('数据-汇总表'!C$19:C$33,A8,'数据-汇总表'!N$19:N$33))</f>
        <v>12619.23</v>
      </c>
      <c r="T8" s="2218">
        <f t="shared" si="5"/>
        <v>2776</v>
      </c>
      <c r="U8" s="180">
        <v>0.6</v>
      </c>
      <c r="V8" s="181">
        <v>0.03</v>
      </c>
      <c r="W8" s="181">
        <v>0.1</v>
      </c>
      <c r="X8" s="2305"/>
      <c r="Y8" s="182">
        <v>1</v>
      </c>
      <c r="Z8" s="183"/>
      <c r="AA8" s="176"/>
      <c r="AB8" s="176"/>
      <c r="AC8" s="2308"/>
      <c r="AD8" s="184"/>
      <c r="AE8" s="971">
        <f t="shared" ca="1" si="6"/>
        <v>45.95</v>
      </c>
      <c r="AF8" s="141"/>
      <c r="AG8" s="1208">
        <f t="shared" si="7"/>
        <v>0</v>
      </c>
      <c r="AH8" s="141"/>
      <c r="AI8" s="187">
        <v>365</v>
      </c>
      <c r="AJ8" s="188"/>
      <c r="AK8" s="189">
        <v>1.4999999999999999E-2</v>
      </c>
      <c r="AL8" s="190">
        <v>1.5E-3</v>
      </c>
      <c r="AM8" s="2353">
        <v>1.4999999999999999E-2</v>
      </c>
      <c r="AN8" s="2355" t="s">
        <v>3310</v>
      </c>
      <c r="AO8" s="1984"/>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2312</v>
      </c>
      <c r="B14" s="2290" t="s">
        <v>1679</v>
      </c>
      <c r="C14" s="2291" t="s">
        <v>2312</v>
      </c>
      <c r="D14" s="2292"/>
      <c r="E14" s="2293"/>
      <c r="F14" s="174"/>
      <c r="G14" s="175"/>
      <c r="H14" s="2294"/>
      <c r="I14" s="2294"/>
      <c r="J14" s="2294"/>
      <c r="K14" s="179">
        <f>SUMIF('数据-汇总表'!C$19:C$33,'数据-取费表'!A14,'数据-汇总表'!E$19:E$33)</f>
        <v>77248.45</v>
      </c>
      <c r="L14" s="193">
        <f>L8</f>
        <v>2200</v>
      </c>
      <c r="M14" s="177">
        <f t="shared" si="0"/>
        <v>16995</v>
      </c>
      <c r="N14" s="194">
        <v>0</v>
      </c>
      <c r="O14" s="177">
        <f t="shared" si="3"/>
        <v>0</v>
      </c>
      <c r="P14" s="178">
        <f t="shared" si="4"/>
        <v>16995</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2314</v>
      </c>
      <c r="B15" s="2290" t="s">
        <v>1679</v>
      </c>
      <c r="C15" s="2291" t="s">
        <v>2313</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760592.91999999993</v>
      </c>
      <c r="L16" s="206">
        <f>ROUND(M16*10000/SUM(K6:K14),0)</f>
        <v>2698</v>
      </c>
      <c r="M16" s="206">
        <f>SUM(M6:M14)</f>
        <v>205214</v>
      </c>
      <c r="N16" s="207">
        <f>ROUND(SUMPRODUCT(M6:M14,N6:N14)/M16,3)</f>
        <v>0</v>
      </c>
      <c r="O16" s="206">
        <f>SUM(O6:O14)</f>
        <v>0</v>
      </c>
      <c r="P16" s="206">
        <f>SUM(P6:P14)</f>
        <v>205214</v>
      </c>
      <c r="Q16" s="208">
        <f>ROUND(SUMPRODUCT(Q6:Q13,K6:K13)/SUMPRODUCT((Q6:Q13&gt;0)*(K6:K13)),2)</f>
        <v>0.23</v>
      </c>
      <c r="R16" s="2295">
        <f>SUM(R6:R13)</f>
        <v>161741.64000000001</v>
      </c>
      <c r="S16" s="209">
        <f>SUM(S6:S13)</f>
        <v>77248.45</v>
      </c>
      <c r="T16" s="210">
        <f>IF(SUMIF(T6:T13,"&lt;9E307")=M14,SUMIF(T6:T13,"&lt;9E307"),"有误，请检查")</f>
        <v>16995</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0.93799999999999994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3184" t="s">
        <v>3193</v>
      </c>
      <c r="L18" s="3375" t="s">
        <v>3194</v>
      </c>
      <c r="M18" s="3375"/>
      <c r="N18" s="3375"/>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3185"/>
      <c r="L19" s="3186" t="s">
        <v>3195</v>
      </c>
      <c r="M19" s="3186" t="s">
        <v>3196</v>
      </c>
      <c r="N19" s="3186" t="s">
        <v>3197</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2333</v>
      </c>
      <c r="D20" s="1977"/>
      <c r="E20" s="1976"/>
      <c r="F20" s="1976"/>
      <c r="G20" s="1976"/>
      <c r="H20" s="1976"/>
      <c r="I20" s="1976"/>
      <c r="J20" s="1976"/>
      <c r="K20" s="3187" t="s">
        <v>3198</v>
      </c>
      <c r="L20" s="3188">
        <v>1303</v>
      </c>
      <c r="M20" s="3188">
        <v>1625</v>
      </c>
      <c r="N20" s="3188">
        <v>1898</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2336</v>
      </c>
      <c r="B27" s="227">
        <v>90</v>
      </c>
      <c r="C27" s="3025" t="s">
        <v>3345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2337</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3253">
        <v>0.05</v>
      </c>
      <c r="C34" s="2328" t="s">
        <v>2889</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7" t="s">
        <v>2899</v>
      </c>
      <c r="D53" s="3028"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2901</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2902</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2903</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2904</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2905</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2906</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14',22);"/>
  </hyperlinks>
  <pageMargins left="0.7" right="0.7" top="0.75" bottom="0.75" header="0.3" footer="0.3"/>
  <pageSetup paperSize="9" scale="24" fitToHeight="0" orientation="portrait"/>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625" style="2008" customWidth="1"/>
    <col min="10" max="10" width="2.625" style="2009" customWidth="1"/>
    <col min="11" max="11" width="11.875" style="2007" customWidth="1"/>
    <col min="12" max="12" width="16.625" style="2008" customWidth="1"/>
    <col min="13" max="13" width="2.625" style="2009" customWidth="1"/>
    <col min="14" max="14" width="11.875" style="2007" customWidth="1"/>
    <col min="15" max="15" width="16.625" style="2008" customWidth="1"/>
    <col min="16" max="16" width="2.625" style="2009" customWidth="1"/>
    <col min="17" max="17" width="11.875" style="2007" customWidth="1"/>
    <col min="18" max="18" width="16.625" style="2010" customWidth="1"/>
    <col min="19" max="16384" width="9" style="1992"/>
  </cols>
  <sheetData>
    <row r="1" spans="1:18" s="1991" customFormat="1" ht="19.5" thickBot="1">
      <c r="A1" s="3376" t="s">
        <v>1663</v>
      </c>
      <c r="B1" s="3377"/>
      <c r="C1" s="3377"/>
      <c r="D1" s="3377"/>
      <c r="E1" s="3377"/>
      <c r="F1" s="3377"/>
      <c r="G1" s="3377"/>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3032" t="s">
        <v>2917</v>
      </c>
      <c r="D3" s="1993"/>
      <c r="E3" s="1224" t="s">
        <v>1666</v>
      </c>
      <c r="F3" s="1225" t="s">
        <v>1654</v>
      </c>
      <c r="G3" s="3036" t="s">
        <v>2916</v>
      </c>
      <c r="H3" s="1992"/>
      <c r="I3" s="1992"/>
      <c r="J3" s="1992"/>
      <c r="K3" s="1992"/>
      <c r="L3" s="1992"/>
      <c r="M3" s="1992"/>
      <c r="N3" s="1992"/>
      <c r="O3" s="1992"/>
      <c r="P3" s="1992"/>
      <c r="Q3" s="1992"/>
      <c r="R3" s="1992"/>
    </row>
    <row r="4" spans="1:18" ht="41.25">
      <c r="A4" s="1224"/>
      <c r="B4" s="1226" t="s">
        <v>1667</v>
      </c>
      <c r="C4" s="3033" t="s">
        <v>2918</v>
      </c>
      <c r="D4" s="1993"/>
      <c r="E4" s="1227"/>
      <c r="F4" s="1228" t="s">
        <v>1668</v>
      </c>
      <c r="G4" s="3034" t="s">
        <v>2913</v>
      </c>
      <c r="H4" s="1992"/>
      <c r="I4" s="1992"/>
      <c r="J4" s="1992"/>
      <c r="K4" s="1992"/>
      <c r="L4" s="1992"/>
      <c r="M4" s="1992"/>
      <c r="N4" s="1992"/>
      <c r="O4" s="1992"/>
      <c r="P4" s="1992"/>
      <c r="Q4" s="1992"/>
      <c r="R4" s="1992"/>
    </row>
    <row r="5" spans="1:18" ht="41.25">
      <c r="A5" s="1224"/>
      <c r="B5" s="1226" t="s">
        <v>1669</v>
      </c>
      <c r="C5" s="3033" t="s">
        <v>2919</v>
      </c>
      <c r="D5" s="1993"/>
      <c r="E5" s="1227"/>
      <c r="F5" s="1226" t="s">
        <v>2543</v>
      </c>
      <c r="G5" s="3034" t="s">
        <v>2914</v>
      </c>
      <c r="H5" s="1992"/>
      <c r="I5" s="1992"/>
      <c r="J5" s="1992"/>
      <c r="K5" s="1992"/>
      <c r="L5" s="1992"/>
      <c r="M5" s="1992"/>
      <c r="N5" s="1992"/>
      <c r="O5" s="1992"/>
      <c r="P5" s="1992"/>
      <c r="Q5" s="1992"/>
      <c r="R5" s="1992"/>
    </row>
    <row r="6" spans="1:18" ht="54">
      <c r="A6" s="1224"/>
      <c r="B6" s="1226" t="s">
        <v>1655</v>
      </c>
      <c r="C6" s="3034" t="s">
        <v>2913</v>
      </c>
      <c r="D6" s="1993"/>
      <c r="E6" s="1227"/>
      <c r="F6" s="1226" t="s">
        <v>2544</v>
      </c>
      <c r="G6" s="3034" t="s">
        <v>2911</v>
      </c>
      <c r="H6" s="1992"/>
      <c r="I6" s="1992"/>
      <c r="J6" s="1992"/>
      <c r="K6" s="1992"/>
      <c r="L6" s="1992"/>
      <c r="M6" s="1992"/>
      <c r="N6" s="1992"/>
      <c r="O6" s="1992"/>
      <c r="P6" s="1992"/>
      <c r="Q6" s="1992"/>
      <c r="R6" s="1992"/>
    </row>
    <row r="7" spans="1:18" ht="41.25" thickBot="1">
      <c r="A7" s="1224"/>
      <c r="B7" s="1226" t="s">
        <v>2543</v>
      </c>
      <c r="C7" s="3034" t="s">
        <v>2914</v>
      </c>
      <c r="D7" s="1994"/>
      <c r="E7" s="1229"/>
      <c r="F7" s="1230" t="s">
        <v>1670</v>
      </c>
      <c r="G7" s="3037" t="s">
        <v>2915</v>
      </c>
      <c r="H7" s="1992"/>
      <c r="I7" s="1992"/>
      <c r="J7" s="1992"/>
      <c r="K7" s="1992"/>
      <c r="L7" s="1992"/>
      <c r="M7" s="1992"/>
      <c r="N7" s="1992"/>
      <c r="O7" s="1992"/>
      <c r="P7" s="1992"/>
      <c r="Q7" s="1992"/>
      <c r="R7" s="1992"/>
    </row>
    <row r="8" spans="1:18" ht="27">
      <c r="A8" s="1224"/>
      <c r="B8" s="1226" t="s">
        <v>2544</v>
      </c>
      <c r="C8" s="3034" t="s">
        <v>2911</v>
      </c>
      <c r="D8" s="1994"/>
      <c r="E8" s="1994"/>
      <c r="F8" s="1539"/>
      <c r="G8" s="1539"/>
      <c r="H8" s="1992"/>
      <c r="I8" s="1992"/>
      <c r="J8" s="1992"/>
      <c r="K8" s="1992"/>
      <c r="L8" s="1992"/>
      <c r="M8" s="1992"/>
      <c r="N8" s="1992"/>
      <c r="O8" s="1992"/>
      <c r="P8" s="1992"/>
      <c r="Q8" s="1992"/>
      <c r="R8" s="1992"/>
    </row>
    <row r="9" spans="1:18" ht="40.5">
      <c r="A9" s="1224"/>
      <c r="B9" s="1226" t="s">
        <v>1656</v>
      </c>
      <c r="C9" s="3033"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19"/>
      <c r="E13" s="2541"/>
      <c r="F13" s="2541"/>
      <c r="G13" s="2541"/>
    </row>
    <row r="14" spans="1:18" ht="14.25" thickBot="1">
      <c r="A14" s="1233"/>
      <c r="B14" s="1234"/>
      <c r="C14" s="1235" t="s">
        <v>1664</v>
      </c>
      <c r="D14" s="1993"/>
      <c r="E14" s="1236"/>
      <c r="F14" s="1236"/>
      <c r="G14" s="1218" t="s">
        <v>1665</v>
      </c>
    </row>
    <row r="15" spans="1:18" ht="54">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0.5">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0.5">
      <c r="A17" s="2552"/>
      <c r="B17" s="1240" t="s">
        <v>1669</v>
      </c>
      <c r="C17" s="1241" t="str">
        <f>C5</f>
        <v>估价对象位于XX商圈，周边办公楼项目较多，入驻率高，办公集聚程度较好</v>
      </c>
      <c r="D17" s="1994"/>
      <c r="E17" s="2549"/>
      <c r="F17" s="1242" t="s">
        <v>1674</v>
      </c>
      <c r="G17" s="2749"/>
    </row>
    <row r="18" spans="1:7" ht="54">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7">
      <c r="A19" s="2552"/>
      <c r="B19" s="1242" t="s">
        <v>1659</v>
      </c>
      <c r="C19" s="2749"/>
      <c r="D19" s="1993"/>
      <c r="E19" s="2549"/>
      <c r="F19" s="1226" t="s">
        <v>2543</v>
      </c>
      <c r="G19" s="1004" t="str">
        <f>G5</f>
        <v>估价对象所在区域公共配套设施齐备情况</v>
      </c>
    </row>
    <row r="20" spans="1:7" ht="40.5">
      <c r="A20" s="2552"/>
      <c r="B20" s="1242" t="s">
        <v>1660</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1661</v>
      </c>
      <c r="G21" s="3038"/>
    </row>
    <row r="22" spans="1:7" ht="27">
      <c r="A22" s="2552"/>
      <c r="B22" s="1226" t="s">
        <v>2544</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4.2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A2" sqref="A2"/>
    </sheetView>
  </sheetViews>
  <sheetFormatPr defaultColWidth="14.625" defaultRowHeight="13.5"/>
  <cols>
    <col min="1" max="1" width="24.375" customWidth="1"/>
  </cols>
  <sheetData>
    <row r="1" spans="1:9" ht="16.5">
      <c r="A1" s="2996" t="s">
        <v>2840</v>
      </c>
      <c r="B1" s="2996">
        <f>SUM(B14:B23)</f>
        <v>760592.91999999993</v>
      </c>
      <c r="C1" s="2997"/>
      <c r="D1" s="2997"/>
      <c r="E1" s="2997"/>
      <c r="F1" s="2997"/>
    </row>
    <row r="2" spans="1:9" ht="16.5">
      <c r="A2" s="2996" t="s">
        <v>2841</v>
      </c>
      <c r="B2" s="2996">
        <f>SUM(C14:C23)</f>
        <v>161741.64000000001</v>
      </c>
      <c r="C2" s="2997"/>
      <c r="D2" s="2997"/>
      <c r="E2" s="2997"/>
      <c r="F2" s="2997"/>
    </row>
    <row r="3" spans="1:9" ht="16.5">
      <c r="A3" s="2996" t="s">
        <v>2842</v>
      </c>
      <c r="B3" s="2998">
        <f>项目基本情况!D3</f>
        <v>43621</v>
      </c>
      <c r="C3" s="2997"/>
      <c r="D3" s="2997"/>
      <c r="E3" s="2997"/>
      <c r="F3" s="2997"/>
    </row>
    <row r="4" spans="1:9" ht="33">
      <c r="A4" s="2996" t="s">
        <v>2843</v>
      </c>
      <c r="B4" s="2996" t="s">
        <v>2844</v>
      </c>
      <c r="C4" s="2996" t="s">
        <v>2845</v>
      </c>
      <c r="D4" s="2996" t="s">
        <v>2846</v>
      </c>
      <c r="E4" s="2997"/>
      <c r="F4" s="2997"/>
    </row>
    <row r="5" spans="1:9" ht="16.5">
      <c r="A5" s="2996" t="s">
        <v>2847</v>
      </c>
      <c r="B5" s="2996">
        <f ca="1">SUM(D14:D23)</f>
        <v>190142</v>
      </c>
      <c r="C5" s="2996">
        <f ca="1">ROUND(B5*10000/$B$1,0)</f>
        <v>2500</v>
      </c>
      <c r="D5" s="2996">
        <f ca="1">ROUND(B5*10000/$B$2,0)</f>
        <v>11756</v>
      </c>
      <c r="E5" s="2997"/>
      <c r="F5" s="2997"/>
    </row>
    <row r="6" spans="1:9" ht="16.5">
      <c r="A6" s="2996" t="s">
        <v>2848</v>
      </c>
      <c r="B6" s="2996">
        <f ca="1">SUM(G14:G23)</f>
        <v>190142</v>
      </c>
      <c r="C6" s="2996">
        <f t="shared" ref="C6:C8" ca="1" si="0">ROUND(B6*10000/$B$1,0)</f>
        <v>2500</v>
      </c>
      <c r="D6" s="2996">
        <f t="shared" ref="D6:D8" ca="1" si="1">ROUND(B6*10000/$B$2,0)</f>
        <v>11756</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760592.91999999993</v>
      </c>
      <c r="C14" s="3000">
        <f>结果表!K38</f>
        <v>161741.64000000001</v>
      </c>
      <c r="D14" s="3000">
        <f ca="1">结果表!C42</f>
        <v>142396</v>
      </c>
      <c r="E14" s="3000">
        <f ca="1">ROUND(D14*10000/B14,0)</f>
        <v>1872</v>
      </c>
      <c r="F14" s="3000">
        <f ca="1">ROUND(D14*10000/C14,0)</f>
        <v>8804</v>
      </c>
      <c r="G14" s="3000">
        <f ca="1">结果表!C44</f>
        <v>142396</v>
      </c>
      <c r="H14" s="3000" t="str">
        <f>结果表!C45</f>
        <v>——</v>
      </c>
      <c r="I14" s="3000" t="str">
        <f>结果表!C46</f>
        <v>——</v>
      </c>
    </row>
    <row r="15" spans="1:9" ht="16.5">
      <c r="A15" s="3003" t="s">
        <v>2857</v>
      </c>
      <c r="B15" s="3004"/>
      <c r="C15" s="3004"/>
      <c r="D15" s="3004">
        <f ca="1">结果表!N10-系统读取表!D14</f>
        <v>47746</v>
      </c>
      <c r="E15" s="3000" t="e">
        <f t="shared" ref="E15:E23" ca="1" si="2">ROUND(D15*10000/B15,0)</f>
        <v>#DIV/0!</v>
      </c>
      <c r="F15" s="3000" t="e">
        <f t="shared" ref="F15:F23" ca="1" si="3">ROUND(D15*10000/C15,0)</f>
        <v>#DIV/0!</v>
      </c>
      <c r="G15" s="3001">
        <f ca="1">D15</f>
        <v>47746</v>
      </c>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G1" zoomScaleSheetLayoutView="100" workbookViewId="0">
      <selection activeCell="O14" sqref="K5:O14"/>
    </sheetView>
  </sheetViews>
  <sheetFormatPr defaultColWidth="12.625" defaultRowHeight="21.75" customHeight="1"/>
  <cols>
    <col min="1" max="2" width="12.625" style="1245" bestFit="1" customWidth="1"/>
    <col min="3" max="4" width="12.625" style="1245" customWidth="1"/>
    <col min="5" max="9" width="12.625" style="1245"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5"/>
  </cols>
  <sheetData>
    <row r="1" spans="1:22" ht="21.75" customHeight="1" thickBot="1">
      <c r="A1" s="1760" t="s">
        <v>2053</v>
      </c>
      <c r="B1" s="1761"/>
      <c r="C1" s="1789" t="s">
        <v>2054</v>
      </c>
      <c r="D1" s="1790" t="s">
        <v>3201</v>
      </c>
      <c r="E1" s="1789" t="s">
        <v>2055</v>
      </c>
      <c r="F1" s="1791" t="s">
        <v>3202</v>
      </c>
      <c r="G1" s="311"/>
      <c r="H1" s="311"/>
      <c r="I1" s="311"/>
      <c r="J1" s="2013"/>
      <c r="K1" s="2013"/>
      <c r="L1" s="2013"/>
      <c r="M1" s="2013"/>
      <c r="N1" s="2013"/>
      <c r="O1" s="2013"/>
      <c r="P1" s="2013"/>
      <c r="Q1" s="2013"/>
      <c r="R1" s="2013"/>
      <c r="S1" s="2013"/>
      <c r="T1" s="2013"/>
      <c r="U1" s="2013"/>
      <c r="V1" s="2013"/>
    </row>
    <row r="2" spans="1:22" ht="21.75" customHeight="1" thickBot="1">
      <c r="A2" s="3414" t="str">
        <f>项目基本情况!K2</f>
        <v>山西省太原市尖草坪区三给片区一宗住宅、商业、地下车库及科教用地出让国有建设用地使用权</v>
      </c>
      <c r="B2" s="3415"/>
      <c r="C2" s="3416"/>
      <c r="D2" s="3416"/>
      <c r="E2" s="3416"/>
      <c r="F2" s="3416"/>
      <c r="G2" s="3415"/>
      <c r="H2" s="3415"/>
      <c r="I2" s="3417"/>
      <c r="J2" s="2014"/>
      <c r="K2" s="2013"/>
      <c r="L2" s="2013"/>
      <c r="M2" s="2013"/>
      <c r="N2" s="2013"/>
      <c r="O2" s="2013"/>
      <c r="P2" s="2013"/>
      <c r="Q2" s="2013"/>
      <c r="R2" s="2013"/>
      <c r="S2" s="2013"/>
      <c r="T2" s="2013"/>
      <c r="U2" s="2013"/>
      <c r="V2" s="2013"/>
    </row>
    <row r="3" spans="1:22" ht="14.25">
      <c r="A3" s="3407" t="s">
        <v>298</v>
      </c>
      <c r="B3" s="3408"/>
      <c r="C3" s="3408"/>
      <c r="D3" s="3408"/>
      <c r="E3" s="3408"/>
      <c r="F3" s="3408"/>
      <c r="G3" s="3408"/>
      <c r="H3" s="3408"/>
      <c r="I3" s="3408"/>
      <c r="J3" s="2014"/>
      <c r="K3" s="2013"/>
      <c r="L3" s="2013"/>
      <c r="M3" s="2013"/>
      <c r="N3" s="2013"/>
      <c r="O3" s="2013"/>
      <c r="P3" s="2013"/>
      <c r="Q3" s="2013"/>
      <c r="R3" s="2013"/>
      <c r="S3" s="2013"/>
      <c r="T3" s="2013"/>
      <c r="U3" s="2013"/>
      <c r="V3" s="2013"/>
    </row>
    <row r="4" spans="1:22" ht="14.25">
      <c r="A4" s="258" t="s">
        <v>299</v>
      </c>
      <c r="B4" s="259" t="s">
        <v>300</v>
      </c>
      <c r="C4" s="260" t="s">
        <v>3199</v>
      </c>
      <c r="D4" s="260" t="s">
        <v>3200</v>
      </c>
      <c r="E4" s="3379" t="s">
        <v>301</v>
      </c>
      <c r="F4" s="3380"/>
      <c r="G4" s="3380"/>
      <c r="H4" s="3380"/>
      <c r="I4" s="3409"/>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78" t="s">
        <v>302</v>
      </c>
      <c r="B5" s="3404">
        <v>25</v>
      </c>
      <c r="C5" s="3402"/>
      <c r="D5" s="3406"/>
      <c r="E5" s="261" t="s">
        <v>303</v>
      </c>
      <c r="F5" s="262"/>
      <c r="G5" s="262"/>
      <c r="H5" s="262"/>
      <c r="I5" s="263"/>
      <c r="J5" s="2014"/>
      <c r="K5" s="3272" t="s">
        <v>3363</v>
      </c>
      <c r="L5" s="2013">
        <f ca="1">C19+Sheet3!M1</f>
        <v>199881</v>
      </c>
      <c r="M5" s="2013">
        <f ca="1">D19</f>
        <v>166504</v>
      </c>
      <c r="N5" s="2013">
        <f ca="1">ROUND(L5*L6+M5*M6,0)</f>
        <v>183193</v>
      </c>
      <c r="O5" s="2013"/>
      <c r="P5" s="2013"/>
      <c r="Q5" s="2013"/>
      <c r="R5" s="2013"/>
      <c r="S5" s="2013"/>
      <c r="T5" s="2013"/>
      <c r="U5" s="2013"/>
      <c r="V5" s="2013"/>
    </row>
    <row r="6" spans="1:22" ht="14.25">
      <c r="A6" s="3378"/>
      <c r="B6" s="3404"/>
      <c r="C6" s="3405"/>
      <c r="D6" s="3406"/>
      <c r="E6" s="261" t="s">
        <v>304</v>
      </c>
      <c r="F6" s="262"/>
      <c r="G6" s="262"/>
      <c r="H6" s="262"/>
      <c r="I6" s="263"/>
      <c r="J6" s="2014"/>
      <c r="K6" s="3273"/>
      <c r="L6" s="3262">
        <f>C18</f>
        <v>0.5</v>
      </c>
      <c r="M6" s="3262">
        <f>D18</f>
        <v>0.5</v>
      </c>
      <c r="N6" s="2013">
        <f ca="1">ROUND(N5*10000/'数据-汇总表'!E3,0)</f>
        <v>2409</v>
      </c>
      <c r="O6" s="2013"/>
      <c r="P6" s="2013"/>
      <c r="Q6" s="2013"/>
      <c r="R6" s="2013"/>
      <c r="S6" s="2013"/>
      <c r="T6" s="2013"/>
      <c r="U6" s="2013"/>
      <c r="V6" s="2013"/>
    </row>
    <row r="7" spans="1:22" ht="14.25">
      <c r="A7" s="3378"/>
      <c r="B7" s="3404"/>
      <c r="C7" s="3403"/>
      <c r="D7" s="3406"/>
      <c r="E7" s="261" t="s">
        <v>305</v>
      </c>
      <c r="F7" s="262"/>
      <c r="G7" s="262"/>
      <c r="H7" s="262"/>
      <c r="I7" s="263"/>
      <c r="J7" s="2014"/>
      <c r="K7" s="3273"/>
      <c r="L7" s="2013"/>
      <c r="M7" s="2013"/>
      <c r="N7" s="2013">
        <f ca="1">ROUND(N5/('数据-汇总表'!D3/666.67),0)</f>
        <v>755</v>
      </c>
      <c r="O7" s="2013"/>
      <c r="P7" s="2013"/>
      <c r="Q7" s="2013"/>
      <c r="R7" s="2013"/>
      <c r="S7" s="2013"/>
      <c r="T7" s="2013"/>
      <c r="U7" s="2013"/>
      <c r="V7" s="2013"/>
    </row>
    <row r="8" spans="1:22" ht="14.25">
      <c r="A8" s="3378" t="s">
        <v>306</v>
      </c>
      <c r="B8" s="3404">
        <v>15</v>
      </c>
      <c r="C8" s="3402"/>
      <c r="D8" s="3406"/>
      <c r="E8" s="261" t="s">
        <v>307</v>
      </c>
      <c r="F8" s="262"/>
      <c r="G8" s="262"/>
      <c r="H8" s="262"/>
      <c r="I8" s="263"/>
      <c r="J8" s="2014"/>
      <c r="K8" s="2013"/>
      <c r="L8" s="2013"/>
      <c r="M8" s="2013"/>
      <c r="N8" s="2013"/>
      <c r="O8" s="2013"/>
      <c r="P8" s="2013"/>
      <c r="Q8" s="2013"/>
      <c r="R8" s="2013"/>
      <c r="S8" s="2013"/>
      <c r="T8" s="2013"/>
      <c r="U8" s="2013"/>
      <c r="V8" s="2013"/>
    </row>
    <row r="9" spans="1:22" ht="14.25">
      <c r="A9" s="3378"/>
      <c r="B9" s="3404"/>
      <c r="C9" s="3403"/>
      <c r="D9" s="3406"/>
      <c r="E9" s="261" t="s">
        <v>308</v>
      </c>
      <c r="F9" s="262"/>
      <c r="G9" s="262"/>
      <c r="H9" s="262"/>
      <c r="I9" s="263"/>
      <c r="J9" s="2014"/>
      <c r="K9" s="3273"/>
      <c r="L9" s="3275" t="s">
        <v>3364</v>
      </c>
      <c r="M9" s="3275" t="s">
        <v>3365</v>
      </c>
      <c r="N9" s="3273"/>
      <c r="O9" s="3273"/>
      <c r="P9" s="2013"/>
      <c r="Q9" s="2013"/>
      <c r="R9" s="2013"/>
      <c r="S9" s="2013"/>
      <c r="T9" s="2013"/>
      <c r="U9" s="2013"/>
      <c r="V9" s="2013"/>
    </row>
    <row r="10" spans="1:22" ht="14.25">
      <c r="A10" s="3378" t="s">
        <v>309</v>
      </c>
      <c r="B10" s="3404">
        <v>15</v>
      </c>
      <c r="C10" s="3402"/>
      <c r="D10" s="3406"/>
      <c r="E10" s="261" t="s">
        <v>310</v>
      </c>
      <c r="F10" s="262"/>
      <c r="G10" s="262"/>
      <c r="H10" s="262"/>
      <c r="I10" s="263"/>
      <c r="J10" s="2014"/>
      <c r="K10" s="3272" t="s">
        <v>3366</v>
      </c>
      <c r="L10" s="3273">
        <f ca="1">C19+Sheet3!M4</f>
        <v>213780</v>
      </c>
      <c r="M10" s="3273">
        <f ca="1">D19</f>
        <v>166504</v>
      </c>
      <c r="N10" s="3273">
        <f ca="1">ROUND(L10*L11+M10*M11,0)</f>
        <v>190142</v>
      </c>
      <c r="O10" s="3273"/>
      <c r="P10" s="2013"/>
      <c r="Q10" s="2013"/>
      <c r="R10" s="2013"/>
      <c r="S10" s="2013"/>
      <c r="T10" s="2013"/>
      <c r="U10" s="2013"/>
      <c r="V10" s="2013"/>
    </row>
    <row r="11" spans="1:22" ht="14.25">
      <c r="A11" s="3378"/>
      <c r="B11" s="3404"/>
      <c r="C11" s="3403"/>
      <c r="D11" s="3406"/>
      <c r="E11" s="261" t="s">
        <v>311</v>
      </c>
      <c r="F11" s="262"/>
      <c r="G11" s="262"/>
      <c r="H11" s="262"/>
      <c r="I11" s="263"/>
      <c r="J11" s="2014"/>
      <c r="K11" s="3273"/>
      <c r="L11" s="3276">
        <f>C18</f>
        <v>0.5</v>
      </c>
      <c r="M11" s="3276">
        <f>D18</f>
        <v>0.5</v>
      </c>
      <c r="N11" s="3273">
        <f ca="1">ROUND(N10*10000/'数据-汇总表'!E3,0)</f>
        <v>2500</v>
      </c>
      <c r="O11" s="3273">
        <f ca="1">ROUND(N10/'数据-汇总表'!F31*10000,0)</f>
        <v>3248</v>
      </c>
      <c r="P11" s="2013"/>
      <c r="Q11" s="2013"/>
      <c r="R11" s="2013"/>
      <c r="S11" s="2013"/>
      <c r="T11" s="2013"/>
      <c r="U11" s="2013"/>
      <c r="V11" s="2013"/>
    </row>
    <row r="12" spans="1:22" ht="14.25">
      <c r="A12" s="3378" t="s">
        <v>312</v>
      </c>
      <c r="B12" s="3404">
        <v>15</v>
      </c>
      <c r="C12" s="3402"/>
      <c r="D12" s="3406"/>
      <c r="E12" s="261" t="s">
        <v>313</v>
      </c>
      <c r="F12" s="262"/>
      <c r="G12" s="262"/>
      <c r="H12" s="262"/>
      <c r="I12" s="263"/>
      <c r="J12" s="2014"/>
      <c r="K12" s="3273"/>
      <c r="L12" s="3273"/>
      <c r="M12" s="3273"/>
      <c r="N12" s="3273">
        <f ca="1">ROUND(N10/('数据-汇总表'!D3/666.67),0)</f>
        <v>784</v>
      </c>
      <c r="O12" s="3273"/>
      <c r="P12" s="2013"/>
      <c r="Q12" s="2013"/>
      <c r="R12" s="2013"/>
      <c r="S12" s="2013"/>
      <c r="T12" s="2013"/>
      <c r="U12" s="2013"/>
      <c r="V12" s="2013"/>
    </row>
    <row r="13" spans="1:22" ht="14.25">
      <c r="A13" s="3378"/>
      <c r="B13" s="3404"/>
      <c r="C13" s="3403"/>
      <c r="D13" s="3406"/>
      <c r="E13" s="261" t="s">
        <v>314</v>
      </c>
      <c r="F13" s="262"/>
      <c r="G13" s="262"/>
      <c r="H13" s="262"/>
      <c r="I13" s="263"/>
      <c r="J13" s="2014"/>
      <c r="K13" s="3273"/>
      <c r="L13" s="3273"/>
      <c r="M13" s="3273"/>
      <c r="N13" s="3273"/>
      <c r="O13" s="3273"/>
      <c r="P13" s="2013"/>
      <c r="Q13" s="2013"/>
      <c r="R13" s="2013"/>
      <c r="S13" s="2013"/>
      <c r="T13" s="2013"/>
      <c r="U13" s="2013"/>
      <c r="V13" s="2013"/>
    </row>
    <row r="14" spans="1:22" ht="14.25">
      <c r="A14" s="3378" t="s">
        <v>315</v>
      </c>
      <c r="B14" s="3404">
        <v>30</v>
      </c>
      <c r="C14" s="3402">
        <v>5</v>
      </c>
      <c r="D14" s="3406">
        <v>5</v>
      </c>
      <c r="E14" s="261" t="s">
        <v>316</v>
      </c>
      <c r="F14" s="262"/>
      <c r="G14" s="262"/>
      <c r="H14" s="262"/>
      <c r="I14" s="263"/>
      <c r="J14" s="2014"/>
      <c r="K14" s="3273"/>
      <c r="L14" s="3273"/>
      <c r="M14" s="3277">
        <f ca="1">L10/M10-1</f>
        <v>0.2839331187238745</v>
      </c>
      <c r="N14" s="3273"/>
      <c r="O14" s="3273"/>
      <c r="P14" s="2013"/>
      <c r="Q14" s="2013"/>
      <c r="R14" s="2013"/>
      <c r="S14" s="2013"/>
      <c r="T14" s="2013"/>
      <c r="U14" s="2013"/>
      <c r="V14" s="2013"/>
    </row>
    <row r="15" spans="1:22" ht="14.25">
      <c r="A15" s="3378"/>
      <c r="B15" s="3404"/>
      <c r="C15" s="3405"/>
      <c r="D15" s="3406"/>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8"/>
      <c r="B16" s="3404"/>
      <c r="C16" s="3403"/>
      <c r="D16" s="340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118288</v>
      </c>
      <c r="D19" s="271">
        <f ca="1">SUMIF(INDIRECT("'"&amp;D4&amp;"'"&amp;"!A:A"),结果表!B19,INDIRECT("'"&amp;D4&amp;"'"&amp;"!B:B"))</f>
        <v>166504</v>
      </c>
      <c r="E19" s="268" t="s">
        <v>323</v>
      </c>
      <c r="F19" s="269" t="s">
        <v>322</v>
      </c>
      <c r="G19" s="272">
        <f ca="1">ROUND(C19*$C$18+D19*$D$18,0)</f>
        <v>142396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1555</v>
      </c>
      <c r="D20" s="277">
        <f ca="1">SUMIF(INDIRECT("'"&amp;D4&amp;"'"&amp;"!A:A"),结果表!B20,INDIRECT("'"&amp;D4&amp;"'"&amp;"!B:B"))</f>
        <v>2189</v>
      </c>
      <c r="E20" s="274"/>
      <c r="F20" s="275" t="s">
        <v>325</v>
      </c>
      <c r="G20" s="278">
        <f ca="1">ROUND(C20*$C$18+D20*$D$18,0)</f>
        <v>1872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7313</v>
      </c>
      <c r="D21" s="151">
        <f ca="1">SUMIF(INDIRECT("'"&amp;D4&amp;"'"&amp;"!A:A"),结果表!B21,INDIRECT("'"&amp;D4&amp;"'"&amp;"!B:B"))</f>
        <v>10294</v>
      </c>
      <c r="E21" s="274"/>
      <c r="F21" s="280" t="s">
        <v>327</v>
      </c>
      <c r="G21" s="282">
        <f ca="1">ROUND(C21*$C$18+D21*$D$18,0)</f>
        <v>8804</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0.40761531178141475</v>
      </c>
      <c r="E22" s="284"/>
      <c r="F22" s="285"/>
      <c r="G22" s="286">
        <f ca="1">ROUND(G19/('数据-汇总表'!D3/666.67),0)</f>
        <v>587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8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5"/>
      <c r="B25" s="1316" t="s">
        <v>331</v>
      </c>
      <c r="C25" s="290">
        <f>IF(B30=0,0,C30)</f>
        <v>0</v>
      </c>
      <c r="D25" s="291"/>
      <c r="E25" s="311"/>
      <c r="F25" s="311"/>
      <c r="G25" s="311"/>
      <c r="H25" s="311"/>
      <c r="I25" s="311"/>
      <c r="J25" s="2013"/>
      <c r="K25" s="1250" t="str">
        <f ca="1">项目基本情况!B16&amp;"国有建设用地使用权价格："&amp;O38&amp;"万元"</f>
        <v>出让国有建设用地使用权价格：142396万元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大写金额：人民币壹拾肆亿贰仟叁佰玖拾陆万元整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单位面积地价：8804元/平方米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楼面地价：1872元/平方米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抵押价格：142396万元</v>
      </c>
      <c r="L29" s="1247"/>
      <c r="M29" s="1247"/>
      <c r="N29" s="1247"/>
      <c r="O29" s="1246"/>
      <c r="P29" s="2013"/>
      <c r="V29" s="2013"/>
    </row>
    <row r="30" spans="1:26" ht="18.75" thickBot="1">
      <c r="A30" s="3081" t="s">
        <v>336</v>
      </c>
      <c r="B30" s="309"/>
      <c r="C30" s="309"/>
      <c r="D30" s="310"/>
      <c r="E30" s="3082" t="s">
        <v>2964</v>
      </c>
      <c r="F30" s="311"/>
      <c r="G30" s="311"/>
      <c r="H30" s="311"/>
      <c r="I30" s="311"/>
      <c r="J30" s="2013"/>
      <c r="K30" s="1253" t="str">
        <f ca="1">IF(K29="——","——","大写金额：人民币"&amp;NUMBERSTRING(INT(O39*10000),2)&amp;"元整")</f>
        <v>大写金额：人民币壹拾肆亿贰仟叁佰玖拾陆万元整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142396</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1872</v>
      </c>
      <c r="D33" s="1381" t="s">
        <v>1691</v>
      </c>
      <c r="E33" s="3384"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8804</v>
      </c>
      <c r="D34" s="1383" t="s">
        <v>1691</v>
      </c>
      <c r="E34" s="3425"/>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587</v>
      </c>
      <c r="D35" s="1386" t="s">
        <v>1693</v>
      </c>
      <c r="E35" s="3426"/>
      <c r="F35" s="301" t="s">
        <v>342</v>
      </c>
      <c r="G35" s="981"/>
      <c r="H35" s="980" t="s">
        <v>343</v>
      </c>
      <c r="I35" s="311"/>
      <c r="J35" s="2013"/>
      <c r="K35" s="3399" t="s">
        <v>350</v>
      </c>
      <c r="L35" s="3399" t="s">
        <v>351</v>
      </c>
      <c r="M35" s="1259" t="s">
        <v>352</v>
      </c>
      <c r="N35" s="3399" t="s">
        <v>353</v>
      </c>
      <c r="O35" s="3399" t="s">
        <v>354</v>
      </c>
      <c r="P35" s="2013"/>
      <c r="V35" s="2013"/>
    </row>
    <row r="36" spans="1:26" ht="16.5" customHeight="1">
      <c r="A36" s="303" t="s">
        <v>344</v>
      </c>
      <c r="B36" s="304" t="s">
        <v>333</v>
      </c>
      <c r="C36" s="305" t="s">
        <v>345</v>
      </c>
      <c r="D36" s="305" t="s">
        <v>346</v>
      </c>
      <c r="E36" s="306" t="s">
        <v>347</v>
      </c>
      <c r="F36" s="311"/>
      <c r="G36" s="311"/>
      <c r="H36" s="311"/>
      <c r="I36" s="311"/>
      <c r="J36" s="2015"/>
      <c r="K36" s="3400"/>
      <c r="L36" s="3400"/>
      <c r="M36" s="1261" t="s">
        <v>355</v>
      </c>
      <c r="N36" s="3400"/>
      <c r="O36" s="3400"/>
      <c r="P36" s="2013"/>
      <c r="V36" s="2013"/>
    </row>
    <row r="37" spans="1:26" ht="16.5" customHeight="1" thickBot="1">
      <c r="A37" s="1255" t="s">
        <v>348</v>
      </c>
      <c r="B37" s="307"/>
      <c r="C37" s="294"/>
      <c r="D37" s="294"/>
      <c r="E37" s="295"/>
      <c r="F37" s="311"/>
      <c r="G37" s="311"/>
      <c r="H37" s="311"/>
      <c r="I37" s="311"/>
      <c r="J37" s="2015"/>
      <c r="K37" s="3401"/>
      <c r="L37" s="3401"/>
      <c r="M37" s="1262"/>
      <c r="N37" s="3401"/>
      <c r="O37" s="3401"/>
      <c r="P37" s="2013"/>
      <c r="V37" s="2013"/>
    </row>
    <row r="38" spans="1:26" ht="16.5" customHeight="1" thickBot="1">
      <c r="A38" s="1255" t="s">
        <v>349</v>
      </c>
      <c r="B38" s="307"/>
      <c r="C38" s="294"/>
      <c r="D38" s="294"/>
      <c r="E38" s="295"/>
      <c r="F38" s="311"/>
      <c r="G38" s="311"/>
      <c r="H38" s="311"/>
      <c r="I38" s="311"/>
      <c r="J38" s="2015"/>
      <c r="K38" s="1263">
        <f>'数据-汇总表'!D3</f>
        <v>161741.64000000001</v>
      </c>
      <c r="L38" s="1264">
        <f>'数据-汇总表'!E3</f>
        <v>760592.91999999993</v>
      </c>
      <c r="M38" s="1264">
        <f ca="1">C34</f>
        <v>8804</v>
      </c>
      <c r="N38" s="1264">
        <f ca="1">C33</f>
        <v>1872</v>
      </c>
      <c r="O38" s="1265">
        <f ca="1">C32</f>
        <v>142396</v>
      </c>
      <c r="P38" s="2013"/>
      <c r="V38" s="2013"/>
    </row>
    <row r="39" spans="1:26" ht="16.5" customHeight="1" thickBot="1">
      <c r="A39" s="1260"/>
      <c r="B39" s="308"/>
      <c r="C39" s="309"/>
      <c r="D39" s="309"/>
      <c r="E39" s="310"/>
      <c r="F39" s="311"/>
      <c r="G39" s="311"/>
      <c r="H39" s="311"/>
      <c r="I39" s="311"/>
      <c r="J39" s="2015"/>
      <c r="K39" s="3444" t="str">
        <f>MID(A44,3,LEN(A44)-2)</f>
        <v>抵押价格</v>
      </c>
      <c r="L39" s="3445"/>
      <c r="M39" s="3445"/>
      <c r="N39" s="3446"/>
      <c r="O39" s="1388">
        <f ca="1">C44</f>
        <v>142396</v>
      </c>
      <c r="P39" s="2013"/>
      <c r="V39" s="2013"/>
    </row>
    <row r="40" spans="1:26" ht="19.5" thickBot="1">
      <c r="A40" s="104" t="s">
        <v>873</v>
      </c>
      <c r="B40" s="311"/>
      <c r="C40" s="311"/>
      <c r="D40" s="311"/>
      <c r="E40" s="311"/>
      <c r="F40" s="311"/>
      <c r="G40" s="311"/>
      <c r="H40" s="311"/>
      <c r="I40" s="311"/>
      <c r="J40" s="2015"/>
      <c r="K40" s="3444" t="str">
        <f t="shared" ref="K40:K41" si="0">MID(A45,3,LEN(A45)-2)</f>
        <v/>
      </c>
      <c r="L40" s="3445"/>
      <c r="M40" s="3445"/>
      <c r="N40" s="3446"/>
      <c r="O40" s="1388" t="str">
        <f>C45</f>
        <v>——</v>
      </c>
      <c r="P40" s="2013"/>
      <c r="V40" s="2013"/>
    </row>
    <row r="41" spans="1:26" ht="16.5" thickBot="1">
      <c r="A41" s="312" t="s">
        <v>356</v>
      </c>
      <c r="B41" s="313"/>
      <c r="C41" s="314" t="s">
        <v>357</v>
      </c>
      <c r="D41" s="315" t="s">
        <v>358</v>
      </c>
      <c r="E41" s="315" t="s">
        <v>359</v>
      </c>
      <c r="F41" s="316" t="s">
        <v>360</v>
      </c>
      <c r="G41" s="311"/>
      <c r="H41" s="311"/>
      <c r="I41" s="311"/>
      <c r="J41" s="2015"/>
      <c r="K41" s="3444" t="str">
        <f t="shared" si="0"/>
        <v/>
      </c>
      <c r="L41" s="3445"/>
      <c r="M41" s="3445"/>
      <c r="N41" s="3446"/>
      <c r="O41" s="1388" t="str">
        <f>C46</f>
        <v>——</v>
      </c>
      <c r="P41" s="2013"/>
      <c r="V41" s="2013"/>
    </row>
    <row r="42" spans="1:26" ht="29.25">
      <c r="A42" s="3386" t="s">
        <v>2065</v>
      </c>
      <c r="B42" s="3387"/>
      <c r="C42" s="264">
        <f ca="1">C32</f>
        <v>142396</v>
      </c>
      <c r="D42" s="317">
        <f ca="1">C33</f>
        <v>1872</v>
      </c>
      <c r="E42" s="317">
        <f ca="1">C34</f>
        <v>8804</v>
      </c>
      <c r="F42" s="318">
        <f ca="1">C35</f>
        <v>587</v>
      </c>
      <c r="G42" s="311"/>
      <c r="H42" s="311"/>
      <c r="I42" s="319"/>
      <c r="J42" s="2015"/>
      <c r="K42" s="1266" t="s">
        <v>361</v>
      </c>
      <c r="L42" s="2032" t="s">
        <v>362</v>
      </c>
      <c r="M42" s="1267" t="s">
        <v>363</v>
      </c>
      <c r="N42" s="2033" t="s">
        <v>364</v>
      </c>
      <c r="O42" s="2034" t="s">
        <v>365</v>
      </c>
      <c r="P42" s="2013"/>
      <c r="V42" s="2013"/>
    </row>
    <row r="43" spans="1:26" ht="30">
      <c r="A43" s="3397" t="s">
        <v>2726</v>
      </c>
      <c r="B43" s="3398"/>
      <c r="C43" s="264">
        <f>IF(H33="正常操作",G33+G34+G35,G34+G35)</f>
        <v>0</v>
      </c>
      <c r="D43" s="317" t="s">
        <v>43</v>
      </c>
      <c r="E43" s="317" t="s">
        <v>44</v>
      </c>
      <c r="F43" s="318" t="s">
        <v>44</v>
      </c>
      <c r="G43" s="2821" t="s">
        <v>952</v>
      </c>
      <c r="H43" s="311"/>
      <c r="I43" s="319"/>
      <c r="J43" s="2015"/>
      <c r="K43" s="1268" t="str">
        <f>C4</f>
        <v>比较法-住宅、综合</v>
      </c>
      <c r="L43" s="1269">
        <f ca="1">IF(L42="估价结果/万元",C19,C20)</f>
        <v>118288</v>
      </c>
      <c r="M43" s="1270">
        <f>C18</f>
        <v>0.5</v>
      </c>
      <c r="N43" s="1271">
        <f ca="1">IF(N42="测算结果/万元",G19,G20)</f>
        <v>142396</v>
      </c>
      <c r="O43" s="1272">
        <f ca="1">IF(O42="最终结果/万元",C32,C33)</f>
        <v>142396</v>
      </c>
      <c r="P43" s="2013"/>
      <c r="V43" s="2013"/>
    </row>
    <row r="44" spans="1:26" ht="30.75" thickBot="1">
      <c r="A44" s="3386" t="str">
        <f>IF(OR(项目基本情况!E8="抵押价格",项目基本情况!E8="已注销及未注销"),"3.抵押价格","——")</f>
        <v>3.抵押价格</v>
      </c>
      <c r="B44" s="3387"/>
      <c r="C44" s="264">
        <f ca="1">IF(A44="——","——",C42-C43)</f>
        <v>142396</v>
      </c>
      <c r="D44" s="317">
        <f ca="1">ROUND(C44*10000/'数据-汇总表'!E3,0)</f>
        <v>1872</v>
      </c>
      <c r="E44" s="317">
        <f ca="1">ROUND(C44*10000/'数据-汇总表'!D3,0)</f>
        <v>8804</v>
      </c>
      <c r="F44" s="318">
        <f ca="1">ROUND(C44/('数据-汇总表'!D3/666.67),0)</f>
        <v>587</v>
      </c>
      <c r="G44" s="311"/>
      <c r="H44" s="311"/>
      <c r="I44" s="319"/>
      <c r="J44" s="2015"/>
      <c r="K44" s="1273" t="str">
        <f>D4</f>
        <v>剩余法-待开发</v>
      </c>
      <c r="L44" s="1274">
        <f ca="1">IF(L42="估价结果/万元",D19,D20)</f>
        <v>166504</v>
      </c>
      <c r="M44" s="1275">
        <f>D18</f>
        <v>0.5</v>
      </c>
      <c r="N44" s="1276"/>
      <c r="O44" s="1277"/>
      <c r="P44" s="2013"/>
      <c r="V44" s="2013"/>
    </row>
    <row r="45" spans="1:26" ht="15">
      <c r="A45" s="3392" t="str">
        <f>IF(项目基本情况!E8="已注销及未注销","4.抵押担保权已注销时的抵押价格",IF(项目基本情况!E8="已注销","3.抵押担保权已注销时的抵押价格","——"))</f>
        <v>——</v>
      </c>
      <c r="B45" s="339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433" t="s">
        <v>374</v>
      </c>
      <c r="B63" s="3434"/>
      <c r="C63" s="3435"/>
      <c r="D63" s="341">
        <f ca="1">ROUND(C42*F63,0)</f>
        <v>85438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94" t="s">
        <v>378</v>
      </c>
      <c r="B64" s="3395"/>
      <c r="C64" s="3395"/>
      <c r="D64" s="3395"/>
      <c r="E64" s="3395"/>
      <c r="F64" s="3395"/>
      <c r="G64" s="3396"/>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90" t="s">
        <v>386</v>
      </c>
      <c r="B66" s="3391"/>
      <c r="C66" s="3391"/>
      <c r="D66" s="261">
        <f ca="1">IF(H66="情况1",0,IF(H66="情况2",D70,IF(H66="情况3",D71,IF(H66="情况4",D72))))</f>
        <v>4557</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448" t="s">
        <v>385</v>
      </c>
      <c r="M66" s="3449"/>
      <c r="N66" s="2422"/>
      <c r="O66" s="2423"/>
      <c r="P66" s="2424"/>
      <c r="Q66" s="2013"/>
      <c r="R66" s="2013"/>
      <c r="S66" s="2013"/>
      <c r="T66" s="2013"/>
      <c r="U66" s="2013"/>
      <c r="V66" s="2013"/>
    </row>
    <row r="67" spans="1:22" ht="25.5" customHeight="1">
      <c r="A67" s="352" t="s">
        <v>390</v>
      </c>
      <c r="B67" s="3381" t="s">
        <v>391</v>
      </c>
      <c r="C67" s="3381"/>
      <c r="D67" s="353">
        <v>0</v>
      </c>
      <c r="E67" s="41" t="s">
        <v>392</v>
      </c>
      <c r="F67" s="62" t="s">
        <v>21</v>
      </c>
      <c r="G67" s="3436"/>
      <c r="H67" s="311"/>
      <c r="I67" s="1287"/>
      <c r="J67" s="2020"/>
      <c r="K67" s="1961">
        <v>2</v>
      </c>
      <c r="L67" s="3447" t="s">
        <v>389</v>
      </c>
      <c r="M67" s="3447"/>
      <c r="N67" s="1320">
        <f>'数据-取费表'!B2</f>
        <v>43621</v>
      </c>
      <c r="O67" s="1320"/>
      <c r="P67" s="1320"/>
      <c r="Q67" s="2013"/>
      <c r="R67" s="2013"/>
      <c r="S67" s="2013"/>
      <c r="T67" s="2013"/>
      <c r="U67" s="2013"/>
      <c r="V67" s="2013"/>
    </row>
    <row r="68" spans="1:22" ht="25.5" customHeight="1">
      <c r="A68" s="354"/>
      <c r="B68" s="3381" t="s">
        <v>394</v>
      </c>
      <c r="C68" s="3381"/>
      <c r="D68" s="355"/>
      <c r="E68" s="77"/>
      <c r="F68" s="356"/>
      <c r="G68" s="3437"/>
      <c r="H68" s="311"/>
      <c r="I68" s="1287"/>
      <c r="J68" s="2020"/>
      <c r="K68" s="1961">
        <v>3</v>
      </c>
      <c r="L68" s="3447" t="s">
        <v>393</v>
      </c>
      <c r="M68" s="3447"/>
      <c r="N68" s="1288">
        <f ca="1">C42</f>
        <v>142396</v>
      </c>
      <c r="O68" s="1288"/>
      <c r="P68" s="1288"/>
      <c r="Q68" s="2013"/>
      <c r="R68" s="2013"/>
      <c r="S68" s="2013"/>
      <c r="T68" s="2013"/>
      <c r="U68" s="2013"/>
      <c r="V68" s="2013"/>
    </row>
    <row r="69" spans="1:22" ht="12" customHeight="1">
      <c r="A69" s="357"/>
      <c r="B69" s="3381" t="s">
        <v>395</v>
      </c>
      <c r="C69" s="3381"/>
      <c r="D69" s="358"/>
      <c r="E69" s="73"/>
      <c r="F69" s="356"/>
      <c r="G69" s="3438"/>
      <c r="H69" s="311"/>
      <c r="I69" s="1287"/>
      <c r="J69" s="2020"/>
      <c r="K69" s="1289">
        <v>4</v>
      </c>
      <c r="L69" s="3452" t="s">
        <v>2879</v>
      </c>
      <c r="M69" s="3453"/>
      <c r="N69" s="1290">
        <f ca="1">C44</f>
        <v>142396</v>
      </c>
      <c r="O69" s="1290"/>
      <c r="P69" s="1290"/>
      <c r="Q69" s="2013"/>
      <c r="R69" s="2013"/>
      <c r="S69" s="2013"/>
      <c r="T69" s="2013"/>
      <c r="U69" s="2013"/>
      <c r="V69" s="2013"/>
    </row>
    <row r="70" spans="1:22" ht="24" customHeight="1">
      <c r="A70" s="359" t="s">
        <v>396</v>
      </c>
      <c r="B70" s="3381" t="s">
        <v>397</v>
      </c>
      <c r="C70" s="3381"/>
      <c r="D70" s="358">
        <f ca="1">ROUND(D63*'数据-取费表'!B41/(1+'数据-取费表'!C42),0)</f>
        <v>4557</v>
      </c>
      <c r="E70" s="17" t="s">
        <v>398</v>
      </c>
      <c r="F70" s="360">
        <f>'数据-取费表'!B41</f>
        <v>5.6000000000000001E-2</v>
      </c>
      <c r="G70" s="361"/>
      <c r="H70" s="311"/>
      <c r="I70" s="1287"/>
      <c r="J70" s="2020"/>
      <c r="K70" s="3013"/>
      <c r="L70" s="3014"/>
      <c r="M70" s="3014"/>
      <c r="N70" s="3015" t="s">
        <v>2884</v>
      </c>
      <c r="O70" s="3014"/>
      <c r="P70" s="3016"/>
      <c r="Q70" s="2013"/>
      <c r="R70" s="2013"/>
      <c r="S70" s="2013"/>
      <c r="T70" s="2013"/>
      <c r="U70" s="2013"/>
      <c r="V70" s="2013"/>
    </row>
    <row r="71" spans="1:22" ht="12" customHeight="1">
      <c r="A71" s="359" t="s">
        <v>404</v>
      </c>
      <c r="B71" s="3382" t="s">
        <v>405</v>
      </c>
      <c r="C71" s="3383"/>
      <c r="D71" s="358">
        <f ca="1">ROUND(D63*'数据-取费表'!B41/(1+'数据-取费表'!C42),0)</f>
        <v>4557</v>
      </c>
      <c r="E71" s="17" t="s">
        <v>398</v>
      </c>
      <c r="F71" s="360">
        <f>'数据-取费表'!B41</f>
        <v>5.6000000000000001E-2</v>
      </c>
      <c r="G71" s="361"/>
      <c r="H71" s="311"/>
      <c r="I71" s="1287"/>
      <c r="J71" s="2020"/>
      <c r="K71" s="3012" t="s">
        <v>399</v>
      </c>
      <c r="L71" s="3454" t="s">
        <v>400</v>
      </c>
      <c r="M71" s="3454"/>
      <c r="N71" s="3012" t="s">
        <v>401</v>
      </c>
      <c r="O71" s="3012" t="s">
        <v>402</v>
      </c>
      <c r="P71" s="3012" t="s">
        <v>403</v>
      </c>
      <c r="Q71" s="2013"/>
      <c r="R71" s="2013"/>
      <c r="S71" s="2013"/>
      <c r="T71" s="2013"/>
      <c r="U71" s="2013"/>
      <c r="V71" s="2013"/>
    </row>
    <row r="72" spans="1:22" ht="12" customHeight="1">
      <c r="A72" s="359" t="s">
        <v>407</v>
      </c>
      <c r="B72" s="3382" t="s">
        <v>408</v>
      </c>
      <c r="C72" s="3383"/>
      <c r="D72" s="358">
        <f ca="1">C86</f>
        <v>4445</v>
      </c>
      <c r="E72" s="73" t="s">
        <v>409</v>
      </c>
      <c r="F72" s="360">
        <f>'数据-取费表'!B41</f>
        <v>5.6000000000000001E-2</v>
      </c>
      <c r="G72" s="361"/>
      <c r="H72" s="1293"/>
      <c r="I72" s="1287"/>
      <c r="J72" s="2020"/>
      <c r="K72" s="1961">
        <v>1</v>
      </c>
      <c r="L72" s="3429" t="s">
        <v>406</v>
      </c>
      <c r="M72" s="3429"/>
      <c r="N72" s="1291">
        <f ca="1">D66</f>
        <v>4557</v>
      </c>
      <c r="O72" s="1844" t="str">
        <f>E66</f>
        <v>销售额×税（费）率</v>
      </c>
      <c r="P72" s="1292">
        <f>F66</f>
        <v>5.6000000000000001E-2</v>
      </c>
      <c r="Q72" s="2013"/>
      <c r="R72" s="2013"/>
      <c r="S72" s="2013"/>
      <c r="T72" s="2013"/>
      <c r="U72" s="2013"/>
      <c r="V72" s="2013"/>
    </row>
    <row r="73" spans="1:22" ht="24" customHeight="1">
      <c r="A73" s="3423" t="s">
        <v>411</v>
      </c>
      <c r="B73" s="3391"/>
      <c r="C73" s="3391"/>
      <c r="D73" s="362">
        <f>IF(H73="个人住宅",0,ROUND(D63*I73,0))</f>
        <v>0</v>
      </c>
      <c r="E73" s="17" t="s">
        <v>412</v>
      </c>
      <c r="F73" s="360" t="str">
        <f>IF(H73="正常",I73,"免征")</f>
        <v>免征</v>
      </c>
      <c r="G73" s="361"/>
      <c r="H73" s="191" t="s">
        <v>2452</v>
      </c>
      <c r="I73" s="360">
        <f>'数据-取费表'!B49</f>
        <v>5.0000000000000001E-4</v>
      </c>
      <c r="J73" s="2020"/>
      <c r="K73" s="1961">
        <v>2</v>
      </c>
      <c r="L73" s="3429" t="s">
        <v>410</v>
      </c>
      <c r="M73" s="3429"/>
      <c r="N73" s="1291">
        <f t="shared" ref="N73:P74" si="1">D73</f>
        <v>0</v>
      </c>
      <c r="O73" s="1844" t="str">
        <f t="shared" si="1"/>
        <v>销售额×税（费）率</v>
      </c>
      <c r="P73" s="1292" t="str">
        <f t="shared" si="1"/>
        <v>免征</v>
      </c>
      <c r="Q73" s="2013"/>
      <c r="R73" s="2013"/>
      <c r="S73" s="2013"/>
      <c r="T73" s="2013"/>
      <c r="U73" s="2013"/>
      <c r="V73" s="2013"/>
    </row>
    <row r="74" spans="1:22" ht="24.75">
      <c r="A74" s="3423" t="s">
        <v>415</v>
      </c>
      <c r="B74" s="3391"/>
      <c r="C74" s="3391"/>
      <c r="D74" s="362">
        <f ca="1">IF(H74="个人住宅",D75,D76)</f>
        <v>47703</v>
      </c>
      <c r="E74" s="17" t="s">
        <v>416</v>
      </c>
      <c r="F74" s="360" t="str">
        <f>IF(H74="正常",F76,"免征")</f>
        <v>——</v>
      </c>
      <c r="G74" s="982" t="s">
        <v>417</v>
      </c>
      <c r="H74" s="363" t="s">
        <v>413</v>
      </c>
      <c r="I74" s="42"/>
      <c r="J74" s="2020"/>
      <c r="K74" s="1961">
        <v>3</v>
      </c>
      <c r="L74" s="3429" t="s">
        <v>414</v>
      </c>
      <c r="M74" s="3429"/>
      <c r="N74" s="1291">
        <f t="shared" ca="1" si="1"/>
        <v>47703</v>
      </c>
      <c r="O74" s="1844" t="str">
        <f t="shared" si="1"/>
        <v>增值额×税（费）率</v>
      </c>
      <c r="P74" s="1294" t="str">
        <f t="shared" si="1"/>
        <v>——</v>
      </c>
      <c r="Q74" s="2013"/>
      <c r="R74" s="2013"/>
      <c r="S74" s="2013"/>
      <c r="T74" s="2013"/>
      <c r="U74" s="2013"/>
      <c r="V74" s="2013"/>
    </row>
    <row r="75" spans="1:22" ht="24">
      <c r="A75" s="359" t="s">
        <v>418</v>
      </c>
      <c r="B75" s="3379" t="s">
        <v>419</v>
      </c>
      <c r="C75" s="3409"/>
      <c r="D75" s="364">
        <v>0</v>
      </c>
      <c r="E75" s="41" t="s">
        <v>420</v>
      </c>
      <c r="F75" s="365"/>
      <c r="G75" s="361"/>
      <c r="H75" s="42"/>
      <c r="I75" s="42"/>
      <c r="J75" s="2020"/>
      <c r="K75" s="3005">
        <f>IF(H77="非个人房产","",4)</f>
        <v>4</v>
      </c>
      <c r="L75" s="3429" t="str">
        <f>IF(H77="非个人房产","——","个人所得税")</f>
        <v>个人所得税</v>
      </c>
      <c r="M75" s="3429"/>
      <c r="N75" s="1295">
        <f ca="1">D77</f>
        <v>854</v>
      </c>
      <c r="O75" s="1857" t="str">
        <f>E77</f>
        <v>销售额×税（费）率</v>
      </c>
      <c r="P75" s="1296">
        <f>F77</f>
        <v>0.01</v>
      </c>
      <c r="Q75" s="2013"/>
      <c r="R75" s="2013"/>
      <c r="S75" s="2013"/>
      <c r="T75" s="2013"/>
      <c r="U75" s="2013"/>
      <c r="V75" s="2013"/>
    </row>
    <row r="76" spans="1:22" ht="24.75">
      <c r="A76" s="359" t="s">
        <v>396</v>
      </c>
      <c r="B76" s="3379" t="s">
        <v>422</v>
      </c>
      <c r="C76" s="3380"/>
      <c r="D76" s="362">
        <f ca="1">IF(H76="转让取得",C99,C115)</f>
        <v>47703</v>
      </c>
      <c r="E76" s="17" t="s">
        <v>423</v>
      </c>
      <c r="F76" s="53" t="s">
        <v>21</v>
      </c>
      <c r="G76" s="361"/>
      <c r="H76" s="363" t="s">
        <v>424</v>
      </c>
      <c r="I76" s="42"/>
      <c r="J76" s="2020"/>
      <c r="K76" s="3005" t="str">
        <f>IF(项目基本情况!K6="上海银行",IF(K75="",4,K75+1),"")</f>
        <v/>
      </c>
      <c r="L76" s="3440" t="str">
        <f>IF(项目基本情况!K6="上海银行","其他处置费用","")</f>
        <v/>
      </c>
      <c r="M76" s="3441"/>
      <c r="N76" s="1291" t="str">
        <f>IF(项目基本情况!K6="上海银行",N89,"")</f>
        <v/>
      </c>
      <c r="O76" s="3442" t="str">
        <f>IF(项目基本情况!K6="上海银行","包含处置中涉及的律师、诉讼、拍卖、评估等费用","")</f>
        <v/>
      </c>
      <c r="P76" s="3443"/>
      <c r="Q76" s="2013"/>
      <c r="R76" s="2013"/>
      <c r="S76" s="2013"/>
      <c r="T76" s="2013"/>
      <c r="U76" s="2013"/>
      <c r="V76" s="2013"/>
    </row>
    <row r="77" spans="1:22" ht="26.25" thickBot="1">
      <c r="A77" s="3431" t="s">
        <v>426</v>
      </c>
      <c r="B77" s="3432"/>
      <c r="C77" s="3432"/>
      <c r="D77" s="366">
        <f ca="1">IF(H77="非个人房产","——",IF(H77="个人住宅",0,ROUND(D63*I77,0)))</f>
        <v>854</v>
      </c>
      <c r="E77" s="367" t="str">
        <f>IF(H77="非个人房产","——","销售额×税（费）率")</f>
        <v>销售额×税（费）率</v>
      </c>
      <c r="F77" s="368">
        <f>IF(H77="非个人房产","——",IF(H77="个人住宅","免征",I77))</f>
        <v>0.01</v>
      </c>
      <c r="G77" s="983" t="s">
        <v>417</v>
      </c>
      <c r="H77" s="363" t="s">
        <v>2880</v>
      </c>
      <c r="I77" s="369">
        <v>0.01</v>
      </c>
      <c r="J77" s="2020"/>
      <c r="K77" s="3430">
        <f>IF(AND(K75="",K76=""),4,IF(项目基本情况!K6="上海银行",K76+1,K75+1))</f>
        <v>5</v>
      </c>
      <c r="L77" s="3429" t="s">
        <v>2881</v>
      </c>
      <c r="M77" s="3011" t="s">
        <v>421</v>
      </c>
      <c r="N77" s="1297"/>
      <c r="O77" s="1298">
        <f ca="1">SUMIF(N72:N76,"&lt;9e307")</f>
        <v>53114</v>
      </c>
      <c r="P77" s="1299"/>
      <c r="Q77" s="3009">
        <f ca="1">O77/N69</f>
        <v>0.37300205061939939</v>
      </c>
      <c r="R77" s="2013"/>
      <c r="S77" s="2013"/>
      <c r="T77" s="2013"/>
      <c r="U77" s="2013"/>
      <c r="V77" s="2013"/>
    </row>
    <row r="78" spans="1:22" ht="12" customHeight="1">
      <c r="A78" s="1300"/>
      <c r="B78" s="311"/>
      <c r="C78" s="311"/>
      <c r="D78" s="311"/>
      <c r="E78" s="42"/>
      <c r="F78" s="42"/>
      <c r="G78" s="42"/>
      <c r="H78" s="1002"/>
      <c r="I78" s="311"/>
      <c r="J78" s="2020"/>
      <c r="K78" s="3430"/>
      <c r="L78" s="3429"/>
      <c r="M78" s="3011" t="s">
        <v>425</v>
      </c>
      <c r="N78" s="1297"/>
      <c r="O78" s="1298" t="str">
        <f ca="1">NUMBERSTRING(INT(O77*10000),2)&amp;"元整"</f>
        <v>伍亿叁仟壹佰壹拾肆万元整</v>
      </c>
      <c r="P78" s="1299"/>
      <c r="Q78" s="2013"/>
      <c r="R78" s="2013"/>
      <c r="S78" s="2013"/>
      <c r="T78" s="2013"/>
      <c r="U78" s="2013"/>
      <c r="V78" s="2013"/>
    </row>
    <row r="79" spans="1:22" ht="13.5" thickBot="1">
      <c r="A79" s="3424" t="s">
        <v>427</v>
      </c>
      <c r="B79" s="3424"/>
      <c r="C79" s="3424"/>
      <c r="D79" s="3424"/>
      <c r="E79" s="3424"/>
      <c r="F79" s="42"/>
      <c r="G79" s="42"/>
      <c r="H79" s="1002"/>
      <c r="I79" s="311"/>
      <c r="J79" s="2020"/>
      <c r="K79" s="3450">
        <f>K77+1</f>
        <v>6</v>
      </c>
      <c r="L79" s="3429" t="s">
        <v>2882</v>
      </c>
      <c r="M79" s="3011" t="s">
        <v>421</v>
      </c>
      <c r="N79" s="1297"/>
      <c r="O79" s="1298">
        <f ca="1">N69-O77</f>
        <v>89282</v>
      </c>
      <c r="P79" s="1299"/>
      <c r="Q79" s="2013"/>
      <c r="R79" s="2013"/>
      <c r="S79" s="2013"/>
      <c r="T79" s="2013"/>
      <c r="U79" s="2013"/>
      <c r="V79" s="2013"/>
    </row>
    <row r="80" spans="1:22" ht="25.5">
      <c r="A80" s="3419" t="s">
        <v>428</v>
      </c>
      <c r="B80" s="3420"/>
      <c r="C80" s="993"/>
      <c r="D80" s="993" t="s">
        <v>429</v>
      </c>
      <c r="E80" s="370" t="s">
        <v>430</v>
      </c>
      <c r="F80" s="42"/>
      <c r="G80" s="42"/>
      <c r="H80" s="1002"/>
      <c r="I80" s="311"/>
      <c r="J80" s="2013"/>
      <c r="K80" s="3451"/>
      <c r="L80" s="3429"/>
      <c r="M80" s="3011" t="s">
        <v>425</v>
      </c>
      <c r="N80" s="1297"/>
      <c r="O80" s="1298" t="str">
        <f ca="1">NUMBERSTRING(INT(O79*10000),2)&amp;"元整"</f>
        <v>捌亿玖仟贰佰捌拾贰万元整</v>
      </c>
      <c r="P80" s="1299"/>
      <c r="Q80" s="2013"/>
      <c r="R80" s="2013"/>
      <c r="S80" s="2013"/>
      <c r="T80" s="2013"/>
      <c r="U80" s="2013"/>
      <c r="V80" s="2013"/>
    </row>
    <row r="81" spans="1:26" ht="13.5" thickBot="1">
      <c r="A81" s="381" t="s">
        <v>1823</v>
      </c>
      <c r="B81" s="371" t="s">
        <v>431</v>
      </c>
      <c r="C81" s="372">
        <f ca="1">ROUND((C82+C83)/(1+'数据-取费表'!C42),0)</f>
        <v>81370</v>
      </c>
      <c r="D81" s="373"/>
      <c r="E81" s="374"/>
      <c r="F81" s="42"/>
      <c r="G81" s="42"/>
      <c r="H81" s="1002"/>
      <c r="I81" s="311"/>
      <c r="J81" s="2013"/>
      <c r="K81" s="3005">
        <f>K79+1</f>
        <v>7</v>
      </c>
      <c r="L81" s="3427" t="s">
        <v>2883</v>
      </c>
      <c r="M81" s="3428"/>
      <c r="N81" s="1301"/>
      <c r="O81" s="1302">
        <f ca="1">ROUND(O79*10000/'数据-汇总表'!E3,0)</f>
        <v>1174</v>
      </c>
      <c r="P81" s="1303"/>
      <c r="Q81" s="2013"/>
      <c r="R81" s="2013"/>
      <c r="S81" s="2013"/>
      <c r="T81" s="2013"/>
      <c r="U81" s="2013"/>
      <c r="V81" s="2013"/>
    </row>
    <row r="82" spans="1:26" ht="13.5" thickTop="1">
      <c r="A82" s="375" t="s">
        <v>1824</v>
      </c>
      <c r="B82" s="376" t="s">
        <v>432</v>
      </c>
      <c r="C82" s="377">
        <f ca="1">D63</f>
        <v>85438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439" t="s">
        <v>2870</v>
      </c>
      <c r="L83" s="3017" t="s">
        <v>2871</v>
      </c>
      <c r="M83" s="3007">
        <f ca="1">IF(N69&gt;10000,N69*0.5%,IF(AND(N69&gt;1000,N69&lt;=10000),N69*1%,IF(AND(N69&gt;100,N69&lt;=1000),N69*3%,IF(AND(N69&gt;10,N69&lt;=100),N69*5%,N69*8%))))</f>
        <v>711.98</v>
      </c>
      <c r="N83" s="53">
        <f ca="1">ROUND(M83,1)</f>
        <v>712</v>
      </c>
      <c r="O83" s="3010"/>
      <c r="P83" s="2013"/>
      <c r="Q83" s="2013"/>
      <c r="R83" s="2013"/>
      <c r="S83" s="2013"/>
      <c r="T83" s="2013"/>
      <c r="U83" s="2013"/>
      <c r="V83" s="2013"/>
    </row>
    <row r="84" spans="1:26" ht="12.75">
      <c r="A84" s="381" t="s">
        <v>1826</v>
      </c>
      <c r="B84" s="382" t="s">
        <v>434</v>
      </c>
      <c r="C84" s="383">
        <v>2000</v>
      </c>
      <c r="D84" s="384" t="s">
        <v>19</v>
      </c>
      <c r="E84" s="3052" t="s">
        <v>2936</v>
      </c>
      <c r="F84" s="42"/>
      <c r="G84" s="42"/>
      <c r="H84" s="1002"/>
      <c r="I84" s="311"/>
      <c r="J84" s="2013"/>
      <c r="K84" s="3439"/>
      <c r="L84" s="3017" t="s">
        <v>2872</v>
      </c>
      <c r="M84" s="3007">
        <f ca="1">IF(N69&gt;2000,N69*0.5%,IF(AND(N69&gt;1000,N69&lt;=2000),N69*0.6%,IF(AND(N69&gt;500,N69&lt;=1000),N69*0.7%,IF(AND(N69&gt;200,N69&lt;=500),N69*0.8%,IF(AND(N69&gt;100,N69&lt;=200),N69*0.9%,IF(AND(N69&gt;50,N69&lt;=100),N69*1%,IF(AND(N69&gt;20,N69&lt;=50),N69*1.5%,IF(AND(N69&gt;10,N69&lt;=20),N69*2%,IF(AND(N69&gt;1,N69&lt;=10),N69*2.5%)))))))))</f>
        <v>711.98</v>
      </c>
      <c r="N84" s="53">
        <f t="shared" ref="N84:N85" ca="1" si="2">ROUND(M84,1)</f>
        <v>712</v>
      </c>
      <c r="O84" s="2013" t="s">
        <v>2873</v>
      </c>
      <c r="P84" s="2013"/>
      <c r="Q84" s="2013"/>
      <c r="R84" s="2013"/>
      <c r="S84" s="2013"/>
      <c r="T84" s="2013"/>
      <c r="U84" s="2013"/>
      <c r="V84" s="2013"/>
    </row>
    <row r="85" spans="1:26" ht="12.75">
      <c r="A85" s="381" t="s">
        <v>1827</v>
      </c>
      <c r="B85" s="382" t="s">
        <v>435</v>
      </c>
      <c r="C85" s="385">
        <f ca="1">C81-C84</f>
        <v>79370</v>
      </c>
      <c r="D85" s="378" t="s">
        <v>19</v>
      </c>
      <c r="E85" s="379"/>
      <c r="F85" s="42"/>
      <c r="G85" s="42"/>
      <c r="H85" s="1002"/>
      <c r="I85" s="311"/>
      <c r="J85" s="2013"/>
      <c r="K85" s="3439"/>
      <c r="L85" s="3017" t="s">
        <v>2874</v>
      </c>
      <c r="M85" s="3007">
        <f ca="1">IF(N69&gt;1000,N69*0.1%,IF(AND(N69&gt;500,N69&lt;=1000),N69*0.5%,IF(AND(N69&gt;50,N69&lt;=500),N69*1%,IF(AND(N69&gt;1,N69&lt;=50),N69*1.5%))))</f>
        <v>142.39600000000002</v>
      </c>
      <c r="N85" s="53">
        <f t="shared" ca="1" si="2"/>
        <v>142.4</v>
      </c>
      <c r="O85" s="2013" t="s">
        <v>2873</v>
      </c>
      <c r="P85" s="2013"/>
      <c r="Q85" s="2013"/>
      <c r="R85" s="2013"/>
      <c r="S85" s="2013"/>
      <c r="T85" s="2013"/>
      <c r="U85" s="2013"/>
      <c r="V85" s="2013"/>
    </row>
    <row r="86" spans="1:26" ht="13.5" thickBot="1">
      <c r="A86" s="386" t="s">
        <v>1828</v>
      </c>
      <c r="B86" s="387" t="s">
        <v>436</v>
      </c>
      <c r="C86" s="388">
        <f ca="1">IF(C85&lt;=0,0,ROUND(C85*D86,0))</f>
        <v>4445</v>
      </c>
      <c r="D86" s="389">
        <f>'数据-取费表'!B41</f>
        <v>5.6000000000000001E-2</v>
      </c>
      <c r="E86" s="390"/>
      <c r="F86" s="42"/>
      <c r="G86" s="42"/>
      <c r="H86" s="1002"/>
      <c r="I86" s="311"/>
      <c r="J86" s="2013"/>
      <c r="K86" s="3439"/>
      <c r="L86" s="3017" t="s">
        <v>2875</v>
      </c>
      <c r="M86" s="3007">
        <f ca="1">N69*0.5%</f>
        <v>711.98</v>
      </c>
      <c r="N86" s="53">
        <f ca="1">IF(M86&gt;0.5,0.5,ROUND(M86,0))</f>
        <v>0.5</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439"/>
      <c r="L87" s="3017" t="s">
        <v>2877</v>
      </c>
      <c r="M87" s="3007">
        <f ca="1">IF(N69&gt;=10000,(8.25+(N69-10000)*0.01%),IF(AND(N69&gt;=8000,N69&lt;10000),(7.85+(N69-8000)*0.02%),IF(AND(N69&gt;=5000,N69&lt;8000),(6.65+(N69-5000)*0.04%),IF(AND(N69&gt;=2000,N69&lt;5000),(4.25+(PN69-2000)*0.08%),IF(AND(N69&gt;=1000,N69&lt;2000),(2.75+(N69-1000)*0.15%),IF(AND(N69&gt;=100,N69&lt;1000),(0.5+(N69-100)*0.25%),IF(AND(N69&gt;0,N69&lt;100),N69*0.5%)))))))</f>
        <v>21.489600000000003</v>
      </c>
      <c r="N87" s="53">
        <f ca="1">ROUND(M87*0.9,1)</f>
        <v>19.3</v>
      </c>
      <c r="O87" s="3010"/>
      <c r="P87" s="311"/>
      <c r="Q87" s="2013"/>
      <c r="R87" s="2013"/>
      <c r="S87" s="2013"/>
      <c r="T87" s="2013"/>
      <c r="U87" s="2013"/>
      <c r="V87" s="2013"/>
      <c r="W87" s="292"/>
      <c r="X87" s="292"/>
      <c r="Y87" s="292"/>
      <c r="Z87" s="292"/>
    </row>
    <row r="88" spans="1:26" s="1309" customFormat="1" ht="15" thickBot="1">
      <c r="A88" s="3421" t="s">
        <v>437</v>
      </c>
      <c r="B88" s="3422"/>
      <c r="C88" s="3422"/>
      <c r="D88" s="3422"/>
      <c r="E88" s="3422"/>
      <c r="F88" s="3422"/>
      <c r="G88" s="3422"/>
      <c r="H88" s="3422"/>
      <c r="I88" s="1310"/>
      <c r="J88" s="2021"/>
      <c r="K88" s="3439"/>
      <c r="L88" s="3017" t="s">
        <v>2878</v>
      </c>
      <c r="M88" s="3007">
        <f ca="1">IF(N69&gt;10000,N69*0.5%,IF(AND(N69&gt;5000,N69&lt;=10000),N69*1%,IF(AND(N69&gt;1000,N69&lt;=5000),N69*2%,IF(AND(N69&gt;200,N69&lt;=1000),N69*3%,N69*5%))))</f>
        <v>711.98</v>
      </c>
      <c r="N88" s="53">
        <f ca="1">ROUND(M88,1)</f>
        <v>712</v>
      </c>
      <c r="O88" s="3010"/>
      <c r="P88" s="11"/>
      <c r="Q88" s="2018"/>
      <c r="R88" s="2018"/>
      <c r="S88" s="2018"/>
      <c r="T88" s="2018"/>
      <c r="U88" s="2018"/>
      <c r="V88" s="2018"/>
      <c r="W88" s="2022"/>
      <c r="X88" s="2022"/>
      <c r="Y88" s="2022"/>
      <c r="Z88" s="2022"/>
    </row>
    <row r="89" spans="1:26" s="1309" customFormat="1" ht="14.25">
      <c r="A89" s="3419" t="s">
        <v>428</v>
      </c>
      <c r="B89" s="3420"/>
      <c r="C89" s="993"/>
      <c r="D89" s="993" t="s">
        <v>429</v>
      </c>
      <c r="E89" s="391" t="s">
        <v>438</v>
      </c>
      <c r="F89" s="392"/>
      <c r="G89" s="392"/>
      <c r="H89" s="393"/>
      <c r="I89" s="1311"/>
      <c r="J89" s="2023"/>
      <c r="K89" s="3439"/>
      <c r="L89" s="3017" t="s">
        <v>27</v>
      </c>
      <c r="M89" s="3008"/>
      <c r="N89" s="53">
        <f ca="1">ROUND(SUM(N83:N88),0)</f>
        <v>2298</v>
      </c>
      <c r="O89" s="3018">
        <f ca="1">N89/N69</f>
        <v>1.6138093766678838E-2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81370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3049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82" t="s">
        <v>447</v>
      </c>
      <c r="F94" s="3381"/>
      <c r="G94" s="3381"/>
      <c r="H94" s="341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488</v>
      </c>
      <c r="D96" s="406">
        <f>'数据-取费表'!B43</f>
        <v>6.000000000000001E-3</v>
      </c>
      <c r="E96" s="3410" t="s">
        <v>2425</v>
      </c>
      <c r="F96" s="3411"/>
      <c r="G96" s="3411"/>
      <c r="H96" s="3412"/>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78321</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25.687438504427682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45925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421" t="s">
        <v>454</v>
      </c>
      <c r="B101" s="3422"/>
      <c r="C101" s="3422"/>
      <c r="D101" s="3422"/>
      <c r="E101" s="3422"/>
      <c r="F101" s="3422"/>
      <c r="G101" s="3422"/>
      <c r="H101" s="342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419" t="s">
        <v>428</v>
      </c>
      <c r="B102" s="342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81370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1178</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555</v>
      </c>
      <c r="D106" s="406"/>
      <c r="E106" s="417" t="s">
        <v>457</v>
      </c>
      <c r="F106" s="985"/>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413" t="s">
        <v>462</v>
      </c>
      <c r="F109" s="3411"/>
      <c r="G109" s="3411"/>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413" t="s">
        <v>464</v>
      </c>
      <c r="F110" s="3411"/>
      <c r="G110" s="3411"/>
      <c r="H110" s="3412"/>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488</v>
      </c>
      <c r="D111" s="406">
        <f>'数据-取费表'!B43</f>
        <v>6.000000000000001E-3</v>
      </c>
      <c r="E111" s="3410" t="s">
        <v>2425</v>
      </c>
      <c r="F111" s="3411"/>
      <c r="G111" s="3411"/>
      <c r="H111" s="3412"/>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413" t="s">
        <v>2450</v>
      </c>
      <c r="F112" s="3411"/>
      <c r="G112" s="3411"/>
      <c r="H112" s="3412"/>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80192</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68.074702886247877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47703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F78" sqref="F78"/>
    </sheetView>
  </sheetViews>
  <sheetFormatPr defaultColWidth="9" defaultRowHeight="14.25"/>
  <cols>
    <col min="1" max="2" width="15.62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118288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1555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7313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488</v>
      </c>
      <c r="C5" s="431" t="s">
        <v>469</v>
      </c>
      <c r="D5" s="2046"/>
      <c r="E5" s="3251" t="s">
        <v>3346</v>
      </c>
      <c r="F5" s="2046"/>
      <c r="G5" s="3252" t="s">
        <v>3347</v>
      </c>
      <c r="H5" s="2113"/>
      <c r="I5" s="3252" t="s">
        <v>3348</v>
      </c>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64" t="s">
        <v>522</v>
      </c>
      <c r="D6" s="3465"/>
      <c r="E6" s="3464" t="s">
        <v>523</v>
      </c>
      <c r="F6" s="3465"/>
      <c r="G6" s="3464" t="s">
        <v>524</v>
      </c>
      <c r="H6" s="3465"/>
      <c r="I6" s="3464" t="s">
        <v>525</v>
      </c>
      <c r="J6" s="3465"/>
      <c r="K6" s="514" t="s">
        <v>526</v>
      </c>
      <c r="L6" s="2118"/>
      <c r="M6" s="2117"/>
      <c r="N6" s="2117"/>
      <c r="O6" s="2119"/>
      <c r="P6" s="3466" t="s">
        <v>527</v>
      </c>
      <c r="Q6" s="3467"/>
      <c r="R6" s="3472" t="s">
        <v>523</v>
      </c>
      <c r="S6" s="3473"/>
      <c r="T6" s="3472" t="s">
        <v>524</v>
      </c>
      <c r="U6" s="3473"/>
      <c r="V6" s="3459" t="s">
        <v>525</v>
      </c>
      <c r="W6" s="3459"/>
      <c r="X6" s="1553"/>
      <c r="Y6" s="3472" t="s">
        <v>527</v>
      </c>
      <c r="Z6" s="3473"/>
      <c r="AA6" s="3461" t="s">
        <v>523</v>
      </c>
      <c r="AB6" s="3462" t="s">
        <v>524</v>
      </c>
      <c r="AC6" s="3461" t="s">
        <v>525</v>
      </c>
    </row>
    <row r="7" spans="1:30" ht="35.25" customHeight="1">
      <c r="A7" s="515"/>
      <c r="B7" s="516"/>
      <c r="C7" s="3480" t="s">
        <v>2925</v>
      </c>
      <c r="D7" s="3481"/>
      <c r="E7" s="3480" t="str">
        <f>土地案例!E21</f>
        <v>尖草坪区西流村,东、南、西至晋西机器厂、北至规划路</v>
      </c>
      <c r="F7" s="3481"/>
      <c r="G7" s="3480" t="str">
        <f>土地案例!E26</f>
        <v>尖草坪区大东流村,东至千峰北路,南至、西至、北至规划路</v>
      </c>
      <c r="H7" s="3481"/>
      <c r="I7" s="3480" t="str">
        <f>土地案例!E28</f>
        <v>尖草坪区大东流村,东至九丰路,南至、西至、北至规划路</v>
      </c>
      <c r="J7" s="3481"/>
      <c r="K7" s="514"/>
      <c r="L7" s="2118"/>
      <c r="M7" s="2117"/>
      <c r="N7" s="2117"/>
      <c r="O7" s="2119"/>
      <c r="P7" s="3468"/>
      <c r="Q7" s="3469"/>
      <c r="R7" s="3474"/>
      <c r="S7" s="3475"/>
      <c r="T7" s="3474"/>
      <c r="U7" s="3475"/>
      <c r="V7" s="3459"/>
      <c r="W7" s="3459"/>
      <c r="X7" s="1553"/>
      <c r="Y7" s="3474"/>
      <c r="Z7" s="3475"/>
      <c r="AA7" s="3462"/>
      <c r="AB7" s="3462"/>
      <c r="AC7" s="3462"/>
    </row>
    <row r="8" spans="1:30" ht="21" thickBot="1">
      <c r="A8" s="515"/>
      <c r="B8" s="516"/>
      <c r="C8" s="3482" t="s">
        <v>2929</v>
      </c>
      <c r="D8" s="3483"/>
      <c r="E8" s="3482" t="str">
        <f>土地案例!G21</f>
        <v>HGZ-1839</v>
      </c>
      <c r="F8" s="3483"/>
      <c r="G8" s="3478" t="str">
        <f>土地案例!G26</f>
        <v>HGZ-1827</v>
      </c>
      <c r="H8" s="3479"/>
      <c r="I8" s="3478" t="str">
        <f>土地案例!G28</f>
        <v>HGZ-1820</v>
      </c>
      <c r="J8" s="3479"/>
      <c r="K8" s="514" t="s">
        <v>528</v>
      </c>
      <c r="L8" s="2118"/>
      <c r="M8" s="2117"/>
      <c r="N8" s="2117"/>
      <c r="O8" s="2119"/>
      <c r="P8" s="3470"/>
      <c r="Q8" s="3471"/>
      <c r="R8" s="3474"/>
      <c r="S8" s="3475"/>
      <c r="T8" s="3476"/>
      <c r="U8" s="3477"/>
      <c r="V8" s="3459"/>
      <c r="W8" s="3459"/>
      <c r="X8" s="1553"/>
      <c r="Y8" s="3476"/>
      <c r="Z8" s="3477"/>
      <c r="AA8" s="3463"/>
      <c r="AB8" s="3463"/>
      <c r="AC8" s="3463"/>
    </row>
    <row r="9" spans="1:30" s="1215" customFormat="1" ht="21" thickBot="1">
      <c r="A9" s="2867"/>
      <c r="B9" s="2874" t="s">
        <v>529</v>
      </c>
      <c r="C9" s="2866">
        <f>'数据-取费表'!B2</f>
        <v>43621</v>
      </c>
      <c r="D9" s="520">
        <v>100</v>
      </c>
      <c r="E9" s="521" t="str">
        <f>土地案例!L21</f>
        <v>2018-09-28</v>
      </c>
      <c r="F9" s="522">
        <f>SUMIF(72:72,YEAR(E9)&amp;"-"&amp;INT((MONTH(E9)+2)/3),73:73)</f>
        <v>98.5</v>
      </c>
      <c r="G9" s="523" t="str">
        <f>土地案例!L26</f>
        <v>2018-09-06</v>
      </c>
      <c r="H9" s="520">
        <f>SUMIF(72:72,YEAR(G9)&amp;"-"&amp;INT((MONTH(G9)+2)/3),73:73)</f>
        <v>98.5</v>
      </c>
      <c r="I9" s="523" t="str">
        <f>土地案例!L28</f>
        <v>2018-08-08</v>
      </c>
      <c r="J9" s="520">
        <f>SUMIF(72:72,YEAR(I9)&amp;"-"&amp;INT((MONTH(I9)+2)/3),73:73)</f>
        <v>98.5</v>
      </c>
      <c r="K9" s="524"/>
      <c r="L9" s="2120"/>
      <c r="M9" s="2117"/>
      <c r="N9" s="2117"/>
      <c r="O9" s="2121"/>
      <c r="P9" s="3489" t="s">
        <v>530</v>
      </c>
      <c r="Q9" s="3491"/>
      <c r="R9" s="1554" t="s">
        <v>8</v>
      </c>
      <c r="S9" s="1555">
        <f t="shared" ref="S9:S17" si="0">F9</f>
        <v>98.5</v>
      </c>
      <c r="T9" s="1554" t="s">
        <v>8</v>
      </c>
      <c r="U9" s="1555">
        <f t="shared" ref="U9:U17" si="1">H9</f>
        <v>98.5</v>
      </c>
      <c r="V9" s="1554" t="s">
        <v>8</v>
      </c>
      <c r="W9" s="1555">
        <f t="shared" ref="W9:W17" si="2">J9</f>
        <v>98.5</v>
      </c>
      <c r="X9" s="1556"/>
      <c r="Y9" s="3489" t="s">
        <v>530</v>
      </c>
      <c r="Z9" s="3490"/>
      <c r="AA9" s="1557">
        <f>D9/F9</f>
        <v>1.015228426395939</v>
      </c>
      <c r="AB9" s="1557">
        <f>D9/H9</f>
        <v>1.015228426395939</v>
      </c>
      <c r="AC9" s="1557">
        <f>D9/J9</f>
        <v>1.015228426395939</v>
      </c>
    </row>
    <row r="10" spans="1:30" s="1215" customFormat="1" ht="21" thickBot="1">
      <c r="A10" s="2868"/>
      <c r="B10" s="2875" t="s">
        <v>531</v>
      </c>
      <c r="C10" s="856" t="s">
        <v>532</v>
      </c>
      <c r="D10" s="520">
        <v>100</v>
      </c>
      <c r="E10" s="525" t="s">
        <v>3203</v>
      </c>
      <c r="F10" s="522">
        <f>SUMIF(75:75,E10,76:76)-SUMIF(75:75,C10,76:76)+100</f>
        <v>100</v>
      </c>
      <c r="G10" s="525" t="s">
        <v>3203</v>
      </c>
      <c r="H10" s="520">
        <f>SUMIF(75:75,G10,76:76)-SUMIF(75:75,C10,76:76)+100</f>
        <v>100</v>
      </c>
      <c r="I10" s="525" t="s">
        <v>3203</v>
      </c>
      <c r="J10" s="520">
        <f>SUMIF(75:75,I10,76:76)-SUMIF(75:75,C10,76:76)+100</f>
        <v>100</v>
      </c>
      <c r="K10" s="524"/>
      <c r="L10" s="2120"/>
      <c r="M10" s="2117"/>
      <c r="N10" s="2117"/>
      <c r="O10" s="2121"/>
      <c r="P10" s="3489" t="s">
        <v>533</v>
      </c>
      <c r="Q10" s="3490"/>
      <c r="R10" s="1554" t="s">
        <v>8</v>
      </c>
      <c r="S10" s="1555">
        <f t="shared" si="0"/>
        <v>100</v>
      </c>
      <c r="T10" s="1554" t="s">
        <v>8</v>
      </c>
      <c r="U10" s="1555">
        <f t="shared" si="1"/>
        <v>100</v>
      </c>
      <c r="V10" s="1554" t="s">
        <v>8</v>
      </c>
      <c r="W10" s="1555">
        <f t="shared" si="2"/>
        <v>100</v>
      </c>
      <c r="X10" s="1556"/>
      <c r="Y10" s="3489" t="s">
        <v>533</v>
      </c>
      <c r="Z10" s="3490"/>
      <c r="AA10" s="1557">
        <f t="shared" ref="AA10:AA47" si="3">D10/F10</f>
        <v>1</v>
      </c>
      <c r="AB10" s="1557">
        <f t="shared" ref="AB10:AB47" si="4">D10/H10</f>
        <v>1</v>
      </c>
      <c r="AC10" s="1557">
        <f t="shared" ref="AC10:AC47" si="5">D10/J10</f>
        <v>1</v>
      </c>
    </row>
    <row r="11" spans="1:30" s="1215" customFormat="1" ht="28.5">
      <c r="A11" s="2869"/>
      <c r="B11" s="2876" t="s">
        <v>2752</v>
      </c>
      <c r="C11" s="2863" t="s">
        <v>3349</v>
      </c>
      <c r="D11" s="254">
        <v>100</v>
      </c>
      <c r="E11" s="526" t="s">
        <v>3082</v>
      </c>
      <c r="F11" s="254">
        <f>SUMIF(77:77,E11,78:78)-SUMIF(77:77,C11,78:78)+100</f>
        <v>100</v>
      </c>
      <c r="G11" s="526" t="s">
        <v>3082</v>
      </c>
      <c r="H11" s="254">
        <f>SUMIF(77:77,G11,78:78)-SUMIF(77:77,C11,78:78)+100</f>
        <v>100</v>
      </c>
      <c r="I11" s="526" t="s">
        <v>3082</v>
      </c>
      <c r="J11" s="254">
        <f>SUMIF(77:77,I11,78:78)-SUMIF(77:77,C11,78:78)+100</f>
        <v>100</v>
      </c>
      <c r="K11" s="524"/>
      <c r="L11" s="2120"/>
      <c r="M11" s="2117"/>
      <c r="N11" s="2117"/>
      <c r="O11" s="2122"/>
      <c r="P11" s="3458" t="s">
        <v>535</v>
      </c>
      <c r="Q11" s="1146" t="str">
        <f t="shared" ref="Q11:Q17" si="6">B11</f>
        <v>用途</v>
      </c>
      <c r="R11" s="1554" t="s">
        <v>8</v>
      </c>
      <c r="S11" s="1555">
        <f t="shared" si="0"/>
        <v>100</v>
      </c>
      <c r="T11" s="1554" t="s">
        <v>8</v>
      </c>
      <c r="U11" s="1555">
        <f t="shared" si="1"/>
        <v>100</v>
      </c>
      <c r="V11" s="1554" t="s">
        <v>8</v>
      </c>
      <c r="W11" s="1555">
        <f t="shared" si="2"/>
        <v>100</v>
      </c>
      <c r="X11" s="1556"/>
      <c r="Y11" s="3404" t="s">
        <v>536</v>
      </c>
      <c r="Z11" s="1145" t="str">
        <f t="shared" ref="Z11:Z17" si="7">Q11</f>
        <v>用途</v>
      </c>
      <c r="AA11" s="1557">
        <f t="shared" si="3"/>
        <v>1</v>
      </c>
      <c r="AB11" s="1557">
        <f t="shared" si="4"/>
        <v>1</v>
      </c>
      <c r="AC11" s="1557">
        <f t="shared" si="5"/>
        <v>1</v>
      </c>
    </row>
    <row r="12" spans="1:30" s="1333" customFormat="1" ht="27">
      <c r="A12" s="2870"/>
      <c r="B12" s="2875" t="s">
        <v>2753</v>
      </c>
      <c r="C12" s="909"/>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58"/>
      <c r="Q12" s="1146" t="str">
        <f t="shared" si="6"/>
        <v>土地使用年限（年）</v>
      </c>
      <c r="R12" s="1554" t="s">
        <v>8</v>
      </c>
      <c r="S12" s="1555">
        <f t="shared" si="0"/>
        <v>100</v>
      </c>
      <c r="T12" s="1554" t="s">
        <v>8</v>
      </c>
      <c r="U12" s="1555">
        <f t="shared" si="1"/>
        <v>100</v>
      </c>
      <c r="V12" s="1554" t="s">
        <v>8</v>
      </c>
      <c r="W12" s="1555">
        <f t="shared" si="2"/>
        <v>100</v>
      </c>
      <c r="X12" s="1556"/>
      <c r="Y12" s="3404"/>
      <c r="Z12" s="1145" t="str">
        <f t="shared" si="7"/>
        <v>土地使用年限（年）</v>
      </c>
      <c r="AA12" s="1557">
        <f t="shared" si="3"/>
        <v>1</v>
      </c>
      <c r="AB12" s="1557">
        <f t="shared" si="4"/>
        <v>1</v>
      </c>
      <c r="AC12" s="1557">
        <f t="shared" si="5"/>
        <v>1</v>
      </c>
    </row>
    <row r="13" spans="1:30" ht="20.25">
      <c r="A13" s="2871"/>
      <c r="B13" s="2875" t="s">
        <v>2754</v>
      </c>
      <c r="C13" s="534">
        <v>3.7</v>
      </c>
      <c r="D13" s="255">
        <v>100</v>
      </c>
      <c r="E13" s="533">
        <f>土地案例!K21</f>
        <v>4.2</v>
      </c>
      <c r="F13" s="255">
        <f>LOOKUP(E13,82:82,83:83)-LOOKUP(C13,82:82,83:83)+100</f>
        <v>97</v>
      </c>
      <c r="G13" s="534">
        <f>土地案例!K26</f>
        <v>4.4000000000000004</v>
      </c>
      <c r="H13" s="255">
        <f>LOOKUP(G13,82:82,83:83)-LOOKUP(C13,82:82,83:83)+100</f>
        <v>97</v>
      </c>
      <c r="I13" s="533">
        <f>土地案例!K28</f>
        <v>4.9000000000000004</v>
      </c>
      <c r="J13" s="255">
        <f>LOOKUP(I13,82:82,83:83)-LOOKUP(C13,82:82,83:83)+100</f>
        <v>94</v>
      </c>
      <c r="K13" s="535">
        <v>3</v>
      </c>
      <c r="L13" s="2125"/>
      <c r="M13" s="2117"/>
      <c r="N13" s="2117"/>
      <c r="O13" s="2126"/>
      <c r="P13" s="3458"/>
      <c r="Q13" s="1146" t="str">
        <f t="shared" si="6"/>
        <v>容积率</v>
      </c>
      <c r="R13" s="1554" t="s">
        <v>8</v>
      </c>
      <c r="S13" s="1555">
        <f t="shared" si="0"/>
        <v>97</v>
      </c>
      <c r="T13" s="1554" t="s">
        <v>8</v>
      </c>
      <c r="U13" s="1555">
        <f t="shared" si="1"/>
        <v>97</v>
      </c>
      <c r="V13" s="1554" t="s">
        <v>8</v>
      </c>
      <c r="W13" s="1555">
        <f t="shared" si="2"/>
        <v>94</v>
      </c>
      <c r="X13" s="1556"/>
      <c r="Y13" s="3404"/>
      <c r="Z13" s="1145" t="str">
        <f t="shared" si="7"/>
        <v>容积率</v>
      </c>
      <c r="AA13" s="1557">
        <f t="shared" si="3"/>
        <v>1.0309278350515463</v>
      </c>
      <c r="AB13" s="1557">
        <f t="shared" si="4"/>
        <v>1.0309278350515463</v>
      </c>
      <c r="AC13" s="1557">
        <f t="shared" si="5"/>
        <v>1.0638297872340425</v>
      </c>
    </row>
    <row r="14" spans="1:30" s="1215" customFormat="1" ht="20.25">
      <c r="A14" s="2868"/>
      <c r="B14" s="2877" t="s">
        <v>2755</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58"/>
      <c r="Q14" s="1146" t="str">
        <f t="shared" si="6"/>
        <v>配建</v>
      </c>
      <c r="R14" s="1554" t="s">
        <v>8</v>
      </c>
      <c r="S14" s="1555">
        <f t="shared" si="0"/>
        <v>100</v>
      </c>
      <c r="T14" s="1554" t="s">
        <v>8</v>
      </c>
      <c r="U14" s="1555">
        <f t="shared" si="1"/>
        <v>100</v>
      </c>
      <c r="V14" s="1554" t="s">
        <v>8</v>
      </c>
      <c r="W14" s="1555">
        <f t="shared" si="2"/>
        <v>100</v>
      </c>
      <c r="X14" s="1556"/>
      <c r="Y14" s="3404"/>
      <c r="Z14" s="1145" t="str">
        <f t="shared" si="7"/>
        <v>配建</v>
      </c>
      <c r="AA14" s="1557">
        <f>D14/F14</f>
        <v>1</v>
      </c>
      <c r="AB14" s="1557">
        <f>D14/H14</f>
        <v>1</v>
      </c>
      <c r="AC14" s="1557">
        <f>D14/J14</f>
        <v>1</v>
      </c>
    </row>
    <row r="15" spans="1:30" ht="20.25">
      <c r="A15" s="2872"/>
      <c r="B15" s="2878"/>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58"/>
      <c r="Q15" s="1146">
        <f t="shared" si="6"/>
        <v>0</v>
      </c>
      <c r="R15" s="1554" t="s">
        <v>8</v>
      </c>
      <c r="S15" s="1555">
        <f t="shared" si="0"/>
        <v>100</v>
      </c>
      <c r="T15" s="1554" t="s">
        <v>8</v>
      </c>
      <c r="U15" s="1555">
        <f t="shared" si="1"/>
        <v>100</v>
      </c>
      <c r="V15" s="1554" t="s">
        <v>8</v>
      </c>
      <c r="W15" s="1555">
        <f t="shared" si="2"/>
        <v>100</v>
      </c>
      <c r="X15" s="1556"/>
      <c r="Y15" s="3404"/>
      <c r="Z15" s="1145">
        <f t="shared" si="7"/>
        <v>0</v>
      </c>
      <c r="AA15" s="1557">
        <f>D15/F15</f>
        <v>1</v>
      </c>
      <c r="AB15" s="1557">
        <f>D15/H15</f>
        <v>1</v>
      </c>
      <c r="AC15" s="1557">
        <f>D15/J15</f>
        <v>1</v>
      </c>
    </row>
    <row r="16" spans="1:30" ht="21" thickBot="1">
      <c r="A16" s="2873"/>
      <c r="B16" s="2879"/>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58"/>
      <c r="Q16" s="1146">
        <f t="shared" si="6"/>
        <v>0</v>
      </c>
      <c r="R16" s="1554" t="s">
        <v>8</v>
      </c>
      <c r="S16" s="1555">
        <f t="shared" si="0"/>
        <v>100</v>
      </c>
      <c r="T16" s="1554" t="s">
        <v>8</v>
      </c>
      <c r="U16" s="1555">
        <f t="shared" si="1"/>
        <v>100</v>
      </c>
      <c r="V16" s="1554" t="s">
        <v>8</v>
      </c>
      <c r="W16" s="1555">
        <f t="shared" si="2"/>
        <v>100</v>
      </c>
      <c r="X16" s="1556"/>
      <c r="Y16" s="3404"/>
      <c r="Z16" s="1145">
        <f t="shared" si="7"/>
        <v>0</v>
      </c>
      <c r="AA16" s="1557">
        <f>D16/F16</f>
        <v>1</v>
      </c>
      <c r="AB16" s="1557">
        <f>D16/H16</f>
        <v>1</v>
      </c>
      <c r="AC16" s="1557">
        <f>D16/J16</f>
        <v>1</v>
      </c>
    </row>
    <row r="17" spans="1:29" ht="99.75">
      <c r="A17" s="2865"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110</v>
      </c>
      <c r="G17" s="552"/>
      <c r="H17" s="549">
        <f>SUMIF(90:90,G18,91:91)-SUMIF(90:90,C18,91:91)+100</f>
        <v>110</v>
      </c>
      <c r="I17" s="552"/>
      <c r="J17" s="549">
        <f>SUMIF(90:90,I18,91:91)-SUMIF(90:90,C18,91:91)+100</f>
        <v>110</v>
      </c>
      <c r="K17" s="535">
        <v>5</v>
      </c>
      <c r="L17" s="2127"/>
      <c r="M17" s="2117"/>
      <c r="N17" s="2117"/>
      <c r="O17" s="2126"/>
      <c r="P17" s="3492" t="s">
        <v>540</v>
      </c>
      <c r="Q17" s="1558" t="str">
        <f t="shared" si="6"/>
        <v>居住社区成熟度</v>
      </c>
      <c r="R17" s="1559" t="s">
        <v>8</v>
      </c>
      <c r="S17" s="1560">
        <f t="shared" si="0"/>
        <v>110</v>
      </c>
      <c r="T17" s="1559" t="s">
        <v>8</v>
      </c>
      <c r="U17" s="1560">
        <f t="shared" si="1"/>
        <v>110</v>
      </c>
      <c r="V17" s="1559" t="s">
        <v>8</v>
      </c>
      <c r="W17" s="1560">
        <f t="shared" si="2"/>
        <v>110</v>
      </c>
      <c r="X17" s="1553"/>
      <c r="Y17" s="3492" t="s">
        <v>540</v>
      </c>
      <c r="Z17" s="1561" t="str">
        <f t="shared" si="7"/>
        <v>居住社区成熟度</v>
      </c>
      <c r="AA17" s="1562">
        <f t="shared" si="3"/>
        <v>0.90909090909090906</v>
      </c>
      <c r="AB17" s="1562">
        <f t="shared" si="4"/>
        <v>0.90909090909090906</v>
      </c>
      <c r="AC17" s="1562">
        <f t="shared" si="5"/>
        <v>0.90909090909090906</v>
      </c>
    </row>
    <row r="18" spans="1:29" ht="20.25">
      <c r="A18" s="532"/>
      <c r="B18" s="553"/>
      <c r="C18" s="554" t="s">
        <v>3248</v>
      </c>
      <c r="D18" s="557"/>
      <c r="E18" s="558" t="s">
        <v>3249</v>
      </c>
      <c r="F18" s="555"/>
      <c r="G18" s="558" t="s">
        <v>3249</v>
      </c>
      <c r="H18" s="559"/>
      <c r="I18" s="558" t="s">
        <v>3249</v>
      </c>
      <c r="J18" s="555"/>
      <c r="K18" s="531"/>
      <c r="L18" s="2127"/>
      <c r="M18" s="2117"/>
      <c r="N18" s="2117"/>
      <c r="O18" s="2126"/>
      <c r="P18" s="3493"/>
      <c r="Q18" s="1558"/>
      <c r="R18" s="1559"/>
      <c r="S18" s="1560"/>
      <c r="T18" s="1559"/>
      <c r="U18" s="1560"/>
      <c r="V18" s="1559"/>
      <c r="W18" s="1560"/>
      <c r="X18" s="1553"/>
      <c r="Y18" s="3493"/>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105</v>
      </c>
      <c r="G19" s="564"/>
      <c r="H19" s="565">
        <f>SUMIF(92:92,G20,93:93)-SUMIF(92:92,C20,93:93)+100</f>
        <v>105</v>
      </c>
      <c r="I19" s="564"/>
      <c r="J19" s="565">
        <f>SUMIF(92:92,I20,93:93)-SUMIF(92:92,C20,93:93)+100</f>
        <v>105</v>
      </c>
      <c r="K19" s="535">
        <v>5</v>
      </c>
      <c r="L19" s="2127"/>
      <c r="M19" s="2117"/>
      <c r="N19" s="2117"/>
      <c r="O19" s="2126"/>
      <c r="P19" s="3493"/>
      <c r="Q19" s="1558" t="str">
        <f>B19</f>
        <v>商业繁华度</v>
      </c>
      <c r="R19" s="1559" t="s">
        <v>8</v>
      </c>
      <c r="S19" s="1560">
        <f>F19</f>
        <v>105</v>
      </c>
      <c r="T19" s="1559" t="s">
        <v>8</v>
      </c>
      <c r="U19" s="1560">
        <f>H19</f>
        <v>105</v>
      </c>
      <c r="V19" s="1559" t="s">
        <v>8</v>
      </c>
      <c r="W19" s="1560">
        <f>J19</f>
        <v>105</v>
      </c>
      <c r="X19" s="1553"/>
      <c r="Y19" s="3493"/>
      <c r="Z19" s="1561" t="str">
        <f>Q19</f>
        <v>商业繁华度</v>
      </c>
      <c r="AA19" s="1562">
        <f t="shared" si="3"/>
        <v>0.95238095238095233</v>
      </c>
      <c r="AB19" s="1562">
        <f t="shared" si="4"/>
        <v>0.95238095238095233</v>
      </c>
      <c r="AC19" s="1562">
        <f t="shared" si="5"/>
        <v>0.95238095238095233</v>
      </c>
    </row>
    <row r="20" spans="1:29" ht="20.25">
      <c r="A20" s="532"/>
      <c r="B20" s="566"/>
      <c r="C20" s="567" t="s">
        <v>3250</v>
      </c>
      <c r="D20" s="563"/>
      <c r="E20" s="569" t="s">
        <v>3249</v>
      </c>
      <c r="F20" s="559"/>
      <c r="G20" s="569" t="s">
        <v>3249</v>
      </c>
      <c r="H20" s="555"/>
      <c r="I20" s="569" t="s">
        <v>3249</v>
      </c>
      <c r="J20" s="555"/>
      <c r="K20" s="531"/>
      <c r="L20" s="2127"/>
      <c r="M20" s="2117"/>
      <c r="N20" s="2117"/>
      <c r="O20" s="2126"/>
      <c r="P20" s="3493"/>
      <c r="Q20" s="1558"/>
      <c r="R20" s="1559"/>
      <c r="S20" s="1560"/>
      <c r="T20" s="1559"/>
      <c r="U20" s="1560"/>
      <c r="V20" s="1559"/>
      <c r="W20" s="1560"/>
      <c r="X20" s="1553"/>
      <c r="Y20" s="3493"/>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493"/>
      <c r="Q21" s="1558" t="str">
        <f>B21</f>
        <v>办公集聚程度</v>
      </c>
      <c r="R21" s="1559" t="s">
        <v>8</v>
      </c>
      <c r="S21" s="1560">
        <f>F21</f>
        <v>100</v>
      </c>
      <c r="T21" s="1559" t="s">
        <v>8</v>
      </c>
      <c r="U21" s="1560">
        <f>H21</f>
        <v>100</v>
      </c>
      <c r="V21" s="1559" t="s">
        <v>8</v>
      </c>
      <c r="W21" s="1560">
        <f>J21</f>
        <v>100</v>
      </c>
      <c r="X21" s="1553"/>
      <c r="Y21" s="3493"/>
      <c r="Z21" s="1561" t="str">
        <f>Q21</f>
        <v>办公集聚程度</v>
      </c>
      <c r="AA21" s="1562">
        <f t="shared" si="3"/>
        <v>1</v>
      </c>
      <c r="AB21" s="1562">
        <f t="shared" si="4"/>
        <v>1</v>
      </c>
      <c r="AC21" s="1562">
        <f t="shared" si="5"/>
        <v>1</v>
      </c>
    </row>
    <row r="22" spans="1:29" ht="20.25" hidden="1">
      <c r="A22" s="532"/>
      <c r="B22" s="566"/>
      <c r="C22" s="554"/>
      <c r="D22" s="557"/>
      <c r="E22" s="558"/>
      <c r="F22" s="555"/>
      <c r="G22" s="558"/>
      <c r="H22" s="555"/>
      <c r="I22" s="558"/>
      <c r="J22" s="555"/>
      <c r="K22" s="531"/>
      <c r="L22" s="2127"/>
      <c r="M22" s="2117"/>
      <c r="N22" s="2117"/>
      <c r="O22" s="2126"/>
      <c r="P22" s="3493"/>
      <c r="Q22" s="1558"/>
      <c r="R22" s="1559"/>
      <c r="S22" s="1560"/>
      <c r="T22" s="1559"/>
      <c r="U22" s="1560"/>
      <c r="V22" s="1559"/>
      <c r="W22" s="1560"/>
      <c r="X22" s="1553"/>
      <c r="Y22" s="3493"/>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27"/>
      <c r="M23" s="2117"/>
      <c r="N23" s="2117"/>
      <c r="O23" s="2126"/>
      <c r="P23" s="3493"/>
      <c r="Q23" s="1558" t="str">
        <f>B23</f>
        <v>交通便捷度</v>
      </c>
      <c r="R23" s="1559" t="s">
        <v>8</v>
      </c>
      <c r="S23" s="1560">
        <f>F23</f>
        <v>100</v>
      </c>
      <c r="T23" s="1559" t="s">
        <v>8</v>
      </c>
      <c r="U23" s="1560">
        <f>H23</f>
        <v>100</v>
      </c>
      <c r="V23" s="1559" t="s">
        <v>8</v>
      </c>
      <c r="W23" s="1560">
        <f>J23</f>
        <v>100</v>
      </c>
      <c r="X23" s="1553"/>
      <c r="Y23" s="3493"/>
      <c r="Z23" s="1561" t="str">
        <f>Q23</f>
        <v>交通便捷度</v>
      </c>
      <c r="AA23" s="1562">
        <f t="shared" si="3"/>
        <v>1</v>
      </c>
      <c r="AB23" s="1562">
        <f t="shared" si="4"/>
        <v>1</v>
      </c>
      <c r="AC23" s="1562">
        <f t="shared" si="5"/>
        <v>1</v>
      </c>
    </row>
    <row r="24" spans="1:29" ht="20.25">
      <c r="A24" s="532"/>
      <c r="B24" s="578"/>
      <c r="C24" s="554" t="s">
        <v>3249</v>
      </c>
      <c r="D24" s="557"/>
      <c r="E24" s="558" t="s">
        <v>3249</v>
      </c>
      <c r="F24" s="555"/>
      <c r="G24" s="558" t="s">
        <v>3249</v>
      </c>
      <c r="H24" s="555"/>
      <c r="I24" s="558" t="s">
        <v>3249</v>
      </c>
      <c r="J24" s="555"/>
      <c r="K24" s="531"/>
      <c r="L24" s="2127"/>
      <c r="M24" s="2117"/>
      <c r="N24" s="2117"/>
      <c r="O24" s="2126"/>
      <c r="P24" s="3493"/>
      <c r="Q24" s="1558"/>
      <c r="R24" s="1559"/>
      <c r="S24" s="1560"/>
      <c r="T24" s="1559"/>
      <c r="U24" s="1560"/>
      <c r="V24" s="1559"/>
      <c r="W24" s="1560"/>
      <c r="X24" s="1553"/>
      <c r="Y24" s="3493"/>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27"/>
      <c r="M25" s="2117"/>
      <c r="N25" s="2117"/>
      <c r="O25" s="2126"/>
      <c r="P25" s="3493"/>
      <c r="Q25" s="1558" t="str">
        <f t="shared" ref="Q25:Q39" si="8">B25</f>
        <v>区域土地利用方向</v>
      </c>
      <c r="R25" s="1559" t="s">
        <v>8</v>
      </c>
      <c r="S25" s="1560">
        <f>F25</f>
        <v>100</v>
      </c>
      <c r="T25" s="1559" t="s">
        <v>8</v>
      </c>
      <c r="U25" s="1560">
        <f>H25</f>
        <v>100</v>
      </c>
      <c r="V25" s="1559" t="s">
        <v>8</v>
      </c>
      <c r="W25" s="1560">
        <f>J25</f>
        <v>100</v>
      </c>
      <c r="X25" s="1553"/>
      <c r="Y25" s="3493"/>
      <c r="Z25" s="1561" t="str">
        <f>Q25</f>
        <v>区域土地利用方向</v>
      </c>
      <c r="AA25" s="1562">
        <f t="shared" si="3"/>
        <v>1</v>
      </c>
      <c r="AB25" s="1562">
        <f t="shared" si="4"/>
        <v>1</v>
      </c>
      <c r="AC25" s="1562">
        <f t="shared" si="5"/>
        <v>1</v>
      </c>
    </row>
    <row r="26" spans="1:29" ht="20.25">
      <c r="A26" s="515"/>
      <c r="B26" s="1006"/>
      <c r="C26" s="554" t="s">
        <v>3249</v>
      </c>
      <c r="D26" s="557"/>
      <c r="E26" s="558" t="s">
        <v>3249</v>
      </c>
      <c r="F26" s="555"/>
      <c r="G26" s="558" t="s">
        <v>3249</v>
      </c>
      <c r="H26" s="555"/>
      <c r="I26" s="558" t="s">
        <v>3249</v>
      </c>
      <c r="J26" s="555"/>
      <c r="K26" s="531"/>
      <c r="L26" s="2127"/>
      <c r="M26" s="2117"/>
      <c r="N26" s="2117"/>
      <c r="O26" s="2126"/>
      <c r="P26" s="3493"/>
      <c r="Q26" s="1558"/>
      <c r="R26" s="1559"/>
      <c r="S26" s="1560"/>
      <c r="T26" s="1559"/>
      <c r="U26" s="1560"/>
      <c r="V26" s="1559"/>
      <c r="W26" s="1560"/>
      <c r="X26" s="1553"/>
      <c r="Y26" s="3493"/>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27"/>
      <c r="M27" s="2117"/>
      <c r="N27" s="2117"/>
      <c r="O27" s="2126"/>
      <c r="P27" s="3493"/>
      <c r="Q27" s="1558" t="str">
        <f t="shared" si="8"/>
        <v>自然及人文环境状况</v>
      </c>
      <c r="R27" s="1559" t="s">
        <v>8</v>
      </c>
      <c r="S27" s="1560">
        <f>F27</f>
        <v>100</v>
      </c>
      <c r="T27" s="1559" t="s">
        <v>8</v>
      </c>
      <c r="U27" s="1560">
        <f>H27</f>
        <v>100</v>
      </c>
      <c r="V27" s="1559" t="s">
        <v>8</v>
      </c>
      <c r="W27" s="1560">
        <f>J27</f>
        <v>100</v>
      </c>
      <c r="X27" s="1553"/>
      <c r="Y27" s="3493"/>
      <c r="Z27" s="1561" t="str">
        <f>Q27</f>
        <v>自然及人文环境状况</v>
      </c>
      <c r="AA27" s="1562">
        <f t="shared" si="3"/>
        <v>1</v>
      </c>
      <c r="AB27" s="1562">
        <f t="shared" si="4"/>
        <v>1</v>
      </c>
      <c r="AC27" s="1562">
        <f t="shared" si="5"/>
        <v>1</v>
      </c>
    </row>
    <row r="28" spans="1:29" ht="20.25">
      <c r="A28" s="515"/>
      <c r="B28" s="566"/>
      <c r="C28" s="554" t="s">
        <v>3249</v>
      </c>
      <c r="D28" s="557"/>
      <c r="E28" s="576" t="s">
        <v>3249</v>
      </c>
      <c r="F28" s="555"/>
      <c r="G28" s="576" t="s">
        <v>3249</v>
      </c>
      <c r="H28" s="555"/>
      <c r="I28" s="576" t="s">
        <v>3249</v>
      </c>
      <c r="J28" s="555"/>
      <c r="K28" s="531"/>
      <c r="L28" s="2127"/>
      <c r="M28" s="2117"/>
      <c r="N28" s="2117"/>
      <c r="O28" s="2126"/>
      <c r="P28" s="3493"/>
      <c r="Q28" s="1558"/>
      <c r="R28" s="1559"/>
      <c r="S28" s="1560"/>
      <c r="T28" s="1559"/>
      <c r="U28" s="1560"/>
      <c r="V28" s="1559"/>
      <c r="W28" s="1560"/>
      <c r="X28" s="1553"/>
      <c r="Y28" s="3493"/>
      <c r="Z28" s="1561"/>
      <c r="AA28" s="1562">
        <v>1</v>
      </c>
      <c r="AB28" s="1562">
        <v>1</v>
      </c>
      <c r="AC28" s="1562">
        <v>1</v>
      </c>
    </row>
    <row r="29" spans="1:29" s="1215" customFormat="1" ht="42.75">
      <c r="A29" s="577"/>
      <c r="B29" s="2555" t="s">
        <v>2545</v>
      </c>
      <c r="C29" s="573" t="str">
        <f>估价对象房地状况!C21</f>
        <v>估价对象所在区域公共配套设施齐备情况</v>
      </c>
      <c r="D29" s="563">
        <v>100</v>
      </c>
      <c r="E29" s="564"/>
      <c r="F29" s="559">
        <f>SUMIF(102:102,E30,103:103)-SUMIF(102:102,C30,103:103)+100</f>
        <v>105</v>
      </c>
      <c r="G29" s="564"/>
      <c r="H29" s="559">
        <f>SUMIF(102:102,G30,103:103)-SUMIF(102:102,C30,103:103)+100</f>
        <v>105</v>
      </c>
      <c r="I29" s="564"/>
      <c r="J29" s="559">
        <f>SUMIF(102:102,I30,103:103)-SUMIF(102:102,C30,103:103)+100</f>
        <v>105</v>
      </c>
      <c r="K29" s="535">
        <v>5</v>
      </c>
      <c r="L29" s="2120"/>
      <c r="M29" s="2117"/>
      <c r="N29" s="2117"/>
      <c r="O29" s="2122"/>
      <c r="P29" s="3493"/>
      <c r="Q29" s="1146" t="str">
        <f t="shared" si="8"/>
        <v>公共配套设施</v>
      </c>
      <c r="R29" s="1554" t="s">
        <v>8</v>
      </c>
      <c r="S29" s="1555">
        <f>F29</f>
        <v>105</v>
      </c>
      <c r="T29" s="1554" t="s">
        <v>8</v>
      </c>
      <c r="U29" s="1555">
        <f>H29</f>
        <v>105</v>
      </c>
      <c r="V29" s="1554" t="s">
        <v>8</v>
      </c>
      <c r="W29" s="1555">
        <f>J29</f>
        <v>105</v>
      </c>
      <c r="X29" s="1556"/>
      <c r="Y29" s="3493"/>
      <c r="Z29" s="1145" t="str">
        <f>Q29</f>
        <v>公共配套设施</v>
      </c>
      <c r="AA29" s="1562">
        <f>D29/F29</f>
        <v>0.95238095238095233</v>
      </c>
      <c r="AB29" s="1562">
        <f>D29/H29</f>
        <v>0.95238095238095233</v>
      </c>
      <c r="AC29" s="1562">
        <f>D29/J29</f>
        <v>0.95238095238095233</v>
      </c>
    </row>
    <row r="30" spans="1:29" s="1215" customFormat="1" ht="20.25">
      <c r="A30" s="577"/>
      <c r="B30" s="566"/>
      <c r="C30" s="579" t="s">
        <v>3250</v>
      </c>
      <c r="D30" s="557"/>
      <c r="E30" s="576" t="s">
        <v>3249</v>
      </c>
      <c r="F30" s="555"/>
      <c r="G30" s="576" t="s">
        <v>3249</v>
      </c>
      <c r="H30" s="555"/>
      <c r="I30" s="576" t="s">
        <v>3249</v>
      </c>
      <c r="J30" s="555"/>
      <c r="K30" s="531"/>
      <c r="L30" s="2120"/>
      <c r="M30" s="2117"/>
      <c r="N30" s="2117"/>
      <c r="O30" s="2122"/>
      <c r="P30" s="3493"/>
      <c r="Q30" s="1146"/>
      <c r="R30" s="1554"/>
      <c r="S30" s="1555"/>
      <c r="T30" s="1554"/>
      <c r="U30" s="1555"/>
      <c r="V30" s="1554"/>
      <c r="W30" s="1555"/>
      <c r="X30" s="1556"/>
      <c r="Y30" s="3493"/>
      <c r="Z30" s="1145"/>
      <c r="AA30" s="1562">
        <v>1</v>
      </c>
      <c r="AB30" s="1562">
        <v>1</v>
      </c>
      <c r="AC30" s="1562">
        <v>1</v>
      </c>
    </row>
    <row r="31" spans="1:29" s="1215" customFormat="1" ht="28.5">
      <c r="A31" s="577"/>
      <c r="B31" s="2555" t="s">
        <v>2546</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2</v>
      </c>
      <c r="L31" s="2120"/>
      <c r="M31" s="2117"/>
      <c r="N31" s="2117"/>
      <c r="O31" s="2122"/>
      <c r="P31" s="3493"/>
      <c r="Q31" s="2542" t="str">
        <f t="shared" ref="Q31" si="9">B31</f>
        <v>基础设施水平</v>
      </c>
      <c r="R31" s="1554" t="s">
        <v>8</v>
      </c>
      <c r="S31" s="1555">
        <f>F31</f>
        <v>100</v>
      </c>
      <c r="T31" s="1554" t="s">
        <v>8</v>
      </c>
      <c r="U31" s="1555">
        <f>H31</f>
        <v>100</v>
      </c>
      <c r="V31" s="1554" t="s">
        <v>8</v>
      </c>
      <c r="W31" s="1555">
        <f>J31</f>
        <v>100</v>
      </c>
      <c r="X31" s="1556"/>
      <c r="Y31" s="3493"/>
      <c r="Z31" s="2539" t="str">
        <f>Q31</f>
        <v>基础设施水平</v>
      </c>
      <c r="AA31" s="1562">
        <f>D31/F31</f>
        <v>1</v>
      </c>
      <c r="AB31" s="1562">
        <f>D31/H31</f>
        <v>1</v>
      </c>
      <c r="AC31" s="1562">
        <f>D31/J31</f>
        <v>1</v>
      </c>
    </row>
    <row r="32" spans="1:29" s="1215" customFormat="1" ht="20.25">
      <c r="A32" s="577"/>
      <c r="B32" s="566"/>
      <c r="C32" s="579" t="s">
        <v>3293</v>
      </c>
      <c r="D32" s="557"/>
      <c r="E32" s="579" t="s">
        <v>3293</v>
      </c>
      <c r="F32" s="555"/>
      <c r="G32" s="579" t="s">
        <v>3293</v>
      </c>
      <c r="H32" s="555"/>
      <c r="I32" s="579" t="s">
        <v>3293</v>
      </c>
      <c r="J32" s="555"/>
      <c r="K32" s="531"/>
      <c r="L32" s="2120"/>
      <c r="M32" s="2117"/>
      <c r="N32" s="2117"/>
      <c r="O32" s="2122"/>
      <c r="P32" s="3493"/>
      <c r="Q32" s="2542"/>
      <c r="R32" s="1554"/>
      <c r="S32" s="1555"/>
      <c r="T32" s="1554"/>
      <c r="U32" s="1555"/>
      <c r="V32" s="1554"/>
      <c r="W32" s="1555"/>
      <c r="X32" s="1556"/>
      <c r="Y32" s="3493"/>
      <c r="Z32" s="2539"/>
      <c r="AA32" s="1562">
        <v>1</v>
      </c>
      <c r="AB32" s="1562">
        <v>1</v>
      </c>
      <c r="AC32" s="1562">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27"/>
      <c r="M33" s="2117"/>
      <c r="N33" s="2117"/>
      <c r="O33" s="2126"/>
      <c r="P33" s="349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93"/>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2</v>
      </c>
      <c r="L34" s="2127"/>
      <c r="M34" s="2117"/>
      <c r="N34" s="2117"/>
      <c r="O34" s="2126"/>
      <c r="P34" s="3493"/>
      <c r="Q34" s="1558" t="str">
        <f t="shared" si="8"/>
        <v>毗邻道路的类型与等级</v>
      </c>
      <c r="R34" s="1559" t="s">
        <v>8</v>
      </c>
      <c r="S34" s="1560">
        <f t="shared" si="10"/>
        <v>100</v>
      </c>
      <c r="T34" s="1559" t="s">
        <v>8</v>
      </c>
      <c r="U34" s="1560">
        <f t="shared" si="11"/>
        <v>100</v>
      </c>
      <c r="V34" s="1559" t="s">
        <v>8</v>
      </c>
      <c r="W34" s="1560">
        <f t="shared" si="12"/>
        <v>100</v>
      </c>
      <c r="X34" s="1553"/>
      <c r="Y34" s="3493"/>
      <c r="Z34" s="1561" t="str">
        <f t="shared" si="13"/>
        <v>毗邻道路的类型与等级</v>
      </c>
      <c r="AA34" s="1562">
        <f t="shared" si="3"/>
        <v>1</v>
      </c>
      <c r="AB34" s="1562">
        <f t="shared" si="4"/>
        <v>1</v>
      </c>
      <c r="AC34" s="1562">
        <f t="shared" si="5"/>
        <v>1</v>
      </c>
    </row>
    <row r="35" spans="1:29" ht="21" thickBot="1">
      <c r="A35" s="532"/>
      <c r="B35" s="566"/>
      <c r="C35" s="554" t="s">
        <v>3341</v>
      </c>
      <c r="D35" s="557"/>
      <c r="E35" s="554" t="s">
        <v>3341</v>
      </c>
      <c r="F35" s="555"/>
      <c r="G35" s="554" t="s">
        <v>3341</v>
      </c>
      <c r="H35" s="555"/>
      <c r="I35" s="554" t="s">
        <v>3341</v>
      </c>
      <c r="J35" s="555"/>
      <c r="K35" s="581"/>
      <c r="L35" s="2127"/>
      <c r="M35" s="2117"/>
      <c r="N35" s="2117"/>
      <c r="O35" s="2126"/>
      <c r="P35" s="3493"/>
      <c r="Q35" s="1558"/>
      <c r="R35" s="1559"/>
      <c r="S35" s="1560"/>
      <c r="T35" s="1559"/>
      <c r="U35" s="1560"/>
      <c r="V35" s="1559"/>
      <c r="W35" s="1560"/>
      <c r="X35" s="1553"/>
      <c r="Y35" s="3493"/>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93"/>
      <c r="Q36" s="1558" t="str">
        <f t="shared" si="8"/>
        <v>土地级别</v>
      </c>
      <c r="R36" s="1559" t="s">
        <v>8</v>
      </c>
      <c r="S36" s="1560">
        <f t="shared" si="10"/>
        <v>100</v>
      </c>
      <c r="T36" s="1559" t="s">
        <v>8</v>
      </c>
      <c r="U36" s="1560">
        <f t="shared" si="11"/>
        <v>100</v>
      </c>
      <c r="V36" s="1559" t="s">
        <v>8</v>
      </c>
      <c r="W36" s="1560">
        <f t="shared" si="12"/>
        <v>100</v>
      </c>
      <c r="X36" s="1553"/>
      <c r="Y36" s="3493"/>
      <c r="Z36" s="1561" t="str">
        <f t="shared" si="13"/>
        <v>土地级别</v>
      </c>
      <c r="AA36" s="1562">
        <f t="shared" si="3"/>
        <v>1</v>
      </c>
      <c r="AB36" s="1562">
        <f t="shared" si="4"/>
        <v>1</v>
      </c>
      <c r="AC36" s="1562">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93"/>
      <c r="Q37" s="1558">
        <f t="shared" si="8"/>
        <v>0</v>
      </c>
      <c r="R37" s="1559" t="s">
        <v>8</v>
      </c>
      <c r="S37" s="1560">
        <f t="shared" si="10"/>
        <v>100</v>
      </c>
      <c r="T37" s="1559" t="s">
        <v>8</v>
      </c>
      <c r="U37" s="1560">
        <f t="shared" si="11"/>
        <v>100</v>
      </c>
      <c r="V37" s="1559" t="s">
        <v>8</v>
      </c>
      <c r="W37" s="1560">
        <f t="shared" si="12"/>
        <v>100</v>
      </c>
      <c r="X37" s="1553"/>
      <c r="Y37" s="3493"/>
      <c r="Z37" s="1561">
        <f t="shared" si="13"/>
        <v>0</v>
      </c>
      <c r="AA37" s="1562">
        <f t="shared" si="3"/>
        <v>1</v>
      </c>
      <c r="AB37" s="1562">
        <f t="shared" si="4"/>
        <v>1</v>
      </c>
      <c r="AC37" s="1562">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94" t="s">
        <v>550</v>
      </c>
      <c r="Q38" s="1558">
        <f t="shared" si="8"/>
        <v>0</v>
      </c>
      <c r="R38" s="1559" t="s">
        <v>8</v>
      </c>
      <c r="S38" s="1560">
        <f t="shared" si="10"/>
        <v>100</v>
      </c>
      <c r="T38" s="1559" t="s">
        <v>8</v>
      </c>
      <c r="U38" s="1560">
        <f t="shared" si="11"/>
        <v>100</v>
      </c>
      <c r="V38" s="1559" t="s">
        <v>8</v>
      </c>
      <c r="W38" s="1560">
        <f t="shared" si="12"/>
        <v>100</v>
      </c>
      <c r="X38" s="1553"/>
      <c r="Y38" s="3495" t="s">
        <v>550</v>
      </c>
      <c r="Z38" s="1561">
        <f t="shared" si="13"/>
        <v>0</v>
      </c>
      <c r="AA38" s="1562">
        <f t="shared" si="3"/>
        <v>1</v>
      </c>
      <c r="AB38" s="1562">
        <f t="shared" si="4"/>
        <v>1</v>
      </c>
      <c r="AC38" s="1562">
        <f t="shared" si="5"/>
        <v>1</v>
      </c>
    </row>
    <row r="39" spans="1:29" s="1334"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95"/>
      <c r="Q39" s="1558">
        <f t="shared" si="8"/>
        <v>0</v>
      </c>
      <c r="R39" s="1563" t="s">
        <v>8</v>
      </c>
      <c r="S39" s="1564">
        <f t="shared" si="10"/>
        <v>100</v>
      </c>
      <c r="T39" s="1563" t="s">
        <v>8</v>
      </c>
      <c r="U39" s="1564">
        <f t="shared" si="11"/>
        <v>100</v>
      </c>
      <c r="V39" s="1563" t="s">
        <v>8</v>
      </c>
      <c r="W39" s="1564">
        <f t="shared" si="12"/>
        <v>100</v>
      </c>
      <c r="X39" s="1565"/>
      <c r="Y39" s="3495"/>
      <c r="Z39" s="1566">
        <f t="shared" si="13"/>
        <v>0</v>
      </c>
      <c r="AA39" s="1562">
        <f t="shared" si="3"/>
        <v>1</v>
      </c>
      <c r="AB39" s="1562">
        <f t="shared" si="4"/>
        <v>1</v>
      </c>
      <c r="AC39" s="1562">
        <f t="shared" si="5"/>
        <v>1</v>
      </c>
    </row>
    <row r="40" spans="1:29" ht="20.25">
      <c r="A40" s="2862" t="s">
        <v>2751</v>
      </c>
      <c r="B40" s="595" t="s">
        <v>552</v>
      </c>
      <c r="C40" s="596">
        <f>'数据-汇总表'!D3</f>
        <v>161741.64000000001</v>
      </c>
      <c r="D40" s="597">
        <v>100</v>
      </c>
      <c r="E40" s="596">
        <f>土地案例!I21</f>
        <v>3020</v>
      </c>
      <c r="F40" s="597">
        <f>LOOKUP(E40,119:119,120:120)-LOOKUP(C40,119:119,120:120)+100</f>
        <v>100</v>
      </c>
      <c r="G40" s="596">
        <f>土地案例!I26</f>
        <v>24608.19</v>
      </c>
      <c r="H40" s="597">
        <f>LOOKUP(G40,119:119,120:120)-LOOKUP(C40,119:119,120:120)+100</f>
        <v>100</v>
      </c>
      <c r="I40" s="598">
        <f>土地案例!I28</f>
        <v>18793.02</v>
      </c>
      <c r="J40" s="597">
        <f>LOOKUP(I40,119:119,120:120)-LOOKUP(C40,119:119,120:120)+100</f>
        <v>100</v>
      </c>
      <c r="K40" s="581"/>
      <c r="L40" s="2127"/>
      <c r="M40" s="2117"/>
      <c r="N40" s="2117"/>
      <c r="O40" s="2126"/>
      <c r="P40" s="3495"/>
      <c r="Q40" s="1558" t="str">
        <f>B40</f>
        <v>宗地面积</v>
      </c>
      <c r="R40" s="1559" t="s">
        <v>8</v>
      </c>
      <c r="S40" s="1560">
        <f t="shared" si="10"/>
        <v>100</v>
      </c>
      <c r="T40" s="1559" t="s">
        <v>8</v>
      </c>
      <c r="U40" s="1560">
        <f t="shared" si="11"/>
        <v>100</v>
      </c>
      <c r="V40" s="1559" t="s">
        <v>8</v>
      </c>
      <c r="W40" s="1560">
        <f t="shared" si="12"/>
        <v>100</v>
      </c>
      <c r="X40" s="1553"/>
      <c r="Y40" s="3495"/>
      <c r="Z40" s="1561" t="str">
        <f t="shared" si="13"/>
        <v>宗地面积</v>
      </c>
      <c r="AA40" s="1562">
        <f t="shared" si="3"/>
        <v>1</v>
      </c>
      <c r="AB40" s="1562">
        <f t="shared" si="4"/>
        <v>1</v>
      </c>
      <c r="AC40" s="1562">
        <f t="shared" si="5"/>
        <v>1</v>
      </c>
    </row>
    <row r="41" spans="1:29" ht="20.25">
      <c r="A41" s="594"/>
      <c r="B41" s="527" t="s">
        <v>553</v>
      </c>
      <c r="C41" s="599" t="s">
        <v>3329</v>
      </c>
      <c r="D41" s="540">
        <v>100</v>
      </c>
      <c r="E41" s="599" t="s">
        <v>3329</v>
      </c>
      <c r="F41" s="540">
        <f>SUMIF(121:121,E41,122:122)-SUMIF(121:121,C41,122:122)+100</f>
        <v>100</v>
      </c>
      <c r="G41" s="599" t="s">
        <v>3329</v>
      </c>
      <c r="H41" s="540">
        <f>SUMIF(121:121,G41,122:122)-SUMIF(121:121,C41,122:122)+100</f>
        <v>100</v>
      </c>
      <c r="I41" s="599" t="s">
        <v>3329</v>
      </c>
      <c r="J41" s="540">
        <f>SUMIF(121:121,I41,122:122)-SUMIF(121:121,C41,122:122)+100</f>
        <v>100</v>
      </c>
      <c r="K41" s="584">
        <v>2</v>
      </c>
      <c r="L41" s="2127"/>
      <c r="M41" s="2117"/>
      <c r="N41" s="2117"/>
      <c r="O41" s="2126"/>
      <c r="P41" s="3495"/>
      <c r="Q41" s="1558" t="str">
        <f t="shared" ref="Q41:Q47" si="14">B41</f>
        <v>宗地形状</v>
      </c>
      <c r="R41" s="1559" t="s">
        <v>8</v>
      </c>
      <c r="S41" s="1560">
        <f t="shared" si="10"/>
        <v>100</v>
      </c>
      <c r="T41" s="1559" t="s">
        <v>8</v>
      </c>
      <c r="U41" s="1560">
        <f t="shared" si="11"/>
        <v>100</v>
      </c>
      <c r="V41" s="1559" t="s">
        <v>8</v>
      </c>
      <c r="W41" s="1560">
        <f t="shared" si="12"/>
        <v>100</v>
      </c>
      <c r="X41" s="1553"/>
      <c r="Y41" s="3495"/>
      <c r="Z41" s="1561" t="str">
        <f t="shared" si="13"/>
        <v>宗地形状</v>
      </c>
      <c r="AA41" s="1562">
        <f t="shared" si="3"/>
        <v>1</v>
      </c>
      <c r="AB41" s="1562">
        <f t="shared" si="4"/>
        <v>1</v>
      </c>
      <c r="AC41" s="1562">
        <f t="shared" si="5"/>
        <v>1</v>
      </c>
    </row>
    <row r="42" spans="1:29" ht="20.25">
      <c r="A42" s="594"/>
      <c r="B42" s="527" t="s">
        <v>554</v>
      </c>
      <c r="C42" s="599" t="s">
        <v>3331</v>
      </c>
      <c r="D42" s="540">
        <v>100</v>
      </c>
      <c r="E42" s="599" t="s">
        <v>3331</v>
      </c>
      <c r="F42" s="540">
        <f>SUMIF(123:123,E42,124:124)-SUMIF(123:123,C42,124:124)+100</f>
        <v>100</v>
      </c>
      <c r="G42" s="599" t="s">
        <v>3331</v>
      </c>
      <c r="H42" s="540">
        <f>SUMIF(123:123,G42,124:124)-SUMIF(123:123,C42,124:124)+100</f>
        <v>100</v>
      </c>
      <c r="I42" s="599" t="s">
        <v>3331</v>
      </c>
      <c r="J42" s="540">
        <f>SUMIF(123:123,I42,124:124)-SUMIF(123:123,C42,124:124)+100</f>
        <v>100</v>
      </c>
      <c r="K42" s="584">
        <v>2</v>
      </c>
      <c r="L42" s="2127"/>
      <c r="M42" s="2117"/>
      <c r="N42" s="2117"/>
      <c r="O42" s="2126"/>
      <c r="P42" s="3495"/>
      <c r="Q42" s="1558" t="str">
        <f t="shared" si="14"/>
        <v>临街宽度及深度</v>
      </c>
      <c r="R42" s="1559" t="s">
        <v>8</v>
      </c>
      <c r="S42" s="1560">
        <f t="shared" si="10"/>
        <v>100</v>
      </c>
      <c r="T42" s="1559" t="s">
        <v>8</v>
      </c>
      <c r="U42" s="1560">
        <f t="shared" si="11"/>
        <v>100</v>
      </c>
      <c r="V42" s="1559" t="s">
        <v>8</v>
      </c>
      <c r="W42" s="1560">
        <f t="shared" si="12"/>
        <v>100</v>
      </c>
      <c r="X42" s="1553"/>
      <c r="Y42" s="3495"/>
      <c r="Z42" s="1561" t="str">
        <f t="shared" si="13"/>
        <v>临街宽度及深度</v>
      </c>
      <c r="AA42" s="1562">
        <f t="shared" si="3"/>
        <v>1</v>
      </c>
      <c r="AB42" s="1562">
        <f t="shared" si="4"/>
        <v>1</v>
      </c>
      <c r="AC42" s="1562">
        <f t="shared" si="5"/>
        <v>1</v>
      </c>
    </row>
    <row r="43" spans="1:29" s="1215" customFormat="1" ht="20.25">
      <c r="A43" s="600"/>
      <c r="B43" s="1880"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95"/>
      <c r="Q43" s="1558" t="str">
        <f t="shared" si="14"/>
        <v>宗地开发程度</v>
      </c>
      <c r="R43" s="1554" t="s">
        <v>8</v>
      </c>
      <c r="S43" s="1555">
        <f t="shared" si="10"/>
        <v>100</v>
      </c>
      <c r="T43" s="1554" t="s">
        <v>8</v>
      </c>
      <c r="U43" s="1555">
        <f t="shared" si="11"/>
        <v>100</v>
      </c>
      <c r="V43" s="1554" t="s">
        <v>8</v>
      </c>
      <c r="W43" s="1555">
        <f t="shared" si="12"/>
        <v>100</v>
      </c>
      <c r="X43" s="1556"/>
      <c r="Y43" s="3495"/>
      <c r="Z43" s="1145" t="str">
        <f t="shared" si="13"/>
        <v>宗地开发程度</v>
      </c>
      <c r="AA43" s="1557">
        <f t="shared" si="3"/>
        <v>1</v>
      </c>
      <c r="AB43" s="1557">
        <f t="shared" si="4"/>
        <v>1</v>
      </c>
      <c r="AC43" s="1557">
        <f t="shared" si="5"/>
        <v>1</v>
      </c>
    </row>
    <row r="44" spans="1:29" ht="20.25">
      <c r="A44" s="594"/>
      <c r="B44" s="527" t="s">
        <v>555</v>
      </c>
      <c r="C44" s="599" t="s">
        <v>3249</v>
      </c>
      <c r="D44" s="540">
        <v>100</v>
      </c>
      <c r="E44" s="599" t="s">
        <v>3249</v>
      </c>
      <c r="F44" s="540">
        <f>SUMIF(127:127,E44,128:128)-SUMIF(127:127,C44,128:128)+100</f>
        <v>100</v>
      </c>
      <c r="G44" s="599" t="s">
        <v>3249</v>
      </c>
      <c r="H44" s="540">
        <f>SUMIF(127:127,G44,128:128)-SUMIF(127:127,C44,128:128)+100</f>
        <v>100</v>
      </c>
      <c r="I44" s="599" t="s">
        <v>3249</v>
      </c>
      <c r="J44" s="540">
        <f>SUMIF(127:127,I44,128:128)-SUMIF(127:127,C44,128:128)+100</f>
        <v>100</v>
      </c>
      <c r="K44" s="584">
        <v>2</v>
      </c>
      <c r="L44" s="2127"/>
      <c r="M44" s="2117"/>
      <c r="N44" s="2117"/>
      <c r="O44" s="2126"/>
      <c r="P44" s="3495" t="s">
        <v>550</v>
      </c>
      <c r="Q44" s="1558" t="str">
        <f t="shared" si="14"/>
        <v>工程地质条件</v>
      </c>
      <c r="R44" s="1559" t="s">
        <v>8</v>
      </c>
      <c r="S44" s="1560">
        <f t="shared" si="10"/>
        <v>100</v>
      </c>
      <c r="T44" s="1559" t="s">
        <v>8</v>
      </c>
      <c r="U44" s="1560">
        <f t="shared" si="11"/>
        <v>100</v>
      </c>
      <c r="V44" s="1559" t="s">
        <v>8</v>
      </c>
      <c r="W44" s="1560">
        <f t="shared" si="12"/>
        <v>100</v>
      </c>
      <c r="X44" s="1553"/>
      <c r="Y44" s="3495" t="s">
        <v>550</v>
      </c>
      <c r="Z44" s="1561" t="str">
        <f t="shared" si="13"/>
        <v>工程地质条件</v>
      </c>
      <c r="AA44" s="1562">
        <f t="shared" si="3"/>
        <v>1</v>
      </c>
      <c r="AB44" s="1562">
        <f t="shared" si="4"/>
        <v>1</v>
      </c>
      <c r="AC44" s="1562">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95"/>
      <c r="Q45" s="1558">
        <f t="shared" si="14"/>
        <v>0</v>
      </c>
      <c r="R45" s="1559" t="s">
        <v>8</v>
      </c>
      <c r="S45" s="1560">
        <f t="shared" si="10"/>
        <v>100</v>
      </c>
      <c r="T45" s="1559" t="s">
        <v>8</v>
      </c>
      <c r="U45" s="1560">
        <f t="shared" si="11"/>
        <v>100</v>
      </c>
      <c r="V45" s="1559" t="s">
        <v>8</v>
      </c>
      <c r="W45" s="1560">
        <f t="shared" si="12"/>
        <v>100</v>
      </c>
      <c r="X45" s="1553"/>
      <c r="Y45" s="3495"/>
      <c r="Z45" s="1561">
        <f t="shared" si="13"/>
        <v>0</v>
      </c>
      <c r="AA45" s="1562">
        <f t="shared" si="3"/>
        <v>1</v>
      </c>
      <c r="AB45" s="1562">
        <f t="shared" si="4"/>
        <v>1</v>
      </c>
      <c r="AC45" s="1562">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95"/>
      <c r="Q46" s="1558">
        <f t="shared" si="14"/>
        <v>0</v>
      </c>
      <c r="R46" s="1559" t="s">
        <v>8</v>
      </c>
      <c r="S46" s="1560">
        <f t="shared" si="10"/>
        <v>100</v>
      </c>
      <c r="T46" s="1559" t="s">
        <v>8</v>
      </c>
      <c r="U46" s="1560">
        <f t="shared" si="11"/>
        <v>100</v>
      </c>
      <c r="V46" s="1559" t="s">
        <v>8</v>
      </c>
      <c r="W46" s="1560">
        <f t="shared" si="12"/>
        <v>100</v>
      </c>
      <c r="X46" s="1553"/>
      <c r="Y46" s="3495"/>
      <c r="Z46" s="1561">
        <f t="shared" si="13"/>
        <v>0</v>
      </c>
      <c r="AA46" s="1562">
        <f t="shared" si="3"/>
        <v>1</v>
      </c>
      <c r="AB46" s="1562">
        <f t="shared" si="4"/>
        <v>1</v>
      </c>
      <c r="AC46" s="1562">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95"/>
      <c r="Q47" s="1558">
        <f t="shared" si="14"/>
        <v>0</v>
      </c>
      <c r="R47" s="1563" t="s">
        <v>8</v>
      </c>
      <c r="S47" s="1564">
        <f t="shared" si="10"/>
        <v>100</v>
      </c>
      <c r="T47" s="1563" t="s">
        <v>8</v>
      </c>
      <c r="U47" s="1564">
        <f t="shared" si="11"/>
        <v>100</v>
      </c>
      <c r="V47" s="1563" t="s">
        <v>8</v>
      </c>
      <c r="W47" s="1564">
        <f t="shared" si="12"/>
        <v>100</v>
      </c>
      <c r="X47" s="1565"/>
      <c r="Y47" s="3495"/>
      <c r="Z47" s="1566">
        <f t="shared" si="13"/>
        <v>0</v>
      </c>
      <c r="AA47" s="1562">
        <f t="shared" si="3"/>
        <v>1</v>
      </c>
      <c r="AB47" s="1562">
        <f t="shared" si="4"/>
        <v>1</v>
      </c>
      <c r="AC47" s="1562">
        <f t="shared" si="5"/>
        <v>1</v>
      </c>
    </row>
    <row r="48" spans="1:29" ht="20.25">
      <c r="A48" s="607" t="s">
        <v>556</v>
      </c>
      <c r="B48" s="608" t="s">
        <v>3204</v>
      </c>
      <c r="C48" s="609" t="s">
        <v>1</v>
      </c>
      <c r="D48" s="610"/>
      <c r="E48" s="611">
        <v>2538</v>
      </c>
      <c r="F48" s="612"/>
      <c r="G48" s="613">
        <v>2448</v>
      </c>
      <c r="H48" s="614"/>
      <c r="I48" s="611">
        <v>2138</v>
      </c>
      <c r="J48" s="614"/>
      <c r="K48" s="1335"/>
      <c r="L48" s="2129"/>
      <c r="M48" s="2117"/>
      <c r="N48" s="2117"/>
      <c r="O48" s="2130"/>
      <c r="P48" s="3458" t="str">
        <f>A48</f>
        <v>成交单价</v>
      </c>
      <c r="Q48" s="3458"/>
      <c r="R48" s="3459">
        <f>E48</f>
        <v>2538</v>
      </c>
      <c r="S48" s="3459"/>
      <c r="T48" s="3459">
        <f>G48</f>
        <v>2448</v>
      </c>
      <c r="U48" s="3459"/>
      <c r="V48" s="3459">
        <f>I48</f>
        <v>2138</v>
      </c>
      <c r="W48" s="3459"/>
      <c r="X48" s="1545"/>
      <c r="Y48" s="1567"/>
      <c r="Z48" s="1545"/>
      <c r="AA48" s="1545"/>
      <c r="AB48" s="1545"/>
      <c r="AC48" s="1545"/>
    </row>
    <row r="49" spans="1:29" ht="21" thickBot="1">
      <c r="A49" s="615" t="s">
        <v>2689</v>
      </c>
      <c r="B49" s="616"/>
      <c r="C49" s="617">
        <f>R50</f>
        <v>2069</v>
      </c>
      <c r="D49" s="618"/>
      <c r="E49" s="617">
        <f>R49</f>
        <v>2190</v>
      </c>
      <c r="F49" s="619"/>
      <c r="G49" s="620">
        <f>T49</f>
        <v>2113</v>
      </c>
      <c r="H49" s="618"/>
      <c r="I49" s="617">
        <f>V49</f>
        <v>1904</v>
      </c>
      <c r="J49" s="618"/>
      <c r="K49" s="1336"/>
      <c r="L49" s="2129"/>
      <c r="M49" s="2117"/>
      <c r="N49" s="2117"/>
      <c r="O49" s="2130"/>
      <c r="P49" s="3458" t="str">
        <f>A49</f>
        <v>比较价格（元/平方米）</v>
      </c>
      <c r="Q49" s="3458"/>
      <c r="R49" s="3460">
        <f>ROUND(PRODUCT(R48,AA9:AA47),0)</f>
        <v>2190</v>
      </c>
      <c r="S49" s="3460"/>
      <c r="T49" s="3460">
        <f>ROUND(PRODUCT(T48,AB9:AB47),0)</f>
        <v>2113</v>
      </c>
      <c r="U49" s="3460"/>
      <c r="V49" s="3460">
        <f>ROUND(PRODUCT(V48,AC9:AC47),0)</f>
        <v>1904</v>
      </c>
      <c r="W49" s="3460"/>
      <c r="X49" s="1545"/>
      <c r="Y49" s="1545"/>
      <c r="Z49" s="1545"/>
      <c r="AA49" s="1545"/>
      <c r="AB49" s="1545"/>
      <c r="AC49" s="1545"/>
    </row>
    <row r="50" spans="1:29" ht="21" thickBot="1">
      <c r="A50" s="621" t="s">
        <v>2931</v>
      </c>
      <c r="B50" s="622"/>
      <c r="C50" s="623">
        <f>R50</f>
        <v>2069</v>
      </c>
      <c r="D50" s="623"/>
      <c r="E50" s="623"/>
      <c r="F50" s="623"/>
      <c r="G50" s="623"/>
      <c r="H50" s="623"/>
      <c r="I50" s="623"/>
      <c r="J50" s="623"/>
      <c r="K50" s="1337"/>
      <c r="L50" s="2129"/>
      <c r="M50" s="2117"/>
      <c r="N50" s="2117"/>
      <c r="O50" s="2130"/>
      <c r="P50" s="3455" t="str">
        <f>A50</f>
        <v>估价对象XX用房的比较价格（楼面单价，元/平方米）</v>
      </c>
      <c r="Q50" s="3456"/>
      <c r="R50" s="3457">
        <f>ROUND(AVERAGE(R49:V49),0)</f>
        <v>2069</v>
      </c>
      <c r="S50" s="3457"/>
      <c r="T50" s="3457"/>
      <c r="U50" s="3457"/>
      <c r="V50" s="3457"/>
      <c r="W50" s="345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0.15890410958904111</v>
      </c>
      <c r="F53" s="627" t="str">
        <f>IF(OR(E53&gt;=0.3,E53&lt;=-0.3),"超过30%","")</f>
        <v/>
      </c>
      <c r="G53" s="626">
        <f>IF(G48&lt;G49,G49/G48-1,G48/G49-1)</f>
        <v>0.15854235683861817</v>
      </c>
      <c r="H53" s="627" t="str">
        <f>IF(OR(G53&gt;=0.3,G53&lt;=-0.3),"超过30%","")</f>
        <v/>
      </c>
      <c r="I53" s="626">
        <f>IF(I48&lt;I49,I49/I48-1,I48/I49-1)</f>
        <v>0.12289915966386555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3.6441079034547963E-2</v>
      </c>
      <c r="F54" s="627" t="str">
        <f>IF(OR(E54&gt;=0.2,E54&lt;=-0.2),"超过20%","")</f>
        <v/>
      </c>
      <c r="G54" s="626">
        <f>IF(G49&lt;I49,I49/G49-1,G49/I49-1)</f>
        <v>0.10976890756302526</v>
      </c>
      <c r="H54" s="627" t="str">
        <f>IF(OR(G54&gt;=0.2,G54&lt;=-0.2),"超过20%","")</f>
        <v/>
      </c>
      <c r="I54" s="626">
        <f>IF(I49&lt;E49,E49/I49-1,I49/E49-1)</f>
        <v>0.15021008403361336</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3.6764705882353033E-2</v>
      </c>
      <c r="F55" s="627" t="str">
        <f>IF(OR(E55&gt;=0.3,E55&lt;=-0.3),"超过30%","")</f>
        <v/>
      </c>
      <c r="G55" s="626">
        <f>IF(G48&lt;I48,I48/G48-1,G48/I48-1)</f>
        <v>0.14499532273152482</v>
      </c>
      <c r="H55" s="627" t="str">
        <f>IF(OR(G55&gt;=0.3,G55&lt;=-0.3),"超过30%","")</f>
        <v/>
      </c>
      <c r="I55" s="626">
        <f>IF(I48&lt;E48,E48/I48-1,I48/E48-1)</f>
        <v>0.1870907390084191</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84" t="s">
        <v>2279</v>
      </c>
      <c r="H57" s="3485"/>
      <c r="I57" s="1541" t="s">
        <v>1722</v>
      </c>
      <c r="J57" s="1541" t="str">
        <f>项目基本情况!F41</f>
        <v>山西省太原市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2069</v>
      </c>
      <c r="C58" s="635">
        <v>1</v>
      </c>
      <c r="D58" s="2213">
        <v>1</v>
      </c>
      <c r="E58" s="635">
        <f>'数据-汇总表'!E8+'数据-汇总表'!E9</f>
        <v>571714</v>
      </c>
      <c r="F58" s="636">
        <f t="shared" ref="F58:F67" si="15">ROUND(B58*E58/10000,0)</f>
        <v>118288</v>
      </c>
      <c r="G58" s="3486"/>
      <c r="H58" s="348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8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8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8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8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111630.47</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2292</v>
      </c>
      <c r="E68" s="643">
        <f>IF(B48="楼面地价",SUM(E58:E67),'数据-汇总表'!D3)</f>
        <v>683344.47</v>
      </c>
      <c r="F68" s="644">
        <f>IF(B48="楼面地价",SUM(F58:F67),ROUND(C50*E68/10000,0))</f>
        <v>118288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923</v>
      </c>
      <c r="B73" s="479" t="str">
        <f>"北京市平均增长率"&amp;TEXT(SUMIF(基准地价!N21:N25,A73,基准地价!P21:P25),"0.00%")</f>
        <v>北京市平均增长率2.26%</v>
      </c>
      <c r="C73" s="893">
        <v>100</v>
      </c>
      <c r="D73" s="3195">
        <f>C73-$C$74</f>
        <v>99.5</v>
      </c>
      <c r="E73" s="3195">
        <f t="shared" ref="E73:N73" si="20">D73-$C$74</f>
        <v>99</v>
      </c>
      <c r="F73" s="3195">
        <f t="shared" si="20"/>
        <v>98.5</v>
      </c>
      <c r="G73" s="3195">
        <f t="shared" si="20"/>
        <v>98</v>
      </c>
      <c r="H73" s="3195">
        <f t="shared" si="20"/>
        <v>97.5</v>
      </c>
      <c r="I73" s="3195">
        <f t="shared" si="20"/>
        <v>97</v>
      </c>
      <c r="J73" s="3195">
        <f t="shared" si="20"/>
        <v>96.5</v>
      </c>
      <c r="K73" s="3195">
        <f t="shared" si="20"/>
        <v>96</v>
      </c>
      <c r="L73" s="3195">
        <f t="shared" si="20"/>
        <v>95.5</v>
      </c>
      <c r="M73" s="3195">
        <f t="shared" si="20"/>
        <v>95</v>
      </c>
      <c r="N73" s="3195">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v>0.5</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28.5">
      <c r="A77" s="664" t="s">
        <v>577</v>
      </c>
      <c r="B77" s="665" t="s">
        <v>534</v>
      </c>
      <c r="C77" s="598" t="str">
        <f>项目基本情况!B13</f>
        <v>住宅、商业、地下车库及科教</v>
      </c>
      <c r="D77" s="598" t="str">
        <f>土地案例!H21</f>
        <v>住宅用地,商业用地</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100</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3.5（含）-4</v>
      </c>
      <c r="D81" s="682" t="str">
        <f t="shared" ref="D81:L81" si="21">D82&amp;"（含）"&amp;"-"&amp;E82</f>
        <v>4（含）-4.5</v>
      </c>
      <c r="E81" s="682" t="str">
        <f t="shared" si="21"/>
        <v>4.5（含）-5</v>
      </c>
      <c r="F81" s="682" t="str">
        <f t="shared" si="21"/>
        <v>5（含）-5.5</v>
      </c>
      <c r="G81" s="682" t="str">
        <f t="shared" si="21"/>
        <v>5.5（含）-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3.5</v>
      </c>
      <c r="D82" s="541">
        <v>4</v>
      </c>
      <c r="E82" s="541">
        <v>4.5</v>
      </c>
      <c r="F82" s="541">
        <v>5</v>
      </c>
      <c r="G82" s="541">
        <v>5.5</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95</v>
      </c>
      <c r="E91" s="679">
        <f>D91-$K17</f>
        <v>90</v>
      </c>
      <c r="F91" s="679">
        <f>E91-$K17</f>
        <v>85</v>
      </c>
      <c r="G91" s="679">
        <f>F91-$K17</f>
        <v>80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95</v>
      </c>
      <c r="E93" s="679">
        <f>D93-$K19</f>
        <v>90</v>
      </c>
      <c r="F93" s="679">
        <f>E93-$K19</f>
        <v>85</v>
      </c>
      <c r="G93" s="679">
        <f>F93-$K19</f>
        <v>80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95</v>
      </c>
      <c r="E99" s="679">
        <f>D99-$K25</f>
        <v>90</v>
      </c>
      <c r="F99" s="679">
        <f>E99-$K25</f>
        <v>85</v>
      </c>
      <c r="G99" s="679">
        <f>F99-$K25</f>
        <v>80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231" t="s">
        <v>3339</v>
      </c>
      <c r="D108" s="3231" t="s">
        <v>3340</v>
      </c>
      <c r="E108" s="3231" t="s">
        <v>3342</v>
      </c>
      <c r="F108" s="3231" t="s">
        <v>3343</v>
      </c>
      <c r="G108" s="3231" t="s">
        <v>3344</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0</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0</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0</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32" t="s">
        <v>3330</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31" t="s">
        <v>3332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3333</v>
      </c>
      <c r="D125" s="1371" t="s">
        <v>3334</v>
      </c>
      <c r="E125" s="1371" t="s">
        <v>3335</v>
      </c>
      <c r="F125" s="1371" t="s">
        <v>3336</v>
      </c>
      <c r="G125" s="1371" t="s">
        <v>3337</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31" t="s">
        <v>3338</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in="2" max="2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40" customWidth="1"/>
    <col min="2" max="2" width="10.62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78" t="str">
        <f>项目基本情况!B1</f>
        <v>山西省太原市尖草坪区三给片区一宗住宅、商业、地下车库及科教用地出让国有建设用地使用权抵押价格预评估</v>
      </c>
      <c r="C37" s="3278"/>
      <c r="D37" s="3278"/>
      <c r="E37" s="3278"/>
      <c r="F37" s="3278"/>
      <c r="G37" s="3278"/>
      <c r="H37" s="3278"/>
      <c r="I37" s="3278"/>
    </row>
    <row r="38" spans="1:9">
      <c r="A38" s="1641"/>
      <c r="B38" s="1641"/>
    </row>
    <row r="39" spans="1:9">
      <c r="A39" s="1639" t="s">
        <v>1901</v>
      </c>
      <c r="B39" s="1639" t="s">
        <v>2044</v>
      </c>
    </row>
    <row r="40" spans="1:9">
      <c r="A40" s="1639"/>
      <c r="B40" s="1639" t="str">
        <f>项目基本情况!B5</f>
        <v>中诚信托有限责任公司</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王鹏、郑燚</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opLeftCell="J4" workbookViewId="0">
      <selection activeCell="P21" sqref="P21"/>
    </sheetView>
  </sheetViews>
  <sheetFormatPr defaultColWidth="8.875" defaultRowHeight="13.5"/>
  <cols>
    <col min="1" max="4" width="0" style="1778" hidden="1" customWidth="1"/>
    <col min="5" max="5" width="68.125" style="1778" customWidth="1"/>
    <col min="6" max="6" width="21.375" style="1778" hidden="1" customWidth="1"/>
    <col min="7" max="7" width="13.125" style="1778" customWidth="1"/>
    <col min="8" max="8" width="16.375" style="1778" customWidth="1"/>
    <col min="9" max="9" width="14" style="1778" customWidth="1"/>
    <col min="10" max="10" width="13.625" style="1778" customWidth="1"/>
    <col min="11" max="11" width="14.125" style="1778" customWidth="1"/>
    <col min="12" max="12" width="10.375" style="1778" customWidth="1"/>
    <col min="13" max="13" width="0" style="1778" hidden="1" customWidth="1"/>
    <col min="14" max="14" width="28.125" style="1778" customWidth="1"/>
    <col min="15" max="15" width="11.125" style="1778" customWidth="1"/>
    <col min="16" max="16" width="15.875" style="1778" customWidth="1"/>
    <col min="17" max="17" width="14.125" style="1778" customWidth="1"/>
    <col min="18" max="18" width="8.875" style="1778"/>
    <col min="19" max="19" width="27.5" style="1778" customWidth="1"/>
    <col min="20" max="20" width="8.875" style="1778"/>
    <col min="21" max="21" width="34.125" style="1778" customWidth="1"/>
    <col min="22" max="16384" width="8.875" style="1778"/>
  </cols>
  <sheetData>
    <row r="1" spans="1:22" ht="18.75" customHeight="1">
      <c r="A1" s="3189" t="s">
        <v>2992</v>
      </c>
      <c r="B1" s="3189" t="s">
        <v>2993</v>
      </c>
      <c r="C1" s="3189" t="s">
        <v>2994</v>
      </c>
      <c r="D1" s="3189" t="s">
        <v>2995</v>
      </c>
      <c r="E1" s="3189" t="s">
        <v>2996</v>
      </c>
      <c r="F1" s="3189" t="s">
        <v>2997</v>
      </c>
      <c r="G1" s="3189" t="s">
        <v>2998</v>
      </c>
      <c r="H1" s="3189" t="s">
        <v>2999</v>
      </c>
      <c r="I1" s="3189" t="s">
        <v>3000</v>
      </c>
      <c r="J1" s="3189" t="s">
        <v>3001</v>
      </c>
      <c r="K1" s="3189" t="s">
        <v>2030</v>
      </c>
      <c r="L1" s="3189" t="s">
        <v>3002</v>
      </c>
      <c r="M1" s="3189" t="s">
        <v>3003</v>
      </c>
      <c r="N1" s="3189" t="s">
        <v>3004</v>
      </c>
      <c r="O1" s="3189" t="s">
        <v>3005</v>
      </c>
      <c r="P1" s="3189" t="s">
        <v>3006</v>
      </c>
      <c r="Q1" s="3189" t="s">
        <v>3007</v>
      </c>
      <c r="R1" s="3189" t="s">
        <v>3008</v>
      </c>
      <c r="S1" s="3189" t="s">
        <v>3009</v>
      </c>
      <c r="T1" s="3189" t="s">
        <v>3010</v>
      </c>
    </row>
    <row r="2" spans="1:22" s="3191" customFormat="1" ht="18.75" customHeight="1">
      <c r="A2" s="3190" t="s">
        <v>3011</v>
      </c>
      <c r="B2" s="3190" t="s">
        <v>3012</v>
      </c>
      <c r="C2" s="3190" t="s">
        <v>3013</v>
      </c>
      <c r="D2" s="3190" t="s">
        <v>2814</v>
      </c>
      <c r="E2" s="3190" t="s">
        <v>3011</v>
      </c>
      <c r="F2" s="3190" t="s">
        <v>3014</v>
      </c>
      <c r="G2" s="3190" t="s">
        <v>3015</v>
      </c>
      <c r="H2" s="3190" t="s">
        <v>3016</v>
      </c>
      <c r="I2" s="3190">
        <v>94357.38</v>
      </c>
      <c r="J2" s="3190">
        <v>377429.5</v>
      </c>
      <c r="K2" s="3190">
        <v>4</v>
      </c>
      <c r="L2" s="3190" t="s">
        <v>3017</v>
      </c>
      <c r="M2" s="3190" t="s">
        <v>3018</v>
      </c>
      <c r="N2" s="3190" t="s">
        <v>3019</v>
      </c>
      <c r="O2" s="3190">
        <v>69920</v>
      </c>
      <c r="P2" s="3190">
        <v>494.01</v>
      </c>
      <c r="Q2" s="3190">
        <v>1852.52</v>
      </c>
      <c r="R2" s="3190">
        <v>10.42</v>
      </c>
      <c r="S2" s="3190" t="s">
        <v>3020</v>
      </c>
      <c r="T2" s="3190" t="s">
        <v>3021</v>
      </c>
      <c r="V2" s="3207" t="s">
        <v>3237</v>
      </c>
    </row>
    <row r="3" spans="1:22" s="3191" customFormat="1" ht="18.75" customHeight="1">
      <c r="A3" s="3190" t="s">
        <v>3022</v>
      </c>
      <c r="B3" s="3190" t="s">
        <v>3012</v>
      </c>
      <c r="C3" s="3190" t="s">
        <v>3013</v>
      </c>
      <c r="D3" s="3190" t="s">
        <v>2814</v>
      </c>
      <c r="E3" s="3190" t="s">
        <v>3022</v>
      </c>
      <c r="F3" s="3190" t="s">
        <v>3014</v>
      </c>
      <c r="G3" s="3190" t="s">
        <v>3023</v>
      </c>
      <c r="H3" s="3190" t="s">
        <v>3024</v>
      </c>
      <c r="I3" s="3190">
        <v>61154.31</v>
      </c>
      <c r="J3" s="3190">
        <v>305771.59999999998</v>
      </c>
      <c r="K3" s="3190">
        <v>5</v>
      </c>
      <c r="L3" s="3190" t="s">
        <v>3017</v>
      </c>
      <c r="M3" s="3190" t="s">
        <v>3018</v>
      </c>
      <c r="N3" s="3190" t="s">
        <v>3025</v>
      </c>
      <c r="O3" s="3190">
        <v>49690</v>
      </c>
      <c r="P3" s="3190">
        <v>541.69000000000005</v>
      </c>
      <c r="Q3" s="3190">
        <v>1625.06</v>
      </c>
      <c r="R3" s="3190">
        <v>9.9600000000000009</v>
      </c>
      <c r="S3" s="3190" t="s">
        <v>3026</v>
      </c>
      <c r="T3" s="3190" t="s">
        <v>3021</v>
      </c>
      <c r="V3" s="3207" t="s">
        <v>3238</v>
      </c>
    </row>
    <row r="4" spans="1:22" s="3191" customFormat="1" ht="18.75" customHeight="1">
      <c r="A4" s="3190" t="s">
        <v>3027</v>
      </c>
      <c r="B4" s="3190" t="s">
        <v>3012</v>
      </c>
      <c r="C4" s="3190" t="s">
        <v>3013</v>
      </c>
      <c r="D4" s="3190" t="s">
        <v>2814</v>
      </c>
      <c r="E4" s="3190" t="s">
        <v>3027</v>
      </c>
      <c r="F4" s="3190" t="s">
        <v>3014</v>
      </c>
      <c r="G4" s="3190" t="s">
        <v>3028</v>
      </c>
      <c r="H4" s="3190" t="s">
        <v>3024</v>
      </c>
      <c r="I4" s="3190">
        <v>69654.17</v>
      </c>
      <c r="J4" s="3190">
        <v>271651.3</v>
      </c>
      <c r="K4" s="3190">
        <v>3.9</v>
      </c>
      <c r="L4" s="3190" t="s">
        <v>3017</v>
      </c>
      <c r="M4" s="3190" t="s">
        <v>3018</v>
      </c>
      <c r="N4" s="3190" t="s">
        <v>3025</v>
      </c>
      <c r="O4" s="3190">
        <v>53580</v>
      </c>
      <c r="P4" s="3190">
        <v>512.82000000000005</v>
      </c>
      <c r="Q4" s="3190">
        <v>1972.38</v>
      </c>
      <c r="R4" s="3190">
        <v>9.17</v>
      </c>
      <c r="S4" s="3190" t="s">
        <v>3026</v>
      </c>
      <c r="T4" s="3190" t="s">
        <v>3021</v>
      </c>
    </row>
    <row r="5" spans="1:22" s="3191" customFormat="1" ht="18.75" customHeight="1">
      <c r="A5" s="3190" t="s">
        <v>3029</v>
      </c>
      <c r="B5" s="3190" t="s">
        <v>3012</v>
      </c>
      <c r="C5" s="3190" t="s">
        <v>3013</v>
      </c>
      <c r="D5" s="3190" t="s">
        <v>2814</v>
      </c>
      <c r="E5" s="3190" t="s">
        <v>3029</v>
      </c>
      <c r="F5" s="3190" t="s">
        <v>3014</v>
      </c>
      <c r="G5" s="3190" t="s">
        <v>3030</v>
      </c>
      <c r="H5" s="3190" t="s">
        <v>3024</v>
      </c>
      <c r="I5" s="3190">
        <v>36300.300000000003</v>
      </c>
      <c r="J5" s="3190">
        <v>119791</v>
      </c>
      <c r="K5" s="3190">
        <v>3.3</v>
      </c>
      <c r="L5" s="3190" t="s">
        <v>3017</v>
      </c>
      <c r="M5" s="3190" t="s">
        <v>3018</v>
      </c>
      <c r="N5" s="3190" t="s">
        <v>3025</v>
      </c>
      <c r="O5" s="3190">
        <v>25390</v>
      </c>
      <c r="P5" s="3190">
        <v>466.3</v>
      </c>
      <c r="Q5" s="3190">
        <v>2119.5100000000002</v>
      </c>
      <c r="R5" s="3190">
        <v>11.9</v>
      </c>
      <c r="S5" s="3190" t="s">
        <v>3026</v>
      </c>
      <c r="T5" s="3190" t="s">
        <v>3021</v>
      </c>
    </row>
    <row r="6" spans="1:22" s="3191" customFormat="1" ht="18.75" customHeight="1">
      <c r="A6" s="3190" t="s">
        <v>3031</v>
      </c>
      <c r="B6" s="3190" t="s">
        <v>3012</v>
      </c>
      <c r="C6" s="3190" t="s">
        <v>3013</v>
      </c>
      <c r="D6" s="3190" t="s">
        <v>2814</v>
      </c>
      <c r="E6" s="3190" t="s">
        <v>3031</v>
      </c>
      <c r="F6" s="3190" t="s">
        <v>3014</v>
      </c>
      <c r="G6" s="3190" t="s">
        <v>3032</v>
      </c>
      <c r="H6" s="3190" t="s">
        <v>3016</v>
      </c>
      <c r="I6" s="3190">
        <v>60225.5</v>
      </c>
      <c r="J6" s="3190">
        <v>252947.1</v>
      </c>
      <c r="K6" s="3190">
        <v>4.2</v>
      </c>
      <c r="L6" s="3190" t="s">
        <v>3017</v>
      </c>
      <c r="M6" s="3190" t="s">
        <v>3018</v>
      </c>
      <c r="N6" s="3190" t="s">
        <v>3019</v>
      </c>
      <c r="O6" s="3190">
        <v>46960</v>
      </c>
      <c r="P6" s="3190">
        <v>519.82000000000005</v>
      </c>
      <c r="Q6" s="3190">
        <v>1856.5</v>
      </c>
      <c r="R6" s="3190">
        <v>10.6</v>
      </c>
      <c r="S6" s="3190" t="s">
        <v>3020</v>
      </c>
      <c r="T6" s="3190" t="s">
        <v>3021</v>
      </c>
    </row>
    <row r="7" spans="1:22" s="3191" customFormat="1" ht="18.75" customHeight="1">
      <c r="A7" s="3190" t="s">
        <v>3033</v>
      </c>
      <c r="B7" s="3190" t="s">
        <v>3012</v>
      </c>
      <c r="C7" s="3190" t="s">
        <v>3013</v>
      </c>
      <c r="D7" s="3190" t="s">
        <v>2814</v>
      </c>
      <c r="E7" s="3190" t="s">
        <v>3033</v>
      </c>
      <c r="F7" s="3190" t="s">
        <v>3014</v>
      </c>
      <c r="G7" s="3190" t="s">
        <v>3034</v>
      </c>
      <c r="H7" s="3190" t="s">
        <v>3024</v>
      </c>
      <c r="I7" s="3190">
        <v>54441.37</v>
      </c>
      <c r="J7" s="3190">
        <v>179656.5</v>
      </c>
      <c r="K7" s="3190">
        <v>3.3</v>
      </c>
      <c r="L7" s="3190" t="s">
        <v>3017</v>
      </c>
      <c r="M7" s="3190" t="s">
        <v>3018</v>
      </c>
      <c r="N7" s="3190" t="s">
        <v>3019</v>
      </c>
      <c r="O7" s="3190">
        <v>40780</v>
      </c>
      <c r="P7" s="3190">
        <v>499.38</v>
      </c>
      <c r="Q7" s="3190">
        <v>2269.88</v>
      </c>
      <c r="R7" s="3190">
        <v>9.68</v>
      </c>
      <c r="S7" s="3190" t="s">
        <v>3026</v>
      </c>
      <c r="T7" s="3190" t="s">
        <v>3021</v>
      </c>
    </row>
    <row r="8" spans="1:22" s="3191" customFormat="1" ht="18.75" customHeight="1">
      <c r="A8" s="3190" t="s">
        <v>3035</v>
      </c>
      <c r="B8" s="3190" t="s">
        <v>3012</v>
      </c>
      <c r="C8" s="3190" t="s">
        <v>3013</v>
      </c>
      <c r="D8" s="3190" t="s">
        <v>2814</v>
      </c>
      <c r="E8" s="3190" t="s">
        <v>3035</v>
      </c>
      <c r="F8" s="3190" t="s">
        <v>3014</v>
      </c>
      <c r="G8" s="3190" t="s">
        <v>3036</v>
      </c>
      <c r="H8" s="3190" t="s">
        <v>3024</v>
      </c>
      <c r="I8" s="3190">
        <v>70555.429999999993</v>
      </c>
      <c r="J8" s="3190">
        <v>296332.79999999999</v>
      </c>
      <c r="K8" s="3190">
        <v>4.2</v>
      </c>
      <c r="L8" s="3190" t="s">
        <v>3017</v>
      </c>
      <c r="M8" s="3190" t="s">
        <v>3018</v>
      </c>
      <c r="N8" s="3190" t="s">
        <v>3019</v>
      </c>
      <c r="O8" s="3190">
        <v>48360</v>
      </c>
      <c r="P8" s="3190">
        <v>456.95</v>
      </c>
      <c r="Q8" s="3190">
        <v>1631.95</v>
      </c>
      <c r="R8" s="3190">
        <v>10.26</v>
      </c>
      <c r="S8" s="3190" t="s">
        <v>3026</v>
      </c>
      <c r="T8" s="3190" t="s">
        <v>3021</v>
      </c>
    </row>
    <row r="9" spans="1:22" s="3193" customFormat="1" ht="18.75" customHeight="1">
      <c r="A9" s="3192" t="s">
        <v>3037</v>
      </c>
      <c r="B9" s="3192" t="s">
        <v>3012</v>
      </c>
      <c r="C9" s="3192" t="s">
        <v>3013</v>
      </c>
      <c r="D9" s="3192" t="s">
        <v>2814</v>
      </c>
      <c r="E9" s="3192" t="s">
        <v>3037</v>
      </c>
      <c r="F9" s="3192" t="s">
        <v>3014</v>
      </c>
      <c r="G9" s="3192" t="s">
        <v>3038</v>
      </c>
      <c r="H9" s="3192" t="s">
        <v>3024</v>
      </c>
      <c r="I9" s="3192">
        <v>187777</v>
      </c>
      <c r="J9" s="3192">
        <v>694774.8</v>
      </c>
      <c r="K9" s="3192">
        <v>3.7</v>
      </c>
      <c r="L9" s="3192" t="s">
        <v>3017</v>
      </c>
      <c r="M9" s="3192" t="s">
        <v>3018</v>
      </c>
      <c r="N9" s="3192" t="s">
        <v>3025</v>
      </c>
      <c r="O9" s="3192">
        <v>121130</v>
      </c>
      <c r="P9" s="3192">
        <v>430.05</v>
      </c>
      <c r="Q9" s="3192">
        <v>1743.44</v>
      </c>
      <c r="R9" s="3192">
        <v>9.19</v>
      </c>
      <c r="S9" s="3192" t="s">
        <v>3026</v>
      </c>
      <c r="T9" s="3192" t="s">
        <v>3021</v>
      </c>
    </row>
    <row r="10" spans="1:22" s="3191" customFormat="1" ht="18.75" customHeight="1">
      <c r="A10" s="3190" t="s">
        <v>3039</v>
      </c>
      <c r="B10" s="3190" t="s">
        <v>3012</v>
      </c>
      <c r="C10" s="3190" t="s">
        <v>3013</v>
      </c>
      <c r="D10" s="3190" t="s">
        <v>2814</v>
      </c>
      <c r="E10" s="3190" t="s">
        <v>3039</v>
      </c>
      <c r="F10" s="3190" t="s">
        <v>3014</v>
      </c>
      <c r="G10" s="3190" t="s">
        <v>3040</v>
      </c>
      <c r="H10" s="3190" t="s">
        <v>3024</v>
      </c>
      <c r="I10" s="3190">
        <v>29950.5</v>
      </c>
      <c r="J10" s="3190">
        <v>104826.8</v>
      </c>
      <c r="K10" s="3190">
        <v>3.5</v>
      </c>
      <c r="L10" s="3190" t="s">
        <v>3017</v>
      </c>
      <c r="M10" s="3190" t="s">
        <v>3018</v>
      </c>
      <c r="N10" s="3190" t="s">
        <v>3019</v>
      </c>
      <c r="O10" s="3190">
        <v>21250</v>
      </c>
      <c r="P10" s="3190">
        <v>473</v>
      </c>
      <c r="Q10" s="3190">
        <v>2027.15</v>
      </c>
      <c r="R10" s="3190">
        <v>10.97</v>
      </c>
      <c r="S10" s="3190" t="s">
        <v>3026</v>
      </c>
      <c r="T10" s="3190" t="s">
        <v>3041</v>
      </c>
    </row>
    <row r="11" spans="1:22" s="3219" customFormat="1" ht="18.75" customHeight="1">
      <c r="A11" s="3217" t="s">
        <v>3042</v>
      </c>
      <c r="B11" s="3217" t="s">
        <v>3012</v>
      </c>
      <c r="C11" s="3217" t="s">
        <v>3043</v>
      </c>
      <c r="D11" s="3217" t="s">
        <v>2814</v>
      </c>
      <c r="E11" s="3217" t="s">
        <v>3042</v>
      </c>
      <c r="F11" s="3217" t="s">
        <v>3014</v>
      </c>
      <c r="G11" s="3217" t="s">
        <v>3044</v>
      </c>
      <c r="H11" s="3217" t="s">
        <v>3045</v>
      </c>
      <c r="I11" s="3217">
        <v>11735.19</v>
      </c>
      <c r="J11" s="3217">
        <v>49287.8</v>
      </c>
      <c r="K11" s="3217">
        <v>4.2</v>
      </c>
      <c r="L11" s="3217" t="s">
        <v>3046</v>
      </c>
      <c r="M11" s="3217" t="s">
        <v>3047</v>
      </c>
      <c r="N11" s="3218" t="s">
        <v>3240</v>
      </c>
      <c r="O11" s="3217">
        <v>15580</v>
      </c>
      <c r="P11" s="3217">
        <v>885.09</v>
      </c>
      <c r="Q11" s="3217">
        <v>3161.03</v>
      </c>
      <c r="R11" s="3217">
        <v>19.11</v>
      </c>
      <c r="S11" s="3217" t="s">
        <v>3049</v>
      </c>
      <c r="T11" s="3217" t="s">
        <v>3021</v>
      </c>
      <c r="U11" s="3219" t="s">
        <v>3236</v>
      </c>
      <c r="V11" s="3220" t="s">
        <v>3220</v>
      </c>
    </row>
    <row r="12" spans="1:22" ht="18.75" customHeight="1">
      <c r="A12" s="3189" t="s">
        <v>3050</v>
      </c>
      <c r="B12" s="3189" t="s">
        <v>3012</v>
      </c>
      <c r="C12" s="3189" t="s">
        <v>3043</v>
      </c>
      <c r="D12" s="3189" t="s">
        <v>2814</v>
      </c>
      <c r="E12" s="3189" t="s">
        <v>3222</v>
      </c>
      <c r="F12" s="3189" t="s">
        <v>3051</v>
      </c>
      <c r="G12" s="3189" t="s">
        <v>3221</v>
      </c>
      <c r="H12" s="3189" t="s">
        <v>3045</v>
      </c>
      <c r="I12" s="3189">
        <v>14387.52</v>
      </c>
      <c r="J12" s="3189">
        <v>50356.32</v>
      </c>
      <c r="K12" s="3189">
        <v>3.5</v>
      </c>
      <c r="L12" s="3189" t="s">
        <v>3052</v>
      </c>
      <c r="M12" s="3189" t="s">
        <v>3053</v>
      </c>
      <c r="N12" s="3189" t="s">
        <v>3054</v>
      </c>
      <c r="O12" s="3189">
        <v>9720</v>
      </c>
      <c r="P12" s="3189">
        <v>450.39</v>
      </c>
      <c r="Q12" s="3189">
        <v>1930.24</v>
      </c>
      <c r="R12" s="3189">
        <v>11.72</v>
      </c>
      <c r="S12" s="3189" t="s">
        <v>3049</v>
      </c>
      <c r="T12" s="3189" t="s">
        <v>3021</v>
      </c>
      <c r="V12" s="3206" t="s">
        <v>3223</v>
      </c>
    </row>
    <row r="13" spans="1:22" s="3204" customFormat="1" ht="18.75" hidden="1" customHeight="1">
      <c r="A13" s="3202" t="s">
        <v>3055</v>
      </c>
      <c r="B13" s="3202" t="s">
        <v>3012</v>
      </c>
      <c r="C13" s="3202" t="s">
        <v>3043</v>
      </c>
      <c r="D13" s="3202" t="s">
        <v>2814</v>
      </c>
      <c r="E13" s="3202" t="s">
        <v>3055</v>
      </c>
      <c r="F13" s="3202" t="s">
        <v>3051</v>
      </c>
      <c r="G13" s="3202" t="s">
        <v>3056</v>
      </c>
      <c r="H13" s="3203" t="s">
        <v>3188</v>
      </c>
      <c r="I13" s="3202">
        <v>51931.74</v>
      </c>
      <c r="J13" s="3202">
        <v>103863.5</v>
      </c>
      <c r="K13" s="3202" t="s">
        <v>3058</v>
      </c>
      <c r="L13" s="3202" t="s">
        <v>3059</v>
      </c>
      <c r="M13" s="3202" t="s">
        <v>3060</v>
      </c>
      <c r="N13" s="3202" t="s">
        <v>3061</v>
      </c>
      <c r="O13" s="3202">
        <v>3470</v>
      </c>
      <c r="P13" s="3202">
        <v>44.55</v>
      </c>
      <c r="Q13" s="3202">
        <v>334.08</v>
      </c>
      <c r="R13" s="3202">
        <v>16.84</v>
      </c>
      <c r="S13" s="3202" t="s">
        <v>3062</v>
      </c>
      <c r="T13" s="3202" t="s">
        <v>3021</v>
      </c>
    </row>
    <row r="14" spans="1:22" s="3219" customFormat="1" ht="18.75" customHeight="1">
      <c r="A14" s="3217" t="s">
        <v>3063</v>
      </c>
      <c r="B14" s="3217" t="s">
        <v>3012</v>
      </c>
      <c r="C14" s="3217" t="s">
        <v>3013</v>
      </c>
      <c r="D14" s="3217" t="s">
        <v>2814</v>
      </c>
      <c r="E14" s="3217" t="s">
        <v>3063</v>
      </c>
      <c r="F14" s="3217" t="s">
        <v>3051</v>
      </c>
      <c r="G14" s="3217" t="s">
        <v>3224</v>
      </c>
      <c r="H14" s="3217" t="s">
        <v>3024</v>
      </c>
      <c r="I14" s="3217">
        <v>14402.3</v>
      </c>
      <c r="J14" s="3217">
        <v>60489.66</v>
      </c>
      <c r="K14" s="3217">
        <v>4.2</v>
      </c>
      <c r="L14" s="3217" t="s">
        <v>3064</v>
      </c>
      <c r="M14" s="3217" t="s">
        <v>3065</v>
      </c>
      <c r="N14" s="3217" t="s">
        <v>3048</v>
      </c>
      <c r="O14" s="3217">
        <v>16340</v>
      </c>
      <c r="P14" s="3217">
        <v>756.36</v>
      </c>
      <c r="Q14" s="3217">
        <v>2701.28</v>
      </c>
      <c r="R14" s="3217">
        <v>10.11</v>
      </c>
      <c r="S14" s="3217" t="s">
        <v>3026</v>
      </c>
      <c r="T14" s="3217" t="s">
        <v>3021</v>
      </c>
      <c r="U14" s="3219" t="s">
        <v>3241</v>
      </c>
    </row>
    <row r="15" spans="1:22" ht="18.75" customHeight="1">
      <c r="A15" s="3189" t="s">
        <v>3066</v>
      </c>
      <c r="B15" s="3189" t="s">
        <v>3012</v>
      </c>
      <c r="C15" s="3189" t="s">
        <v>3013</v>
      </c>
      <c r="D15" s="3189" t="s">
        <v>2814</v>
      </c>
      <c r="E15" s="3189" t="s">
        <v>3066</v>
      </c>
      <c r="F15" s="3189" t="s">
        <v>3051</v>
      </c>
      <c r="G15" s="3189" t="s">
        <v>3225</v>
      </c>
      <c r="H15" s="3189" t="s">
        <v>3024</v>
      </c>
      <c r="I15" s="3189">
        <v>9173.5300000000007</v>
      </c>
      <c r="J15" s="3189">
        <v>96322.07</v>
      </c>
      <c r="K15" s="3189">
        <v>10.5</v>
      </c>
      <c r="L15" s="3189" t="s">
        <v>3067</v>
      </c>
      <c r="M15" s="3189" t="s">
        <v>3068</v>
      </c>
      <c r="N15" s="3194" t="s">
        <v>3239</v>
      </c>
      <c r="O15" s="3189">
        <v>14480</v>
      </c>
      <c r="P15" s="3189">
        <v>1052.3</v>
      </c>
      <c r="Q15" s="3189">
        <v>1503.28</v>
      </c>
      <c r="R15" s="3189">
        <v>11.56</v>
      </c>
      <c r="S15" s="3189" t="s">
        <v>3026</v>
      </c>
      <c r="T15" s="3189" t="s">
        <v>3021</v>
      </c>
      <c r="U15" s="3205" t="s">
        <v>3243</v>
      </c>
      <c r="V15" s="3206" t="s">
        <v>3226</v>
      </c>
    </row>
    <row r="16" spans="1:22" ht="18.75" customHeight="1">
      <c r="A16" s="3189" t="s">
        <v>3070</v>
      </c>
      <c r="B16" s="3189" t="s">
        <v>3012</v>
      </c>
      <c r="C16" s="3189" t="s">
        <v>3013</v>
      </c>
      <c r="D16" s="3189" t="s">
        <v>2814</v>
      </c>
      <c r="E16" s="3189" t="s">
        <v>3070</v>
      </c>
      <c r="F16" s="3189" t="s">
        <v>3051</v>
      </c>
      <c r="G16" s="3189" t="s">
        <v>3071</v>
      </c>
      <c r="H16" s="3189" t="s">
        <v>3024</v>
      </c>
      <c r="I16" s="3189">
        <v>8380.59</v>
      </c>
      <c r="J16" s="3189">
        <v>58664.13</v>
      </c>
      <c r="K16" s="3189">
        <v>7</v>
      </c>
      <c r="L16" s="3189" t="s">
        <v>3067</v>
      </c>
      <c r="M16" s="3189" t="s">
        <v>3072</v>
      </c>
      <c r="N16" s="3189" t="s">
        <v>3069</v>
      </c>
      <c r="O16" s="3189">
        <v>11550</v>
      </c>
      <c r="P16" s="3189">
        <v>918.79</v>
      </c>
      <c r="Q16" s="3189">
        <v>1968.83</v>
      </c>
      <c r="R16" s="3189">
        <v>14.93</v>
      </c>
      <c r="S16" s="3189" t="s">
        <v>3026</v>
      </c>
      <c r="T16" s="3189" t="s">
        <v>3041</v>
      </c>
      <c r="U16" s="3205" t="s">
        <v>3242</v>
      </c>
      <c r="V16" s="3206" t="s">
        <v>3227</v>
      </c>
    </row>
    <row r="17" spans="1:22" s="3235" customFormat="1" ht="18.75" customHeight="1">
      <c r="A17" s="3234" t="s">
        <v>3073</v>
      </c>
      <c r="B17" s="3234" t="s">
        <v>3012</v>
      </c>
      <c r="C17" s="3234" t="s">
        <v>3013</v>
      </c>
      <c r="D17" s="3234" t="s">
        <v>2814</v>
      </c>
      <c r="E17" s="3234" t="s">
        <v>3073</v>
      </c>
      <c r="F17" s="3234" t="s">
        <v>3051</v>
      </c>
      <c r="G17" s="3234" t="s">
        <v>3074</v>
      </c>
      <c r="H17" s="3234" t="s">
        <v>3024</v>
      </c>
      <c r="I17" s="3234">
        <v>11657.53</v>
      </c>
      <c r="J17" s="3234">
        <v>48961.63</v>
      </c>
      <c r="K17" s="3234">
        <v>4.2</v>
      </c>
      <c r="L17" s="3234" t="s">
        <v>3075</v>
      </c>
      <c r="M17" s="3234" t="s">
        <v>3076</v>
      </c>
      <c r="N17" s="3234" t="s">
        <v>3048</v>
      </c>
      <c r="O17" s="3234">
        <v>12770</v>
      </c>
      <c r="P17" s="3234">
        <v>730.29</v>
      </c>
      <c r="Q17" s="3234">
        <v>2608.15</v>
      </c>
      <c r="R17" s="3234">
        <v>13.31</v>
      </c>
      <c r="S17" s="3234" t="s">
        <v>3077</v>
      </c>
      <c r="T17" s="3234" t="s">
        <v>3021</v>
      </c>
      <c r="V17" s="3220" t="s">
        <v>3229</v>
      </c>
    </row>
    <row r="18" spans="1:22" ht="18.75" customHeight="1">
      <c r="A18" s="3189" t="s">
        <v>3078</v>
      </c>
      <c r="B18" s="3189" t="s">
        <v>3012</v>
      </c>
      <c r="C18" s="3189" t="s">
        <v>3013</v>
      </c>
      <c r="D18" s="3189" t="s">
        <v>2814</v>
      </c>
      <c r="E18" s="3189" t="s">
        <v>3078</v>
      </c>
      <c r="F18" s="3189" t="s">
        <v>3051</v>
      </c>
      <c r="G18" s="3189" t="s">
        <v>3228</v>
      </c>
      <c r="H18" s="3189" t="s">
        <v>3024</v>
      </c>
      <c r="I18" s="3189">
        <v>20745.68</v>
      </c>
      <c r="J18" s="3189">
        <v>87131.86</v>
      </c>
      <c r="K18" s="3189">
        <v>4.2</v>
      </c>
      <c r="L18" s="3189" t="s">
        <v>3075</v>
      </c>
      <c r="M18" s="3189" t="s">
        <v>3079</v>
      </c>
      <c r="N18" s="3189" t="s">
        <v>3048</v>
      </c>
      <c r="O18" s="3189">
        <v>22750</v>
      </c>
      <c r="P18" s="3189">
        <v>731.08</v>
      </c>
      <c r="Q18" s="3189">
        <v>2610.98</v>
      </c>
      <c r="R18" s="3189">
        <v>13.47</v>
      </c>
      <c r="S18" s="3189" t="s">
        <v>3077</v>
      </c>
      <c r="T18" s="3189" t="s">
        <v>3021</v>
      </c>
      <c r="V18" s="3206" t="s">
        <v>3229</v>
      </c>
    </row>
    <row r="19" spans="1:22" s="3219" customFormat="1" ht="18.75" customHeight="1">
      <c r="A19" s="3217" t="s">
        <v>3080</v>
      </c>
      <c r="B19" s="3217" t="s">
        <v>3012</v>
      </c>
      <c r="C19" s="3217" t="s">
        <v>3013</v>
      </c>
      <c r="D19" s="3217" t="s">
        <v>2814</v>
      </c>
      <c r="E19" s="3217" t="s">
        <v>3080</v>
      </c>
      <c r="F19" s="3217" t="s">
        <v>3051</v>
      </c>
      <c r="G19" s="3217" t="s">
        <v>3081</v>
      </c>
      <c r="H19" s="3217" t="s">
        <v>3082</v>
      </c>
      <c r="I19" s="3217">
        <v>23962.23</v>
      </c>
      <c r="J19" s="3217">
        <v>100641.4</v>
      </c>
      <c r="K19" s="3217">
        <v>4.2</v>
      </c>
      <c r="L19" s="3217" t="s">
        <v>3075</v>
      </c>
      <c r="M19" s="3217" t="s">
        <v>3083</v>
      </c>
      <c r="N19" s="3217" t="s">
        <v>3048</v>
      </c>
      <c r="O19" s="3217">
        <v>28470</v>
      </c>
      <c r="P19" s="3217">
        <v>792.08</v>
      </c>
      <c r="Q19" s="3217">
        <v>2828.86</v>
      </c>
      <c r="R19" s="3217">
        <v>13.11</v>
      </c>
      <c r="S19" s="3217" t="s">
        <v>3026</v>
      </c>
      <c r="T19" s="3217" t="s">
        <v>3021</v>
      </c>
      <c r="V19" s="3220" t="s">
        <v>3229</v>
      </c>
    </row>
    <row r="20" spans="1:22" ht="18.75" customHeight="1">
      <c r="A20" s="3189" t="s">
        <v>3084</v>
      </c>
      <c r="B20" s="3189" t="s">
        <v>3012</v>
      </c>
      <c r="C20" s="3189" t="s">
        <v>3013</v>
      </c>
      <c r="D20" s="3189" t="s">
        <v>2814</v>
      </c>
      <c r="E20" s="3189" t="s">
        <v>3084</v>
      </c>
      <c r="F20" s="3189" t="s">
        <v>3051</v>
      </c>
      <c r="G20" s="3189" t="s">
        <v>3085</v>
      </c>
      <c r="H20" s="3189" t="s">
        <v>3086</v>
      </c>
      <c r="I20" s="3189">
        <v>28880.49</v>
      </c>
      <c r="J20" s="3189">
        <v>111767.5</v>
      </c>
      <c r="K20" s="3189">
        <v>3.87</v>
      </c>
      <c r="L20" s="3189" t="s">
        <v>3075</v>
      </c>
      <c r="M20" s="3189" t="s">
        <v>3087</v>
      </c>
      <c r="N20" s="3189" t="s">
        <v>3048</v>
      </c>
      <c r="O20" s="3189">
        <v>31030</v>
      </c>
      <c r="P20" s="3189">
        <v>716.29</v>
      </c>
      <c r="Q20" s="3189">
        <v>2776.3</v>
      </c>
      <c r="R20" s="3189">
        <v>11.9</v>
      </c>
      <c r="S20" s="3189" t="s">
        <v>3088</v>
      </c>
      <c r="T20" s="3189" t="s">
        <v>3021</v>
      </c>
      <c r="V20" s="3206" t="s">
        <v>3229</v>
      </c>
    </row>
    <row r="21" spans="1:22" s="3248" customFormat="1" ht="18.75" customHeight="1">
      <c r="A21" s="3245" t="s">
        <v>3089</v>
      </c>
      <c r="B21" s="3245" t="s">
        <v>3012</v>
      </c>
      <c r="C21" s="3245" t="s">
        <v>3013</v>
      </c>
      <c r="D21" s="3245" t="s">
        <v>2814</v>
      </c>
      <c r="E21" s="3245" t="s">
        <v>3089</v>
      </c>
      <c r="F21" s="3245" t="s">
        <v>3051</v>
      </c>
      <c r="G21" s="3245" t="s">
        <v>3090</v>
      </c>
      <c r="H21" s="3245" t="s">
        <v>3082</v>
      </c>
      <c r="I21" s="3245">
        <v>3020</v>
      </c>
      <c r="J21" s="3245">
        <v>12684</v>
      </c>
      <c r="K21" s="3245">
        <v>4.2</v>
      </c>
      <c r="L21" s="3245" t="s">
        <v>3075</v>
      </c>
      <c r="M21" s="3245" t="s">
        <v>3091</v>
      </c>
      <c r="N21" s="3245" t="s">
        <v>3048</v>
      </c>
      <c r="O21" s="3245">
        <v>3220</v>
      </c>
      <c r="P21" s="3245">
        <v>710.82</v>
      </c>
      <c r="Q21" s="3245">
        <v>2538.63</v>
      </c>
      <c r="R21" s="3245">
        <v>10.27</v>
      </c>
      <c r="S21" s="3245" t="s">
        <v>3026</v>
      </c>
      <c r="T21" s="3245" t="s">
        <v>3021</v>
      </c>
      <c r="V21" s="3247" t="s">
        <v>3229</v>
      </c>
    </row>
    <row r="22" spans="1:22" ht="18.75" customHeight="1">
      <c r="A22" s="3189" t="s">
        <v>3092</v>
      </c>
      <c r="B22" s="3189" t="s">
        <v>3012</v>
      </c>
      <c r="C22" s="3189" t="s">
        <v>3013</v>
      </c>
      <c r="D22" s="3189" t="s">
        <v>2814</v>
      </c>
      <c r="E22" s="3194" t="s">
        <v>3362</v>
      </c>
      <c r="F22" s="3189" t="s">
        <v>3051</v>
      </c>
      <c r="G22" s="3189" t="s">
        <v>3230</v>
      </c>
      <c r="H22" s="3189" t="s">
        <v>3093</v>
      </c>
      <c r="I22" s="3189">
        <v>189471.1</v>
      </c>
      <c r="J22" s="3189">
        <v>246312.4</v>
      </c>
      <c r="K22" s="3189">
        <v>1.3</v>
      </c>
      <c r="L22" s="3189" t="s">
        <v>3094</v>
      </c>
      <c r="M22" s="3189" t="s">
        <v>3095</v>
      </c>
      <c r="N22" s="3189" t="s">
        <v>3096</v>
      </c>
      <c r="O22" s="3189">
        <v>18201</v>
      </c>
      <c r="P22" s="3189">
        <v>64.040000000000006</v>
      </c>
      <c r="Q22" s="3189">
        <v>738.94</v>
      </c>
      <c r="R22" s="3189" t="s">
        <v>2814</v>
      </c>
      <c r="S22" s="3189" t="s">
        <v>3097</v>
      </c>
      <c r="T22" s="3189" t="s">
        <v>3041</v>
      </c>
    </row>
    <row r="23" spans="1:22" ht="18.75" customHeight="1">
      <c r="A23" s="3189" t="s">
        <v>3092</v>
      </c>
      <c r="B23" s="3189" t="s">
        <v>3012</v>
      </c>
      <c r="C23" s="3189" t="s">
        <v>3013</v>
      </c>
      <c r="D23" s="3189" t="s">
        <v>2814</v>
      </c>
      <c r="E23" s="3194" t="s">
        <v>3362</v>
      </c>
      <c r="F23" s="3189" t="s">
        <v>3051</v>
      </c>
      <c r="G23" s="3189" t="s">
        <v>3098</v>
      </c>
      <c r="H23" s="3189" t="s">
        <v>3082</v>
      </c>
      <c r="I23" s="3189">
        <v>88039.28</v>
      </c>
      <c r="J23" s="3189">
        <v>114451.1</v>
      </c>
      <c r="K23" s="3189">
        <v>1.3</v>
      </c>
      <c r="L23" s="3189" t="s">
        <v>3094</v>
      </c>
      <c r="M23" s="3189" t="s">
        <v>3099</v>
      </c>
      <c r="N23" s="3189" t="s">
        <v>3096</v>
      </c>
      <c r="O23" s="3189">
        <v>18202</v>
      </c>
      <c r="P23" s="3189">
        <v>137.83000000000001</v>
      </c>
      <c r="Q23" s="3189">
        <v>1590.36</v>
      </c>
      <c r="R23" s="3189">
        <v>76.55</v>
      </c>
      <c r="S23" s="3189" t="s">
        <v>3026</v>
      </c>
      <c r="T23" s="3189" t="s">
        <v>3021</v>
      </c>
    </row>
    <row r="24" spans="1:22" ht="18.75" customHeight="1">
      <c r="A24" s="3189" t="s">
        <v>3092</v>
      </c>
      <c r="B24" s="3189" t="s">
        <v>3012</v>
      </c>
      <c r="C24" s="3189" t="s">
        <v>3013</v>
      </c>
      <c r="D24" s="3189" t="s">
        <v>2814</v>
      </c>
      <c r="E24" s="3189" t="s">
        <v>3092</v>
      </c>
      <c r="F24" s="3189" t="s">
        <v>3051</v>
      </c>
      <c r="G24" s="3189" t="s">
        <v>3100</v>
      </c>
      <c r="H24" s="3189" t="s">
        <v>3082</v>
      </c>
      <c r="I24" s="3189">
        <v>136690.20000000001</v>
      </c>
      <c r="J24" s="3189">
        <v>177697.3</v>
      </c>
      <c r="K24" s="3189">
        <v>1.3</v>
      </c>
      <c r="L24" s="3189" t="s">
        <v>3094</v>
      </c>
      <c r="M24" s="3189" t="s">
        <v>3101</v>
      </c>
      <c r="N24" s="3189" t="s">
        <v>3096</v>
      </c>
      <c r="O24" s="3189">
        <v>18200</v>
      </c>
      <c r="P24" s="3189">
        <v>88.77</v>
      </c>
      <c r="Q24" s="3189">
        <v>1024.21</v>
      </c>
      <c r="R24" s="3189">
        <v>13.75</v>
      </c>
      <c r="S24" s="3189" t="s">
        <v>3026</v>
      </c>
      <c r="T24" s="3189" t="s">
        <v>3041</v>
      </c>
    </row>
    <row r="25" spans="1:22" ht="18.75" customHeight="1">
      <c r="A25" s="3189" t="s">
        <v>3092</v>
      </c>
      <c r="B25" s="3189" t="s">
        <v>3012</v>
      </c>
      <c r="C25" s="3189" t="s">
        <v>3013</v>
      </c>
      <c r="D25" s="3189" t="s">
        <v>2814</v>
      </c>
      <c r="E25" s="3194" t="s">
        <v>3231</v>
      </c>
      <c r="F25" s="3189" t="s">
        <v>3014</v>
      </c>
      <c r="G25" s="3189" t="s">
        <v>3102</v>
      </c>
      <c r="H25" s="3189" t="s">
        <v>3082</v>
      </c>
      <c r="I25" s="3189">
        <v>204824.6</v>
      </c>
      <c r="J25" s="3189">
        <v>215065.8</v>
      </c>
      <c r="K25" s="3189">
        <v>1.05</v>
      </c>
      <c r="L25" s="3189" t="s">
        <v>3094</v>
      </c>
      <c r="M25" s="3189" t="s">
        <v>3103</v>
      </c>
      <c r="N25" s="3189" t="s">
        <v>3096</v>
      </c>
      <c r="O25" s="3189">
        <v>25960</v>
      </c>
      <c r="P25" s="3189">
        <v>84.5</v>
      </c>
      <c r="Q25" s="3189">
        <v>1207.06</v>
      </c>
      <c r="R25" s="3189">
        <v>12.09</v>
      </c>
      <c r="S25" s="3189" t="s">
        <v>3026</v>
      </c>
      <c r="T25" s="3189" t="s">
        <v>3041</v>
      </c>
    </row>
    <row r="26" spans="1:22" s="3250" customFormat="1" ht="18.75" customHeight="1">
      <c r="A26" s="3249" t="s">
        <v>3104</v>
      </c>
      <c r="B26" s="3249" t="s">
        <v>3012</v>
      </c>
      <c r="C26" s="3249" t="s">
        <v>3013</v>
      </c>
      <c r="D26" s="3249" t="s">
        <v>2814</v>
      </c>
      <c r="E26" s="3249" t="s">
        <v>3358</v>
      </c>
      <c r="F26" s="3249" t="s">
        <v>3051</v>
      </c>
      <c r="G26" s="3249" t="s">
        <v>3214</v>
      </c>
      <c r="H26" s="3249" t="s">
        <v>3082</v>
      </c>
      <c r="I26" s="3249">
        <v>24608.19</v>
      </c>
      <c r="J26" s="3249">
        <v>108276</v>
      </c>
      <c r="K26" s="3249">
        <v>4.4000000000000004</v>
      </c>
      <c r="L26" s="3249" t="s">
        <v>3105</v>
      </c>
      <c r="M26" s="3249" t="s">
        <v>3106</v>
      </c>
      <c r="N26" s="3249" t="s">
        <v>3107</v>
      </c>
      <c r="O26" s="3249">
        <v>26510</v>
      </c>
      <c r="P26" s="3249">
        <v>718.19</v>
      </c>
      <c r="Q26" s="3249">
        <v>2448.36</v>
      </c>
      <c r="R26" s="3249">
        <v>11.34</v>
      </c>
      <c r="S26" s="3249" t="s">
        <v>3026</v>
      </c>
      <c r="T26" s="3249" t="s">
        <v>3021</v>
      </c>
      <c r="U26" s="3250" t="s">
        <v>3217</v>
      </c>
      <c r="V26" s="3247" t="s">
        <v>3219</v>
      </c>
    </row>
    <row r="27" spans="1:22" ht="18.75" customHeight="1">
      <c r="A27" s="3189" t="s">
        <v>3104</v>
      </c>
      <c r="B27" s="3189" t="s">
        <v>3012</v>
      </c>
      <c r="C27" s="3189" t="s">
        <v>3013</v>
      </c>
      <c r="D27" s="3189" t="s">
        <v>2814</v>
      </c>
      <c r="E27" s="3189" t="s">
        <v>3104</v>
      </c>
      <c r="F27" s="3189" t="s">
        <v>3051</v>
      </c>
      <c r="G27" s="3189" t="s">
        <v>3215</v>
      </c>
      <c r="H27" s="3189" t="s">
        <v>3108</v>
      </c>
      <c r="I27" s="3189">
        <v>20831.88</v>
      </c>
      <c r="J27" s="3189">
        <v>116658.5</v>
      </c>
      <c r="K27" s="3189">
        <v>5.6</v>
      </c>
      <c r="L27" s="3189" t="s">
        <v>3105</v>
      </c>
      <c r="M27" s="3189" t="s">
        <v>3109</v>
      </c>
      <c r="N27" s="3189" t="s">
        <v>3107</v>
      </c>
      <c r="O27" s="3189">
        <v>28960</v>
      </c>
      <c r="P27" s="3189">
        <v>926.78</v>
      </c>
      <c r="Q27" s="3189">
        <v>2482.46</v>
      </c>
      <c r="R27" s="3189">
        <v>12.86</v>
      </c>
      <c r="S27" s="3189" t="s">
        <v>3110</v>
      </c>
      <c r="T27" s="3189" t="s">
        <v>3021</v>
      </c>
      <c r="U27" s="3205" t="s">
        <v>3216</v>
      </c>
      <c r="V27" s="3206" t="s">
        <v>3219</v>
      </c>
    </row>
    <row r="28" spans="1:22" s="3248" customFormat="1" ht="18.75" customHeight="1">
      <c r="A28" s="3245" t="s">
        <v>3111</v>
      </c>
      <c r="B28" s="3245" t="s">
        <v>3012</v>
      </c>
      <c r="C28" s="3245" t="s">
        <v>3013</v>
      </c>
      <c r="D28" s="3245" t="s">
        <v>2814</v>
      </c>
      <c r="E28" s="3245" t="s">
        <v>3111</v>
      </c>
      <c r="F28" s="3245" t="s">
        <v>3051</v>
      </c>
      <c r="G28" s="3245" t="s">
        <v>3212</v>
      </c>
      <c r="H28" s="3245" t="s">
        <v>3082</v>
      </c>
      <c r="I28" s="3245">
        <v>18793.02</v>
      </c>
      <c r="J28" s="3245">
        <v>92085.8</v>
      </c>
      <c r="K28" s="3245">
        <v>4.9000000000000004</v>
      </c>
      <c r="L28" s="3245" t="s">
        <v>3112</v>
      </c>
      <c r="M28" s="3245" t="s">
        <v>3113</v>
      </c>
      <c r="N28" s="3245" t="s">
        <v>3114</v>
      </c>
      <c r="O28" s="3245">
        <v>19690</v>
      </c>
      <c r="P28" s="3245">
        <v>698.49</v>
      </c>
      <c r="Q28" s="3245">
        <v>2138.21</v>
      </c>
      <c r="R28" s="3245">
        <v>11.94</v>
      </c>
      <c r="S28" s="3245" t="s">
        <v>3026</v>
      </c>
      <c r="T28" s="3245" t="s">
        <v>3021</v>
      </c>
      <c r="U28" s="3246" t="s">
        <v>3218</v>
      </c>
      <c r="V28" s="3247" t="s">
        <v>3213</v>
      </c>
    </row>
    <row r="29" spans="1:22" ht="18.75" customHeight="1">
      <c r="A29" s="3189" t="s">
        <v>3115</v>
      </c>
      <c r="B29" s="3189" t="s">
        <v>3012</v>
      </c>
      <c r="C29" s="3189" t="s">
        <v>3013</v>
      </c>
      <c r="D29" s="3189" t="s">
        <v>2814</v>
      </c>
      <c r="E29" s="3189" t="s">
        <v>3233</v>
      </c>
      <c r="F29" s="3189" t="s">
        <v>3051</v>
      </c>
      <c r="G29" s="3189" t="s">
        <v>3232</v>
      </c>
      <c r="H29" s="3189" t="s">
        <v>3082</v>
      </c>
      <c r="I29" s="3189">
        <v>428.13</v>
      </c>
      <c r="J29" s="3189">
        <v>2825.66</v>
      </c>
      <c r="K29" s="3189">
        <v>6.6</v>
      </c>
      <c r="L29" s="3189" t="s">
        <v>3116</v>
      </c>
      <c r="M29" s="3189" t="s">
        <v>3117</v>
      </c>
      <c r="N29" s="3189" t="s">
        <v>3048</v>
      </c>
      <c r="O29" s="3189">
        <v>750</v>
      </c>
      <c r="P29" s="3189">
        <v>1167.8699999999999</v>
      </c>
      <c r="Q29" s="3189">
        <v>2654.25</v>
      </c>
      <c r="R29" s="3189">
        <v>66.67</v>
      </c>
      <c r="S29" s="3189" t="s">
        <v>3026</v>
      </c>
      <c r="T29" s="3189" t="s">
        <v>3021</v>
      </c>
    </row>
    <row r="30" spans="1:22" ht="18.75" customHeight="1">
      <c r="A30" s="3189" t="s">
        <v>3118</v>
      </c>
      <c r="B30" s="3189" t="s">
        <v>3012</v>
      </c>
      <c r="C30" s="3189" t="s">
        <v>3013</v>
      </c>
      <c r="D30" s="3189" t="s">
        <v>2814</v>
      </c>
      <c r="E30" s="3189" t="s">
        <v>3118</v>
      </c>
      <c r="F30" s="3189" t="s">
        <v>3051</v>
      </c>
      <c r="G30" s="3189" t="s">
        <v>3234</v>
      </c>
      <c r="H30" s="3189" t="s">
        <v>3082</v>
      </c>
      <c r="I30" s="3189">
        <v>32167.57</v>
      </c>
      <c r="J30" s="3189">
        <v>83635.679999999993</v>
      </c>
      <c r="K30" s="3189" t="s">
        <v>3119</v>
      </c>
      <c r="L30" s="3189" t="s">
        <v>3120</v>
      </c>
      <c r="M30" s="3189" t="s">
        <v>3121</v>
      </c>
      <c r="N30" s="3189" t="s">
        <v>3122</v>
      </c>
      <c r="O30" s="3189">
        <v>12990</v>
      </c>
      <c r="P30" s="3189">
        <v>269.22000000000003</v>
      </c>
      <c r="Q30" s="3189">
        <v>1553.16</v>
      </c>
      <c r="R30" s="3189">
        <v>50.35</v>
      </c>
      <c r="S30" s="3189" t="s">
        <v>3123</v>
      </c>
      <c r="T30" s="3189" t="s">
        <v>3124</v>
      </c>
    </row>
    <row r="31" spans="1:22" ht="18.75" customHeight="1">
      <c r="A31" s="3189" t="s">
        <v>3125</v>
      </c>
      <c r="B31" s="3189" t="s">
        <v>3012</v>
      </c>
      <c r="C31" s="3189" t="s">
        <v>3013</v>
      </c>
      <c r="D31" s="3189" t="s">
        <v>2814</v>
      </c>
      <c r="E31" s="3189" t="s">
        <v>3125</v>
      </c>
      <c r="F31" s="3189" t="s">
        <v>3051</v>
      </c>
      <c r="G31" s="3189" t="s">
        <v>3235</v>
      </c>
      <c r="H31" s="3189" t="s">
        <v>3126</v>
      </c>
      <c r="I31" s="3189">
        <v>19225.580000000002</v>
      </c>
      <c r="J31" s="3189">
        <v>57676.74</v>
      </c>
      <c r="K31" s="3189" t="s">
        <v>3127</v>
      </c>
      <c r="L31" s="3189" t="s">
        <v>3128</v>
      </c>
      <c r="M31" s="3189" t="s">
        <v>3129</v>
      </c>
      <c r="N31" s="3189" t="s">
        <v>3130</v>
      </c>
      <c r="O31" s="3189">
        <v>4900</v>
      </c>
      <c r="P31" s="3189">
        <v>169.91</v>
      </c>
      <c r="Q31" s="3189">
        <v>849.55</v>
      </c>
      <c r="R31" s="3189">
        <v>6.52</v>
      </c>
      <c r="S31" s="3189" t="s">
        <v>3131</v>
      </c>
      <c r="T31" s="3189" t="s">
        <v>3021</v>
      </c>
    </row>
    <row r="32" spans="1:22" ht="18.75" customHeight="1">
      <c r="A32" s="3189" t="s">
        <v>3132</v>
      </c>
      <c r="B32" s="3189" t="s">
        <v>3012</v>
      </c>
      <c r="C32" s="3189" t="s">
        <v>3043</v>
      </c>
      <c r="D32" s="3189" t="s">
        <v>2814</v>
      </c>
      <c r="E32" s="3189" t="s">
        <v>3132</v>
      </c>
      <c r="F32" s="3189" t="s">
        <v>3051</v>
      </c>
      <c r="G32" s="3189" t="s">
        <v>3133</v>
      </c>
      <c r="H32" s="3189" t="s">
        <v>3057</v>
      </c>
      <c r="I32" s="3189">
        <v>2987.09</v>
      </c>
      <c r="J32" s="3189">
        <v>8961.27</v>
      </c>
      <c r="K32" s="3189" t="s">
        <v>3127</v>
      </c>
      <c r="L32" s="3189" t="s">
        <v>3134</v>
      </c>
      <c r="M32" s="3189" t="s">
        <v>3135</v>
      </c>
      <c r="N32" s="3189" t="s">
        <v>3130</v>
      </c>
      <c r="O32" s="3189">
        <v>770</v>
      </c>
      <c r="P32" s="3189">
        <v>171.85</v>
      </c>
      <c r="Q32" s="3189">
        <v>859.25</v>
      </c>
      <c r="R32" s="3189">
        <v>11.59</v>
      </c>
      <c r="S32" s="3189" t="s">
        <v>3062</v>
      </c>
      <c r="T32" s="3189" t="s">
        <v>3021</v>
      </c>
    </row>
    <row r="33" spans="1:22" ht="18.75" customHeight="1">
      <c r="A33" s="3189" t="s">
        <v>3136</v>
      </c>
      <c r="B33" s="3189" t="s">
        <v>3012</v>
      </c>
      <c r="C33" s="3189" t="s">
        <v>3013</v>
      </c>
      <c r="D33" s="3189" t="s">
        <v>2814</v>
      </c>
      <c r="E33" s="3189" t="s">
        <v>3136</v>
      </c>
      <c r="F33" s="3189" t="s">
        <v>3051</v>
      </c>
      <c r="G33" s="3189" t="s">
        <v>3137</v>
      </c>
      <c r="H33" s="3189" t="s">
        <v>3138</v>
      </c>
      <c r="I33" s="3189">
        <v>12253.53</v>
      </c>
      <c r="J33" s="3189">
        <v>41662</v>
      </c>
      <c r="K33" s="3189" t="s">
        <v>3139</v>
      </c>
      <c r="L33" s="3189" t="s">
        <v>3140</v>
      </c>
      <c r="M33" s="3189" t="s">
        <v>3141</v>
      </c>
      <c r="N33" s="3189" t="s">
        <v>3142</v>
      </c>
      <c r="O33" s="3189">
        <v>10320</v>
      </c>
      <c r="P33" s="3189">
        <v>561.47</v>
      </c>
      <c r="Q33" s="3189">
        <v>2477.0700000000002</v>
      </c>
      <c r="R33" s="3189">
        <v>21.13</v>
      </c>
      <c r="S33" s="3189" t="s">
        <v>3131</v>
      </c>
      <c r="T33" s="3189" t="s">
        <v>3021</v>
      </c>
    </row>
    <row r="34" spans="1:22" ht="18.75" customHeight="1">
      <c r="A34" s="3189" t="s">
        <v>3143</v>
      </c>
      <c r="B34" s="3189" t="s">
        <v>3012</v>
      </c>
      <c r="C34" s="3189" t="s">
        <v>3013</v>
      </c>
      <c r="D34" s="3189" t="s">
        <v>2814</v>
      </c>
      <c r="E34" s="3189" t="s">
        <v>3143</v>
      </c>
      <c r="F34" s="3189" t="s">
        <v>3051</v>
      </c>
      <c r="G34" s="3189" t="s">
        <v>3144</v>
      </c>
      <c r="H34" s="3189" t="s">
        <v>3145</v>
      </c>
      <c r="I34" s="3189">
        <v>12336.6</v>
      </c>
      <c r="J34" s="3189">
        <v>51813.72</v>
      </c>
      <c r="K34" s="3189" t="s">
        <v>3146</v>
      </c>
      <c r="L34" s="3189" t="s">
        <v>3140</v>
      </c>
      <c r="M34" s="3189" t="s">
        <v>3147</v>
      </c>
      <c r="N34" s="3189" t="s">
        <v>3148</v>
      </c>
      <c r="O34" s="3189">
        <v>12040</v>
      </c>
      <c r="P34" s="3189">
        <v>650.64</v>
      </c>
      <c r="Q34" s="3189">
        <v>2323.71</v>
      </c>
      <c r="R34" s="3189">
        <v>37.76</v>
      </c>
      <c r="S34" s="3189" t="s">
        <v>3149</v>
      </c>
      <c r="T34" s="3189" t="s">
        <v>3124</v>
      </c>
    </row>
    <row r="35" spans="1:22" s="3237" customFormat="1" ht="18.75" customHeight="1">
      <c r="A35" s="3236" t="s">
        <v>3150</v>
      </c>
      <c r="B35" s="3236" t="s">
        <v>3012</v>
      </c>
      <c r="C35" s="3236" t="s">
        <v>3013</v>
      </c>
      <c r="D35" s="3236" t="s">
        <v>2814</v>
      </c>
      <c r="E35" s="3239" t="s">
        <v>3328</v>
      </c>
      <c r="F35" s="3236" t="s">
        <v>3051</v>
      </c>
      <c r="G35" s="3236" t="s">
        <v>3151</v>
      </c>
      <c r="H35" s="3236" t="s">
        <v>3138</v>
      </c>
      <c r="I35" s="3236">
        <v>31809.42</v>
      </c>
      <c r="J35" s="3236">
        <v>187675.6</v>
      </c>
      <c r="K35" s="3236" t="s">
        <v>3152</v>
      </c>
      <c r="L35" s="3236" t="s">
        <v>3153</v>
      </c>
      <c r="M35" s="3236" t="s">
        <v>3154</v>
      </c>
      <c r="N35" s="3236" t="s">
        <v>3048</v>
      </c>
      <c r="O35" s="3236">
        <v>29200</v>
      </c>
      <c r="P35" s="3236">
        <v>611.98</v>
      </c>
      <c r="Q35" s="3236">
        <v>1555.88</v>
      </c>
      <c r="R35" s="3236">
        <v>3.91</v>
      </c>
      <c r="S35" s="3236" t="s">
        <v>3155</v>
      </c>
      <c r="T35" s="3236" t="s">
        <v>3124</v>
      </c>
    </row>
    <row r="36" spans="1:22" ht="18.75" customHeight="1">
      <c r="A36" s="3189" t="s">
        <v>3156</v>
      </c>
      <c r="B36" s="3189" t="s">
        <v>3012</v>
      </c>
      <c r="C36" s="3189" t="s">
        <v>3013</v>
      </c>
      <c r="D36" s="3189" t="s">
        <v>2814</v>
      </c>
      <c r="E36" s="3189" t="s">
        <v>3156</v>
      </c>
      <c r="F36" s="3189" t="s">
        <v>3051</v>
      </c>
      <c r="G36" s="3189" t="s">
        <v>3157</v>
      </c>
      <c r="H36" s="3189" t="s">
        <v>3138</v>
      </c>
      <c r="I36" s="3189">
        <v>16596.990000000002</v>
      </c>
      <c r="J36" s="3189">
        <v>94602.84</v>
      </c>
      <c r="K36" s="3189" t="s">
        <v>3158</v>
      </c>
      <c r="L36" s="3189" t="s">
        <v>3153</v>
      </c>
      <c r="M36" s="3189" t="s">
        <v>3159</v>
      </c>
      <c r="N36" s="3189" t="s">
        <v>3048</v>
      </c>
      <c r="O36" s="3189">
        <v>11130</v>
      </c>
      <c r="P36" s="3189">
        <v>447.07</v>
      </c>
      <c r="Q36" s="3189">
        <v>1176.5</v>
      </c>
      <c r="R36" s="3189">
        <v>4.7</v>
      </c>
      <c r="S36" s="3189" t="s">
        <v>3155</v>
      </c>
      <c r="T36" s="3189" t="s">
        <v>3021</v>
      </c>
    </row>
    <row r="37" spans="1:22" ht="18.75" customHeight="1">
      <c r="A37" s="3189" t="s">
        <v>3160</v>
      </c>
      <c r="B37" s="3189" t="s">
        <v>3012</v>
      </c>
      <c r="C37" s="3189" t="s">
        <v>3013</v>
      </c>
      <c r="D37" s="3189" t="s">
        <v>2814</v>
      </c>
      <c r="E37" s="3189" t="s">
        <v>3160</v>
      </c>
      <c r="F37" s="3189" t="s">
        <v>3051</v>
      </c>
      <c r="G37" s="3189" t="s">
        <v>3161</v>
      </c>
      <c r="H37" s="3189" t="s">
        <v>3138</v>
      </c>
      <c r="I37" s="3189">
        <v>12992.99</v>
      </c>
      <c r="J37" s="3189">
        <v>71461.440000000002</v>
      </c>
      <c r="K37" s="3189" t="s">
        <v>3162</v>
      </c>
      <c r="L37" s="3189" t="s">
        <v>3153</v>
      </c>
      <c r="M37" s="3189" t="s">
        <v>3163</v>
      </c>
      <c r="N37" s="3189" t="s">
        <v>3048</v>
      </c>
      <c r="O37" s="3189">
        <v>8460</v>
      </c>
      <c r="P37" s="3189">
        <v>434.08</v>
      </c>
      <c r="Q37" s="3189">
        <v>1183.8499999999999</v>
      </c>
      <c r="R37" s="3189">
        <v>3.68</v>
      </c>
      <c r="S37" s="3189" t="s">
        <v>3155</v>
      </c>
      <c r="T37" s="3189" t="s">
        <v>3021</v>
      </c>
    </row>
    <row r="38" spans="1:22" ht="18.75" customHeight="1">
      <c r="A38" s="3189" t="s">
        <v>3164</v>
      </c>
      <c r="B38" s="3189" t="s">
        <v>3012</v>
      </c>
      <c r="C38" s="3189" t="s">
        <v>3013</v>
      </c>
      <c r="D38" s="3189" t="s">
        <v>2814</v>
      </c>
      <c r="E38" s="3189" t="s">
        <v>3164</v>
      </c>
      <c r="F38" s="3189" t="s">
        <v>3051</v>
      </c>
      <c r="G38" s="3189" t="s">
        <v>3165</v>
      </c>
      <c r="H38" s="3189" t="s">
        <v>3138</v>
      </c>
      <c r="I38" s="3189">
        <v>35778.11</v>
      </c>
      <c r="J38" s="3189">
        <v>236135.5</v>
      </c>
      <c r="K38" s="3189" t="s">
        <v>3166</v>
      </c>
      <c r="L38" s="3189" t="s">
        <v>3153</v>
      </c>
      <c r="M38" s="3189" t="s">
        <v>3167</v>
      </c>
      <c r="N38" s="3189" t="s">
        <v>3048</v>
      </c>
      <c r="O38" s="3189">
        <v>25860</v>
      </c>
      <c r="P38" s="3189">
        <v>481.86</v>
      </c>
      <c r="Q38" s="3189">
        <v>1095.1300000000001</v>
      </c>
      <c r="R38" s="3189">
        <v>3.61</v>
      </c>
      <c r="S38" s="3189" t="s">
        <v>3155</v>
      </c>
      <c r="T38" s="3189" t="s">
        <v>3021</v>
      </c>
    </row>
    <row r="39" spans="1:22" s="3237" customFormat="1" ht="18.75" customHeight="1">
      <c r="A39" s="3236" t="s">
        <v>3168</v>
      </c>
      <c r="B39" s="3236" t="s">
        <v>3012</v>
      </c>
      <c r="C39" s="3236" t="s">
        <v>3013</v>
      </c>
      <c r="D39" s="3236" t="s">
        <v>2814</v>
      </c>
      <c r="E39" s="3236" t="s">
        <v>3168</v>
      </c>
      <c r="F39" s="3236" t="s">
        <v>3014</v>
      </c>
      <c r="G39" s="3236" t="s">
        <v>3169</v>
      </c>
      <c r="H39" s="3236" t="s">
        <v>3170</v>
      </c>
      <c r="I39" s="3236">
        <v>137174.20000000001</v>
      </c>
      <c r="J39" s="3236">
        <v>535568.4</v>
      </c>
      <c r="K39" s="3236" t="s">
        <v>3171</v>
      </c>
      <c r="L39" s="3236" t="s">
        <v>3172</v>
      </c>
      <c r="M39" s="3236" t="s">
        <v>3173</v>
      </c>
      <c r="N39" s="3236" t="s">
        <v>3107</v>
      </c>
      <c r="O39" s="3236">
        <v>71280</v>
      </c>
      <c r="P39" s="3236">
        <v>346.42</v>
      </c>
      <c r="Q39" s="3236">
        <v>1330.92</v>
      </c>
      <c r="R39" s="3236">
        <v>0</v>
      </c>
      <c r="S39" s="3236" t="s">
        <v>3174</v>
      </c>
      <c r="T39" s="3236" t="s">
        <v>3021</v>
      </c>
      <c r="V39" s="3238" t="s">
        <v>3327</v>
      </c>
    </row>
    <row r="40" spans="1:22" s="3237" customFormat="1" ht="18.75" customHeight="1">
      <c r="A40" s="3236" t="s">
        <v>3175</v>
      </c>
      <c r="B40" s="3236" t="s">
        <v>3012</v>
      </c>
      <c r="C40" s="3236" t="s">
        <v>3013</v>
      </c>
      <c r="D40" s="3236" t="s">
        <v>2814</v>
      </c>
      <c r="E40" s="3236" t="s">
        <v>3175</v>
      </c>
      <c r="F40" s="3236" t="s">
        <v>3014</v>
      </c>
      <c r="G40" s="3236" t="s">
        <v>3176</v>
      </c>
      <c r="H40" s="3236" t="s">
        <v>3177</v>
      </c>
      <c r="I40" s="3236">
        <v>66408.89</v>
      </c>
      <c r="J40" s="3236">
        <v>285890</v>
      </c>
      <c r="K40" s="3236" t="s">
        <v>3178</v>
      </c>
      <c r="L40" s="3236" t="s">
        <v>3172</v>
      </c>
      <c r="M40" s="3236" t="s">
        <v>3179</v>
      </c>
      <c r="N40" s="3236" t="s">
        <v>3107</v>
      </c>
      <c r="O40" s="3236">
        <v>36350</v>
      </c>
      <c r="P40" s="3236">
        <v>364.91</v>
      </c>
      <c r="Q40" s="3236">
        <v>1271.47</v>
      </c>
      <c r="R40" s="3236">
        <v>0</v>
      </c>
      <c r="S40" s="3236" t="s">
        <v>3180</v>
      </c>
      <c r="T40" s="3236" t="s">
        <v>3021</v>
      </c>
      <c r="V40" s="3238" t="s">
        <v>3327</v>
      </c>
    </row>
    <row r="41" spans="1:22" ht="18.75" customHeight="1">
      <c r="A41" s="3189" t="s">
        <v>3181</v>
      </c>
      <c r="B41" s="3189" t="s">
        <v>3012</v>
      </c>
      <c r="C41" s="3189" t="s">
        <v>3013</v>
      </c>
      <c r="D41" s="3189" t="s">
        <v>2814</v>
      </c>
      <c r="E41" s="3189" t="s">
        <v>3181</v>
      </c>
      <c r="F41" s="3189" t="s">
        <v>3051</v>
      </c>
      <c r="G41" s="3189" t="s">
        <v>3182</v>
      </c>
      <c r="H41" s="3189" t="s">
        <v>3183</v>
      </c>
      <c r="I41" s="3189">
        <v>33297.86</v>
      </c>
      <c r="J41" s="3189">
        <v>173148.9</v>
      </c>
      <c r="K41" s="3189">
        <v>5.2</v>
      </c>
      <c r="L41" s="3189" t="s">
        <v>3184</v>
      </c>
      <c r="M41" s="3189" t="s">
        <v>3185</v>
      </c>
      <c r="N41" s="3189" t="s">
        <v>3186</v>
      </c>
      <c r="O41" s="3189">
        <v>21500</v>
      </c>
      <c r="P41" s="3189">
        <v>430.46</v>
      </c>
      <c r="Q41" s="3189">
        <v>1241.71</v>
      </c>
      <c r="R41" s="3189">
        <v>4.57</v>
      </c>
      <c r="S41" s="3189" t="s">
        <v>3187</v>
      </c>
      <c r="T41" s="3189" t="s">
        <v>3124</v>
      </c>
    </row>
    <row r="42" spans="1:22" ht="18.75" customHeight="1"/>
  </sheetData>
  <phoneticPr fontId="228" type="noConversion"/>
  <hyperlinks>
    <hyperlink ref="V28" r:id="rId1"/>
    <hyperlink ref="V27" r:id="rId2"/>
    <hyperlink ref="V26" r:id="rId3"/>
    <hyperlink ref="V11" r:id="rId4"/>
    <hyperlink ref="V12" r:id="rId5"/>
    <hyperlink ref="V15" r:id="rId6"/>
    <hyperlink ref="V16" r:id="rId7"/>
    <hyperlink ref="V17" r:id="rId8"/>
    <hyperlink ref="V18" r:id="rId9"/>
    <hyperlink ref="V19" r:id="rId10"/>
    <hyperlink ref="V20" r:id="rId11"/>
    <hyperlink ref="V21" r:id="rId12"/>
    <hyperlink ref="V2" r:id="rId13"/>
    <hyperlink ref="V3" r:id="rId14"/>
    <hyperlink ref="V39" r:id="rId15"/>
    <hyperlink ref="V40" r:id="rId16"/>
  </hyperlink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Q1:S11"/>
  <sheetViews>
    <sheetView topLeftCell="A79" workbookViewId="0">
      <selection activeCell="Q100" sqref="Q100"/>
    </sheetView>
  </sheetViews>
  <sheetFormatPr defaultColWidth="8.875" defaultRowHeight="13.5"/>
  <sheetData>
    <row r="1" spans="17:19">
      <c r="Q1" s="3208" t="s">
        <v>3244</v>
      </c>
    </row>
    <row r="2" spans="17:19" ht="14.25" thickBot="1">
      <c r="Q2" s="3209" t="s">
        <v>3245</v>
      </c>
      <c r="R2" s="3210" t="s">
        <v>3246</v>
      </c>
      <c r="S2" s="3210" t="s">
        <v>3247</v>
      </c>
    </row>
    <row r="3" spans="17:19">
      <c r="Q3" s="3211">
        <v>2017.1</v>
      </c>
      <c r="R3" s="3212">
        <v>3744</v>
      </c>
      <c r="S3" s="3212">
        <v>17.440000000000001</v>
      </c>
    </row>
    <row r="4" spans="17:19">
      <c r="Q4" s="3213">
        <v>2017.2</v>
      </c>
      <c r="R4" s="3214">
        <v>3982</v>
      </c>
      <c r="S4" s="3214">
        <v>6.36</v>
      </c>
    </row>
    <row r="5" spans="17:19">
      <c r="Q5" s="3211">
        <v>2017.3</v>
      </c>
      <c r="R5" s="3212">
        <v>4137</v>
      </c>
      <c r="S5" s="3212">
        <v>3.89</v>
      </c>
    </row>
    <row r="6" spans="17:19">
      <c r="Q6" s="3213">
        <v>2017.4</v>
      </c>
      <c r="R6" s="3214">
        <v>4302</v>
      </c>
      <c r="S6" s="3214">
        <v>3.99</v>
      </c>
    </row>
    <row r="7" spans="17:19">
      <c r="Q7" s="3211">
        <v>2018.1</v>
      </c>
      <c r="R7" s="3212">
        <v>4462</v>
      </c>
      <c r="S7" s="3212">
        <v>3.72</v>
      </c>
    </row>
    <row r="8" spans="17:19">
      <c r="Q8" s="3213">
        <v>2018.2</v>
      </c>
      <c r="R8" s="3214">
        <v>4491</v>
      </c>
      <c r="S8" s="3214">
        <v>0.65</v>
      </c>
    </row>
    <row r="9" spans="17:19">
      <c r="Q9" s="3211">
        <v>2018.3</v>
      </c>
      <c r="R9" s="3212">
        <v>4587</v>
      </c>
      <c r="S9" s="3212">
        <v>2.14</v>
      </c>
    </row>
    <row r="10" spans="17:19">
      <c r="Q10" s="3213">
        <v>2018.4</v>
      </c>
      <c r="R10" s="3214">
        <v>4696</v>
      </c>
      <c r="S10" s="3214">
        <v>2.38</v>
      </c>
    </row>
    <row r="11" spans="17:19" ht="14.25">
      <c r="Q11" s="3215">
        <v>2019.1</v>
      </c>
      <c r="R11" s="3216">
        <v>4851</v>
      </c>
      <c r="S11" s="3216">
        <v>3.3</v>
      </c>
    </row>
  </sheetData>
  <phoneticPr fontId="228" type="noConversion"/>
  <pageMargins left="0.7" right="0.7" top="0.75" bottom="0.75" header="0.3" footer="0.3"/>
  <pageSetup paperSize="9" scale="82" orientation="landscape"/>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B5" sqref="B5"/>
    </sheetView>
  </sheetViews>
  <sheetFormatPr defaultColWidth="6.625" defaultRowHeight="12.75"/>
  <cols>
    <col min="1" max="1" width="9.625" style="2109" customWidth="1"/>
    <col min="2" max="2" width="25.62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166504</v>
      </c>
      <c r="C2" s="2089"/>
      <c r="D2" s="2089"/>
      <c r="E2" s="2089"/>
      <c r="F2" s="2089"/>
      <c r="G2" s="2089"/>
      <c r="H2" s="2089"/>
      <c r="I2" s="2089"/>
      <c r="J2" s="2089"/>
      <c r="K2" s="2089"/>
    </row>
    <row r="3" spans="1:31" s="2026" customFormat="1" ht="18" customHeight="1">
      <c r="A3" s="2091" t="s">
        <v>1684</v>
      </c>
      <c r="B3" s="2092">
        <f ca="1">ROUND(B2*10000/IF(B1="",'数据-汇总表'!E3,INDIRECT("'数据-取费表'!K"&amp;$K$1)),0)</f>
        <v>2189</v>
      </c>
      <c r="C3" s="2089"/>
      <c r="D3" s="2089"/>
      <c r="E3" s="2089"/>
      <c r="F3" s="2089"/>
      <c r="G3" s="2089"/>
      <c r="H3" s="2089"/>
      <c r="I3" s="2089"/>
      <c r="J3" s="2089"/>
      <c r="K3" s="2089"/>
    </row>
    <row r="4" spans="1:31" s="2026" customFormat="1" ht="18" customHeight="1">
      <c r="A4" s="426" t="s">
        <v>468</v>
      </c>
      <c r="B4" s="427">
        <f ca="1">ROUND(B2*10000/IF(B1="",'数据-汇总表'!D3,INDIRECT("'数据-取费表'!R"&amp;$K$1)),0)</f>
        <v>10294</v>
      </c>
      <c r="C4" s="428"/>
      <c r="D4" s="422"/>
      <c r="E4" s="422"/>
      <c r="F4" s="422"/>
      <c r="G4" s="422"/>
      <c r="H4" s="422"/>
      <c r="I4" s="422"/>
      <c r="J4" s="422"/>
      <c r="K4" s="422"/>
    </row>
    <row r="5" spans="1:31" s="2026" customFormat="1" ht="18" customHeight="1" thickBot="1">
      <c r="A5" s="429"/>
      <c r="B5" s="430">
        <f ca="1">ROUND(B2/(IF(B1="",'数据-汇总表'!D3,INDIRECT("'数据-取费表'!R"&amp;$K$1))/666.67),0)</f>
        <v>686</v>
      </c>
      <c r="C5" s="431" t="s">
        <v>469</v>
      </c>
      <c r="D5" s="422"/>
      <c r="E5" s="422"/>
      <c r="F5" s="422"/>
      <c r="G5" s="422"/>
      <c r="H5" s="422"/>
      <c r="I5" s="422"/>
      <c r="J5" s="422"/>
      <c r="K5" s="422"/>
    </row>
    <row r="6" spans="1:31" s="2096" customFormat="1" ht="16.5" customHeight="1">
      <c r="A6" s="2783" t="s">
        <v>1842</v>
      </c>
      <c r="B6" s="2784"/>
      <c r="C6" s="2785">
        <f ca="1">SUM(C10:K10)</f>
        <v>626439</v>
      </c>
      <c r="D6" s="2784"/>
      <c r="E6" s="2784"/>
      <c r="F6" s="2784"/>
      <c r="G6" s="2784"/>
      <c r="H6" s="2784"/>
      <c r="I6" s="2784"/>
      <c r="J6" s="2784"/>
      <c r="K6" s="2786"/>
    </row>
    <row r="7" spans="1:31" s="2098" customFormat="1" ht="15">
      <c r="A7" s="2787" t="s">
        <v>470</v>
      </c>
      <c r="B7" s="2788" t="s">
        <v>471</v>
      </c>
      <c r="C7" s="436" t="s">
        <v>923</v>
      </c>
      <c r="D7" s="436" t="s">
        <v>3190</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10098</v>
      </c>
      <c r="D8" s="2789">
        <f ca="1">'不动产收益法（商业）'!B3</f>
        <v>15578</v>
      </c>
      <c r="E8" s="2789">
        <f ca="1">'不动产收益法（地下车库）'!B3</f>
        <v>2651</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536085</v>
      </c>
      <c r="D9" s="441">
        <f>SUMIF('数据-汇总表'!$C19:$C33,'剩余法-待开发'!D7,'数据-汇总表'!$E19:$E33)</f>
        <v>35629</v>
      </c>
      <c r="E9" s="441">
        <f>SUMIF('数据-汇总表'!$C19:$C33,'剩余法-待开发'!E7,'数据-汇总表'!$E19:$E33)</f>
        <v>111630.47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541339</v>
      </c>
      <c r="D10" s="2981">
        <f ca="1">'不动产收益法（商业）'!B2</f>
        <v>55504</v>
      </c>
      <c r="E10" s="2981">
        <f ca="1">'不动产收益法（地下车库）'!B2</f>
        <v>29596</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205214</v>
      </c>
      <c r="D13" s="2799"/>
      <c r="E13" s="2800"/>
      <c r="F13" s="2801"/>
      <c r="G13" s="2767"/>
      <c r="H13" s="2768"/>
      <c r="I13" s="2768"/>
      <c r="J13" s="2768"/>
      <c r="K13" s="2769"/>
    </row>
    <row r="14" spans="1:31" s="2101" customFormat="1" ht="13.5" customHeight="1">
      <c r="A14" s="2797" t="s">
        <v>1849</v>
      </c>
      <c r="B14" s="2798" t="s">
        <v>480</v>
      </c>
      <c r="C14" s="53">
        <f ca="1">ROUND(C13*F14,0)</f>
        <v>6156</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7773</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15212</v>
      </c>
      <c r="D16" s="2799">
        <f ca="1">IF(B1="",'数据-汇总表'!E3,INDIRECT("'数据-取费表'!K"&amp;$K$1)+INDIRECT("'数据-取费表'!S"&amp;$K$1))</f>
        <v>760592.91999999993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3078</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237433</v>
      </c>
      <c r="D18" s="2808"/>
      <c r="E18" s="468"/>
      <c r="F18" s="468"/>
      <c r="G18" s="2771" t="s">
        <v>2427</v>
      </c>
      <c r="H18" s="2772"/>
      <c r="I18" s="2772"/>
      <c r="J18" s="2772"/>
      <c r="K18" s="2773"/>
    </row>
    <row r="19" spans="1:14" s="2101" customFormat="1" ht="13.5" customHeight="1">
      <c r="A19" s="2805" t="s">
        <v>1854</v>
      </c>
      <c r="B19" s="2806" t="s">
        <v>488</v>
      </c>
      <c r="C19" s="2763">
        <f ca="1">ROUND(D19*E19/10000,0)</f>
        <v>0</v>
      </c>
      <c r="D19" s="2809">
        <f ca="1">D16</f>
        <v>760592.91999999993</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6846</v>
      </c>
      <c r="D20" s="2809"/>
      <c r="E20" s="2763"/>
      <c r="F20" s="2810"/>
      <c r="G20" s="3040"/>
      <c r="H20" s="2765"/>
      <c r="I20" s="2766" t="s">
        <v>2647</v>
      </c>
      <c r="J20" s="2772"/>
      <c r="K20" s="2773"/>
    </row>
    <row r="21" spans="1:14" s="2101" customFormat="1" ht="13.5" customHeight="1">
      <c r="A21" s="2797" t="s">
        <v>1856</v>
      </c>
      <c r="B21" s="2798" t="s">
        <v>491</v>
      </c>
      <c r="C21" s="53">
        <f ca="1">ROUND(D21*E21/10000,0)</f>
        <v>4825</v>
      </c>
      <c r="D21" s="2799">
        <f ca="1">IF(B1="",'数据-汇总表'!E5,IF(INDIRECT("'数据-取费表'!c"&amp;$K$1)="住宅",INDIRECT("'数据-取费表'!k"&amp;$K$1),0))</f>
        <v>536085</v>
      </c>
      <c r="E21" s="53">
        <f>'数据-取费表'!B27</f>
        <v>90</v>
      </c>
      <c r="F21" s="2802"/>
      <c r="G21" s="26"/>
      <c r="H21" s="51"/>
      <c r="I21" s="51"/>
      <c r="J21" s="51"/>
      <c r="K21" s="2774"/>
    </row>
    <row r="22" spans="1:14" s="2101" customFormat="1" ht="13.5" customHeight="1">
      <c r="A22" s="2797" t="s">
        <v>1857</v>
      </c>
      <c r="B22" s="2798" t="s">
        <v>492</v>
      </c>
      <c r="C22" s="53">
        <f ca="1">ROUND(D22*E22/10000,0)</f>
        <v>2021</v>
      </c>
      <c r="D22" s="2799">
        <f ca="1">IF(B1="",'数据-汇总表'!E6,IF(INDIRECT("'数据-取费表'!c"&amp;$K$1)="住宅",INDIRECT("'数据-取费表'!s"&amp;$K$1),INDIRECT("'数据-取费表'!k"&amp;$K$1)+INDIRECT("'数据-取费表'!s"&amp;$K$1)))</f>
        <v>224507.91999999993</v>
      </c>
      <c r="E22" s="53">
        <f>'数据-取费表'!B28</f>
        <v>90</v>
      </c>
      <c r="F22" s="2802"/>
      <c r="G22" s="26"/>
      <c r="H22" s="51"/>
      <c r="I22" s="51"/>
      <c r="J22" s="51"/>
      <c r="K22" s="2774"/>
    </row>
    <row r="23" spans="1:14" s="2101" customFormat="1" ht="13.5" customHeight="1">
      <c r="A23" s="2805" t="s">
        <v>1858</v>
      </c>
      <c r="B23" s="2987" t="s">
        <v>2830</v>
      </c>
      <c r="C23" s="2807">
        <f ca="1">ROUND((C18+C19+C20)*F23,0)</f>
        <v>4886</v>
      </c>
      <c r="D23" s="468"/>
      <c r="E23" s="468"/>
      <c r="F23" s="2811">
        <f>'数据-取费表'!B37</f>
        <v>0.02</v>
      </c>
      <c r="G23" s="2767" t="s">
        <v>2428</v>
      </c>
      <c r="H23" s="2768"/>
      <c r="I23" s="2768"/>
      <c r="J23" s="2768"/>
      <c r="K23" s="2769"/>
      <c r="L23" s="2103"/>
      <c r="M23" s="2103"/>
      <c r="N23" s="2103"/>
    </row>
    <row r="24" spans="1:14" s="2101" customFormat="1" ht="13.5" customHeight="1">
      <c r="A24" s="2805" t="s">
        <v>1859</v>
      </c>
      <c r="B24" s="2987" t="s">
        <v>2833</v>
      </c>
      <c r="C24" s="2807">
        <f ca="1">ROUND(C6*F24,0)</f>
        <v>12529</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2831</v>
      </c>
      <c r="C25" s="467">
        <f>ROUND(F25/(1+'数据-取费表'!C42),4)</f>
        <v>2.9000000000000001E-2</v>
      </c>
      <c r="D25" s="462" t="s">
        <v>2825</v>
      </c>
      <c r="E25" s="469"/>
      <c r="F25" s="2811">
        <f>'数据-取费表'!B48+'数据-取费表'!B49</f>
        <v>3.0499999999999999E-2</v>
      </c>
      <c r="G25" s="2775" t="s">
        <v>2287</v>
      </c>
      <c r="H25" s="2768"/>
      <c r="I25" s="2768"/>
      <c r="J25" s="2768"/>
      <c r="K25" s="2769"/>
    </row>
    <row r="26" spans="1:14" s="2103" customFormat="1" ht="13.5" customHeight="1">
      <c r="A26" s="2805" t="s">
        <v>1861</v>
      </c>
      <c r="B26" s="2988" t="s">
        <v>2832</v>
      </c>
      <c r="C26" s="2812">
        <f ca="1">C28</f>
        <v>25451</v>
      </c>
      <c r="D26" s="467">
        <f ca="1">C27</f>
        <v>0.2099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2834</v>
      </c>
      <c r="C28" s="2815">
        <f ca="1">ROUND(IF('数据-取费表'!B22&lt;=1,(C18+C19+C20+C23+C24)*F26*'数据-取费表'!B24/2,(C18+C19+C20+C23+C24)*(POWER((1+F26),'数据-取费表'!B24/2)-1)),0)</f>
        <v>25451</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33410</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320555</v>
      </c>
      <c r="D30" s="477">
        <f ca="1">C32</f>
        <v>0.2389</v>
      </c>
      <c r="E30" s="469" t="s">
        <v>495</v>
      </c>
      <c r="F30" s="471"/>
      <c r="G30" s="2775" t="s">
        <v>2968</v>
      </c>
      <c r="H30" s="2768"/>
      <c r="I30" s="2768"/>
      <c r="J30" s="2768"/>
      <c r="K30" s="2769"/>
    </row>
    <row r="31" spans="1:14" s="2105" customFormat="1" ht="13.5" customHeight="1">
      <c r="A31" s="803" t="s">
        <v>1856</v>
      </c>
      <c r="B31" s="2813"/>
      <c r="C31" s="450">
        <f ca="1">C18+C19+C20+C23+C24+C26+C29</f>
        <v>320555</v>
      </c>
      <c r="D31" s="472"/>
      <c r="E31" s="473"/>
      <c r="F31" s="474"/>
      <c r="G31" s="261"/>
      <c r="H31" s="2770"/>
      <c r="I31" s="2770"/>
      <c r="J31" s="2770"/>
      <c r="K31" s="279"/>
    </row>
    <row r="32" spans="1:14" s="2105" customFormat="1" ht="13.5" customHeight="1">
      <c r="A32" s="803" t="s">
        <v>1857</v>
      </c>
      <c r="B32" s="2813"/>
      <c r="C32" s="53">
        <f ca="1">ROUND(C25+D26,4)</f>
        <v>0.2389</v>
      </c>
      <c r="D32" s="472"/>
      <c r="E32" s="473"/>
      <c r="F32" s="474"/>
      <c r="G32" s="261"/>
      <c r="H32" s="2770"/>
      <c r="I32" s="2770"/>
      <c r="J32" s="2770"/>
      <c r="K32" s="279"/>
    </row>
    <row r="33" spans="1:11" s="2107" customFormat="1" ht="13.5" customHeight="1">
      <c r="A33" s="2986" t="s">
        <v>2829</v>
      </c>
      <c r="B33" s="2984" t="s">
        <v>2827</v>
      </c>
      <c r="C33" s="478">
        <f ca="1">C35</f>
        <v>60190</v>
      </c>
      <c r="D33" s="467">
        <f ca="1">C34</f>
        <v>0.23669999999999999</v>
      </c>
      <c r="E33" s="469" t="s">
        <v>495</v>
      </c>
      <c r="F33" s="479">
        <f ca="1">IF(B1="",'数据-取费表'!Q16,INDIRECT("'数据-取费表'!q"&amp;$K$1))</f>
        <v>0.23</v>
      </c>
      <c r="G33" s="2771"/>
      <c r="H33" s="2772"/>
      <c r="I33" s="2772"/>
      <c r="J33" s="2772"/>
      <c r="K33" s="2773"/>
    </row>
    <row r="34" spans="1:11" s="2108" customFormat="1" ht="13.5" customHeight="1">
      <c r="A34" s="375" t="s">
        <v>1856</v>
      </c>
      <c r="B34" s="2818" t="s">
        <v>501</v>
      </c>
      <c r="C34" s="472">
        <f ca="1">ROUND((1+C25)*F33,4)</f>
        <v>0.23669999999999999</v>
      </c>
      <c r="D34" s="472"/>
      <c r="E34" s="473"/>
      <c r="F34" s="480"/>
      <c r="G34" s="261" t="s">
        <v>2288</v>
      </c>
      <c r="H34" s="2770"/>
      <c r="I34" s="2770"/>
      <c r="J34" s="2770"/>
      <c r="K34" s="279"/>
    </row>
    <row r="35" spans="1:11" s="2108" customFormat="1" ht="13.5" customHeight="1" thickBot="1">
      <c r="A35" s="1621" t="s">
        <v>1857</v>
      </c>
      <c r="B35" s="2985" t="s">
        <v>2835</v>
      </c>
      <c r="C35" s="1613">
        <f ca="1">ROUND((C18+C19+C20+C23+C24)*F33,0)</f>
        <v>60190</v>
      </c>
      <c r="D35" s="1614"/>
      <c r="E35" s="2819"/>
      <c r="F35" s="1615"/>
      <c r="G35" s="2777"/>
      <c r="H35" s="2778"/>
      <c r="I35" s="2778"/>
      <c r="J35" s="2778"/>
      <c r="K35" s="2779"/>
    </row>
    <row r="36" spans="1:11" s="2070" customFormat="1" ht="13.5" customHeight="1" thickBot="1">
      <c r="A36" s="284" t="s">
        <v>1844</v>
      </c>
      <c r="B36" s="2781"/>
      <c r="C36" s="2820">
        <f ca="1">ROUND((C6-C30-C33)/(1+D30+D33),0)</f>
        <v>166504</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62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205214</v>
      </c>
      <c r="D13" s="451"/>
      <c r="E13" s="365"/>
      <c r="F13" s="452"/>
      <c r="G13" s="444"/>
      <c r="H13" s="447"/>
      <c r="I13" s="447"/>
      <c r="J13" s="447"/>
      <c r="K13" s="448"/>
    </row>
    <row r="14" spans="1:41" s="2101" customFormat="1" ht="13.5" customHeight="1">
      <c r="A14" s="1618" t="s">
        <v>1849</v>
      </c>
      <c r="B14" s="449" t="s">
        <v>480</v>
      </c>
      <c r="C14" s="53">
        <f ca="1">ROUND(C13*F14,0)</f>
        <v>6156</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7773</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15212</v>
      </c>
      <c r="D16" s="451">
        <f ca="1">IF(B1="",'数据-汇总表'!E3,INDIRECT("'数据-取费表'!K"&amp;$K$1)+INDIRECT("'数据-取费表'!S"&amp;$K$1))</f>
        <v>760592.91999999993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3078</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237433</v>
      </c>
      <c r="D18" s="461"/>
      <c r="E18" s="462"/>
      <c r="F18" s="462"/>
      <c r="G18" s="1322" t="s">
        <v>2429</v>
      </c>
      <c r="H18" s="447"/>
      <c r="I18" s="447"/>
      <c r="J18" s="447"/>
      <c r="K18" s="448"/>
    </row>
    <row r="19" spans="1:14" s="2104" customFormat="1" ht="13.5" customHeight="1">
      <c r="A19" s="1619" t="s">
        <v>1854</v>
      </c>
      <c r="B19" s="459" t="s">
        <v>493</v>
      </c>
      <c r="C19" s="460">
        <f ca="1">ROUND(C18*F19,0)</f>
        <v>4749</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23554</v>
      </c>
      <c r="D21" s="467">
        <f ca="1">C23</f>
        <v>1.9E-3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1848</v>
      </c>
      <c r="B22" s="1323" t="s">
        <v>2432</v>
      </c>
      <c r="C22" s="487">
        <f ca="1">ROUND(IF('数据-取费表'!B22&lt;=1,(C18+C19)*F21*'数据-取费表'!B20/2,(C18+C19)*(POWER((1+F21),'数据-取费表'!B20/2)-1)),0)</f>
        <v>23554</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2828</v>
      </c>
      <c r="C24" s="478">
        <f ca="1">C25</f>
        <v>55702</v>
      </c>
      <c r="D24" s="489">
        <f ca="1">C26</f>
        <v>4.5999999999999999E-3</v>
      </c>
      <c r="E24" s="469" t="s">
        <v>507</v>
      </c>
      <c r="F24" s="479">
        <f ca="1">IF(B1="",'数据-取费表'!Q16,INDIRECT("'数据-取费表'!q"&amp;$K$1))</f>
        <v>0.23</v>
      </c>
      <c r="G24" s="444"/>
      <c r="H24" s="447"/>
      <c r="I24" s="447"/>
      <c r="J24" s="447"/>
      <c r="K24" s="448"/>
    </row>
    <row r="25" spans="1:14" s="2105" customFormat="1" ht="13.5" customHeight="1">
      <c r="A25" s="1618" t="s">
        <v>1848</v>
      </c>
      <c r="B25" s="1323" t="s">
        <v>2433</v>
      </c>
      <c r="C25" s="490">
        <f ca="1">ROUND((C18+C19)*F24,0)</f>
        <v>55702</v>
      </c>
      <c r="D25" s="472"/>
      <c r="E25" s="473"/>
      <c r="F25" s="480"/>
      <c r="G25" s="1321" t="s">
        <v>2430</v>
      </c>
      <c r="H25" s="457"/>
      <c r="I25" s="457"/>
      <c r="J25" s="457"/>
      <c r="K25" s="458"/>
    </row>
    <row r="26" spans="1:14" s="2105" customFormat="1" ht="13.5" customHeight="1">
      <c r="A26" s="1618" t="s">
        <v>1849</v>
      </c>
      <c r="B26" s="1323" t="s">
        <v>509</v>
      </c>
      <c r="C26" s="491">
        <f ca="1">ROUND(F20*F24,4)</f>
        <v>4.5999999999999999E-3</v>
      </c>
      <c r="D26" s="472"/>
      <c r="E26" s="481"/>
      <c r="F26" s="480"/>
      <c r="G26" s="1321" t="s">
        <v>510</v>
      </c>
      <c r="H26" s="457"/>
      <c r="I26" s="457"/>
      <c r="J26" s="457"/>
      <c r="K26" s="458"/>
    </row>
    <row r="27" spans="1:14" s="2105" customFormat="1" ht="13.5" customHeight="1">
      <c r="A27" s="1622" t="s">
        <v>1867</v>
      </c>
      <c r="B27" s="459" t="s">
        <v>511</v>
      </c>
      <c r="C27" s="2983">
        <f>ROUND(F27/(1+'数据-取费表'!C42),4)</f>
        <v>5.33E-2</v>
      </c>
      <c r="D27" s="462" t="s">
        <v>2826</v>
      </c>
      <c r="E27" s="462"/>
      <c r="F27" s="466">
        <f>'数据-取费表'!B41</f>
        <v>5.6000000000000001E-2</v>
      </c>
      <c r="G27" s="1945" t="s">
        <v>2289</v>
      </c>
      <c r="H27" s="447"/>
      <c r="I27" s="447"/>
      <c r="J27" s="447"/>
      <c r="K27" s="448"/>
    </row>
    <row r="28" spans="1:14" s="2106" customFormat="1" ht="13.5" customHeight="1">
      <c r="A28" s="1622" t="s">
        <v>1868</v>
      </c>
      <c r="B28" s="476" t="s">
        <v>512</v>
      </c>
      <c r="C28" s="470">
        <f ca="1">ROUND((C18+C19+C21+C24)/(1-C20-D21-D24-C27),0)</f>
        <v>349313</v>
      </c>
      <c r="D28" s="477"/>
      <c r="E28" s="469"/>
      <c r="F28" s="471"/>
      <c r="G28" s="1322" t="s">
        <v>2431</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64" t="s">
        <v>522</v>
      </c>
      <c r="D6" s="3465"/>
      <c r="E6" s="3498" t="s">
        <v>523</v>
      </c>
      <c r="F6" s="3499"/>
      <c r="G6" s="3464" t="s">
        <v>524</v>
      </c>
      <c r="H6" s="3465"/>
      <c r="I6" s="3464" t="s">
        <v>525</v>
      </c>
      <c r="J6" s="3465"/>
      <c r="K6" s="514" t="s">
        <v>526</v>
      </c>
      <c r="L6" s="2118"/>
      <c r="M6" s="2119"/>
      <c r="N6" s="2119"/>
      <c r="O6" s="2119"/>
      <c r="P6" s="3466" t="s">
        <v>527</v>
      </c>
      <c r="Q6" s="3467"/>
      <c r="R6" s="3472" t="s">
        <v>523</v>
      </c>
      <c r="S6" s="3473"/>
      <c r="T6" s="3472" t="s">
        <v>524</v>
      </c>
      <c r="U6" s="3473"/>
      <c r="V6" s="3459" t="s">
        <v>525</v>
      </c>
      <c r="W6" s="3459"/>
      <c r="X6" s="1553"/>
      <c r="Y6" s="3472" t="s">
        <v>527</v>
      </c>
      <c r="Z6" s="3473"/>
      <c r="AA6" s="3461" t="s">
        <v>523</v>
      </c>
      <c r="AB6" s="3462" t="s">
        <v>524</v>
      </c>
      <c r="AC6" s="3461" t="s">
        <v>525</v>
      </c>
    </row>
    <row r="7" spans="1:29" ht="15">
      <c r="A7" s="515"/>
      <c r="B7" s="516"/>
      <c r="C7" s="3480" t="s">
        <v>2925</v>
      </c>
      <c r="D7" s="3481"/>
      <c r="E7" s="3500" t="s">
        <v>2926</v>
      </c>
      <c r="F7" s="3501"/>
      <c r="G7" s="3480" t="s">
        <v>2927</v>
      </c>
      <c r="H7" s="3481"/>
      <c r="I7" s="3480" t="s">
        <v>2928</v>
      </c>
      <c r="J7" s="3481"/>
      <c r="K7" s="514"/>
      <c r="L7" s="2118"/>
      <c r="M7" s="2119"/>
      <c r="N7" s="2119"/>
      <c r="O7" s="2119"/>
      <c r="P7" s="3468"/>
      <c r="Q7" s="3469"/>
      <c r="R7" s="3474"/>
      <c r="S7" s="3475"/>
      <c r="T7" s="3474"/>
      <c r="U7" s="3475"/>
      <c r="V7" s="3459"/>
      <c r="W7" s="3459"/>
      <c r="X7" s="1553"/>
      <c r="Y7" s="3474"/>
      <c r="Z7" s="3475"/>
      <c r="AA7" s="3462"/>
      <c r="AB7" s="3462"/>
      <c r="AC7" s="3462"/>
    </row>
    <row r="8" spans="1:29" ht="15.75" thickBot="1">
      <c r="A8" s="517"/>
      <c r="B8" s="518"/>
      <c r="C8" s="3478" t="s">
        <v>2929</v>
      </c>
      <c r="D8" s="3479"/>
      <c r="E8" s="3496" t="s">
        <v>2929</v>
      </c>
      <c r="F8" s="3497"/>
      <c r="G8" s="3478" t="s">
        <v>2929</v>
      </c>
      <c r="H8" s="3479"/>
      <c r="I8" s="3478" t="s">
        <v>2929</v>
      </c>
      <c r="J8" s="3479"/>
      <c r="K8" s="514" t="s">
        <v>528</v>
      </c>
      <c r="L8" s="2118"/>
      <c r="M8" s="2119"/>
      <c r="N8" s="2119"/>
      <c r="O8" s="2119"/>
      <c r="P8" s="3470"/>
      <c r="Q8" s="3471"/>
      <c r="R8" s="3474"/>
      <c r="S8" s="3475"/>
      <c r="T8" s="3476"/>
      <c r="U8" s="3477"/>
      <c r="V8" s="3459"/>
      <c r="W8" s="3459"/>
      <c r="X8" s="1553"/>
      <c r="Y8" s="3476"/>
      <c r="Z8" s="3477"/>
      <c r="AA8" s="3463"/>
      <c r="AB8" s="3463"/>
      <c r="AC8" s="3463"/>
    </row>
    <row r="9" spans="1:29" s="1215" customFormat="1" ht="15.75" thickBot="1">
      <c r="A9" s="2867"/>
      <c r="B9" s="2874" t="s">
        <v>529</v>
      </c>
      <c r="C9" s="519">
        <f>'数据-取费表'!B2</f>
        <v>43621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89" t="s">
        <v>530</v>
      </c>
      <c r="Q9" s="3491"/>
      <c r="R9" s="1554" t="s">
        <v>8</v>
      </c>
      <c r="S9" s="1555">
        <f t="shared" ref="S9:S17" si="0">F9</f>
        <v>0</v>
      </c>
      <c r="T9" s="1554" t="s">
        <v>8</v>
      </c>
      <c r="U9" s="1555">
        <f t="shared" ref="U9:U17" si="1">H9</f>
        <v>0</v>
      </c>
      <c r="V9" s="1554" t="s">
        <v>8</v>
      </c>
      <c r="W9" s="1555">
        <f t="shared" ref="W9:W17" si="2">J9</f>
        <v>0</v>
      </c>
      <c r="X9" s="1556"/>
      <c r="Y9" s="3489" t="s">
        <v>530</v>
      </c>
      <c r="Z9" s="3490"/>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89" t="s">
        <v>533</v>
      </c>
      <c r="Q10" s="3490"/>
      <c r="R10" s="1554" t="s">
        <v>8</v>
      </c>
      <c r="S10" s="1555">
        <f t="shared" si="0"/>
        <v>0</v>
      </c>
      <c r="T10" s="1554" t="s">
        <v>8</v>
      </c>
      <c r="U10" s="1555">
        <f t="shared" si="1"/>
        <v>0</v>
      </c>
      <c r="V10" s="1554" t="s">
        <v>8</v>
      </c>
      <c r="W10" s="1555">
        <f t="shared" si="2"/>
        <v>0</v>
      </c>
      <c r="X10" s="1556"/>
      <c r="Y10" s="3489" t="s">
        <v>533</v>
      </c>
      <c r="Z10" s="3490"/>
      <c r="AA10" s="1557" t="e">
        <f t="shared" ref="AA10:AA42" si="3">D10/F10</f>
        <v>#DIV/0!</v>
      </c>
      <c r="AB10" s="1557" t="e">
        <f t="shared" ref="AB10:AB42" si="4">D10/H10</f>
        <v>#DIV/0!</v>
      </c>
      <c r="AC10" s="1557" t="e">
        <f t="shared" ref="AC10:AC42" si="5">D10/J10</f>
        <v>#DIV/0!</v>
      </c>
    </row>
    <row r="11" spans="1:29" s="1215" customFormat="1" ht="15">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58" t="s">
        <v>535</v>
      </c>
      <c r="Q11" s="1146" t="str">
        <f t="shared" ref="Q11:Q17" si="6">B11</f>
        <v>用途</v>
      </c>
      <c r="R11" s="1554" t="s">
        <v>8</v>
      </c>
      <c r="S11" s="1555">
        <f t="shared" si="0"/>
        <v>100</v>
      </c>
      <c r="T11" s="1554" t="s">
        <v>8</v>
      </c>
      <c r="U11" s="1555">
        <f t="shared" si="1"/>
        <v>100</v>
      </c>
      <c r="V11" s="1554" t="s">
        <v>8</v>
      </c>
      <c r="W11" s="1555">
        <f t="shared" si="2"/>
        <v>100</v>
      </c>
      <c r="X11" s="1556"/>
      <c r="Y11" s="3404" t="s">
        <v>536</v>
      </c>
      <c r="Z11" s="1145" t="str">
        <f t="shared" ref="Z11:Z17" si="7">Q11</f>
        <v>用途</v>
      </c>
      <c r="AA11" s="1557">
        <f t="shared" si="3"/>
        <v>1</v>
      </c>
      <c r="AB11" s="1557">
        <f t="shared" si="4"/>
        <v>1</v>
      </c>
      <c r="AC11" s="1557">
        <f t="shared" si="5"/>
        <v>1</v>
      </c>
    </row>
    <row r="12" spans="1:29" s="1333" customFormat="1" ht="27">
      <c r="A12" s="2870"/>
      <c r="B12" s="2875"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58"/>
      <c r="Q12" s="1146" t="str">
        <f t="shared" si="6"/>
        <v>土地使用年限（年）</v>
      </c>
      <c r="R12" s="1554" t="s">
        <v>8</v>
      </c>
      <c r="S12" s="1555">
        <f t="shared" si="0"/>
        <v>100</v>
      </c>
      <c r="T12" s="1554" t="s">
        <v>8</v>
      </c>
      <c r="U12" s="1555">
        <f t="shared" si="1"/>
        <v>100</v>
      </c>
      <c r="V12" s="1554" t="s">
        <v>8</v>
      </c>
      <c r="W12" s="1555">
        <f t="shared" si="2"/>
        <v>100</v>
      </c>
      <c r="X12" s="1556"/>
      <c r="Y12" s="3404"/>
      <c r="Z12" s="1145" t="str">
        <f t="shared" si="7"/>
        <v>土地使用年限（年）</v>
      </c>
      <c r="AA12" s="1557">
        <f t="shared" si="3"/>
        <v>1</v>
      </c>
      <c r="AB12" s="1557">
        <f t="shared" si="4"/>
        <v>1</v>
      </c>
      <c r="AC12" s="1557">
        <f t="shared" si="5"/>
        <v>1</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58"/>
      <c r="Q13" s="1146" t="str">
        <f t="shared" si="6"/>
        <v>容积率</v>
      </c>
      <c r="R13" s="1554" t="s">
        <v>8</v>
      </c>
      <c r="S13" s="1555" t="e">
        <f t="shared" si="0"/>
        <v>#N/A</v>
      </c>
      <c r="T13" s="1554" t="s">
        <v>8</v>
      </c>
      <c r="U13" s="1555" t="e">
        <f t="shared" si="1"/>
        <v>#N/A</v>
      </c>
      <c r="V13" s="1554" t="s">
        <v>8</v>
      </c>
      <c r="W13" s="1555" t="e">
        <f t="shared" si="2"/>
        <v>#N/A</v>
      </c>
      <c r="X13" s="1556"/>
      <c r="Y13" s="3404"/>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58"/>
      <c r="Q14" s="1146">
        <f t="shared" si="6"/>
        <v>111</v>
      </c>
      <c r="R14" s="1554" t="s">
        <v>8</v>
      </c>
      <c r="S14" s="1555">
        <f t="shared" si="0"/>
        <v>100</v>
      </c>
      <c r="T14" s="1554" t="s">
        <v>8</v>
      </c>
      <c r="U14" s="1555">
        <f t="shared" si="1"/>
        <v>100</v>
      </c>
      <c r="V14" s="1554" t="s">
        <v>8</v>
      </c>
      <c r="W14" s="1555">
        <f t="shared" si="2"/>
        <v>100</v>
      </c>
      <c r="X14" s="1556"/>
      <c r="Y14" s="3404"/>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58"/>
      <c r="Q15" s="1146">
        <f t="shared" si="6"/>
        <v>111</v>
      </c>
      <c r="R15" s="1554" t="s">
        <v>8</v>
      </c>
      <c r="S15" s="1555">
        <f t="shared" si="0"/>
        <v>100</v>
      </c>
      <c r="T15" s="1554" t="s">
        <v>8</v>
      </c>
      <c r="U15" s="1555">
        <f t="shared" si="1"/>
        <v>100</v>
      </c>
      <c r="V15" s="1554" t="s">
        <v>8</v>
      </c>
      <c r="W15" s="1555">
        <f t="shared" si="2"/>
        <v>100</v>
      </c>
      <c r="X15" s="1556"/>
      <c r="Y15" s="3404"/>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58"/>
      <c r="Q16" s="1146">
        <f t="shared" si="6"/>
        <v>111</v>
      </c>
      <c r="R16" s="1554" t="s">
        <v>8</v>
      </c>
      <c r="S16" s="1555">
        <f t="shared" si="0"/>
        <v>100</v>
      </c>
      <c r="T16" s="1554" t="s">
        <v>8</v>
      </c>
      <c r="U16" s="1555">
        <f t="shared" si="1"/>
        <v>100</v>
      </c>
      <c r="V16" s="1554" t="s">
        <v>8</v>
      </c>
      <c r="W16" s="1555">
        <f t="shared" si="2"/>
        <v>100</v>
      </c>
      <c r="X16" s="1556"/>
      <c r="Y16" s="3404"/>
      <c r="Z16" s="1145">
        <f t="shared" si="7"/>
        <v>111</v>
      </c>
      <c r="AA16" s="1557">
        <f t="shared" si="3"/>
        <v>1</v>
      </c>
      <c r="AB16" s="1557">
        <f t="shared" si="4"/>
        <v>1</v>
      </c>
      <c r="AC16" s="1557">
        <f t="shared" si="5"/>
        <v>1</v>
      </c>
    </row>
    <row r="17" spans="1:29" ht="57">
      <c r="A17" s="2865"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92" t="s">
        <v>540</v>
      </c>
      <c r="Q17" s="1558" t="str">
        <f t="shared" si="6"/>
        <v>产业集聚程度</v>
      </c>
      <c r="R17" s="1559" t="s">
        <v>8</v>
      </c>
      <c r="S17" s="1560">
        <f t="shared" si="0"/>
        <v>100</v>
      </c>
      <c r="T17" s="1559" t="s">
        <v>8</v>
      </c>
      <c r="U17" s="1560">
        <f t="shared" si="1"/>
        <v>100</v>
      </c>
      <c r="V17" s="1559" t="s">
        <v>8</v>
      </c>
      <c r="W17" s="1560">
        <f t="shared" si="2"/>
        <v>100</v>
      </c>
      <c r="X17" s="1553"/>
      <c r="Y17" s="349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93"/>
      <c r="Q18" s="1558"/>
      <c r="R18" s="1559"/>
      <c r="S18" s="1560"/>
      <c r="T18" s="1559"/>
      <c r="U18" s="1560"/>
      <c r="V18" s="1559"/>
      <c r="W18" s="1560"/>
      <c r="X18" s="1553"/>
      <c r="Y18" s="3493"/>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93"/>
      <c r="Q19" s="1558" t="str">
        <f>B19</f>
        <v>交通便捷度</v>
      </c>
      <c r="R19" s="1559" t="s">
        <v>8</v>
      </c>
      <c r="S19" s="1560">
        <f>F19</f>
        <v>100</v>
      </c>
      <c r="T19" s="1559" t="s">
        <v>8</v>
      </c>
      <c r="U19" s="1560">
        <f>H19</f>
        <v>100</v>
      </c>
      <c r="V19" s="1559" t="s">
        <v>8</v>
      </c>
      <c r="W19" s="1560">
        <f>J19</f>
        <v>100</v>
      </c>
      <c r="X19" s="1553"/>
      <c r="Y19" s="349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93"/>
      <c r="Q20" s="1558"/>
      <c r="R20" s="1559"/>
      <c r="S20" s="1560"/>
      <c r="T20" s="1559"/>
      <c r="U20" s="1560"/>
      <c r="V20" s="1559"/>
      <c r="W20" s="1560"/>
      <c r="X20" s="1553"/>
      <c r="Y20" s="349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93"/>
      <c r="Q21" s="1558" t="str">
        <f t="shared" ref="Q21:Q35" si="8">B21</f>
        <v>区域土地利用方向</v>
      </c>
      <c r="R21" s="1559" t="s">
        <v>8</v>
      </c>
      <c r="S21" s="1560">
        <f>F21</f>
        <v>100</v>
      </c>
      <c r="T21" s="1559" t="s">
        <v>8</v>
      </c>
      <c r="U21" s="1560">
        <f>H21</f>
        <v>100</v>
      </c>
      <c r="V21" s="1559" t="s">
        <v>8</v>
      </c>
      <c r="W21" s="1560">
        <f>J21</f>
        <v>100</v>
      </c>
      <c r="X21" s="1553"/>
      <c r="Y21" s="349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93"/>
      <c r="Q22" s="1558"/>
      <c r="R22" s="1559"/>
      <c r="S22" s="1560"/>
      <c r="T22" s="1559"/>
      <c r="U22" s="1560"/>
      <c r="V22" s="1559"/>
      <c r="W22" s="1560"/>
      <c r="X22" s="1553"/>
      <c r="Y22" s="3493"/>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93"/>
      <c r="Q23" s="1558" t="str">
        <f t="shared" si="8"/>
        <v>环境状况</v>
      </c>
      <c r="R23" s="1559" t="s">
        <v>8</v>
      </c>
      <c r="S23" s="1560">
        <f>F23</f>
        <v>100</v>
      </c>
      <c r="T23" s="1559" t="s">
        <v>8</v>
      </c>
      <c r="U23" s="1560">
        <f>H23</f>
        <v>100</v>
      </c>
      <c r="V23" s="1559" t="s">
        <v>8</v>
      </c>
      <c r="W23" s="1560">
        <f>J23</f>
        <v>100</v>
      </c>
      <c r="X23" s="1553"/>
      <c r="Y23" s="349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93"/>
      <c r="Q24" s="1558"/>
      <c r="R24" s="1559"/>
      <c r="S24" s="1560"/>
      <c r="T24" s="1559"/>
      <c r="U24" s="1560"/>
      <c r="V24" s="1559"/>
      <c r="W24" s="1560"/>
      <c r="X24" s="1553"/>
      <c r="Y24" s="3493"/>
      <c r="Z24" s="1561"/>
      <c r="AA24" s="1562">
        <v>1</v>
      </c>
      <c r="AB24" s="1562">
        <v>1</v>
      </c>
      <c r="AC24" s="1562">
        <v>1</v>
      </c>
    </row>
    <row r="25" spans="1:29" s="1215"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93"/>
      <c r="Q25" s="1146" t="str">
        <f t="shared" si="8"/>
        <v>公共配套设施</v>
      </c>
      <c r="R25" s="1554" t="s">
        <v>8</v>
      </c>
      <c r="S25" s="1555">
        <f>F25</f>
        <v>100</v>
      </c>
      <c r="T25" s="1554" t="s">
        <v>8</v>
      </c>
      <c r="U25" s="1555">
        <f>H25</f>
        <v>100</v>
      </c>
      <c r="V25" s="1554" t="s">
        <v>8</v>
      </c>
      <c r="W25" s="1555">
        <f>J25</f>
        <v>100</v>
      </c>
      <c r="X25" s="1556"/>
      <c r="Y25" s="3493"/>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93"/>
      <c r="Q26" s="1146"/>
      <c r="R26" s="1554"/>
      <c r="S26" s="1555"/>
      <c r="T26" s="1554"/>
      <c r="U26" s="1555"/>
      <c r="V26" s="1554"/>
      <c r="W26" s="1555"/>
      <c r="X26" s="1556"/>
      <c r="Y26" s="3493"/>
      <c r="Z26" s="1145"/>
      <c r="AA26" s="1557">
        <v>1</v>
      </c>
      <c r="AB26" s="1557">
        <v>1</v>
      </c>
      <c r="AC26" s="1557">
        <v>1</v>
      </c>
    </row>
    <row r="27" spans="1:29" s="1215"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93"/>
      <c r="Q27" s="2542" t="str">
        <f t="shared" ref="Q27" si="9">B27</f>
        <v>基础设施水平</v>
      </c>
      <c r="R27" s="1554" t="s">
        <v>8</v>
      </c>
      <c r="S27" s="1555">
        <f>F27</f>
        <v>100</v>
      </c>
      <c r="T27" s="1554" t="s">
        <v>8</v>
      </c>
      <c r="U27" s="1555">
        <f>H27</f>
        <v>100</v>
      </c>
      <c r="V27" s="1554" t="s">
        <v>8</v>
      </c>
      <c r="W27" s="1555">
        <f>J27</f>
        <v>100</v>
      </c>
      <c r="X27" s="1556"/>
      <c r="Y27" s="3493"/>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93"/>
      <c r="Q28" s="2542"/>
      <c r="R28" s="1554"/>
      <c r="S28" s="1555"/>
      <c r="T28" s="1554"/>
      <c r="U28" s="1555"/>
      <c r="V28" s="1554"/>
      <c r="W28" s="1555"/>
      <c r="X28" s="1556"/>
      <c r="Y28" s="3493"/>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9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93"/>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93"/>
      <c r="Q30" s="1558" t="str">
        <f t="shared" si="8"/>
        <v>毗邻道路的类型与等级</v>
      </c>
      <c r="R30" s="1559" t="s">
        <v>8</v>
      </c>
      <c r="S30" s="1560">
        <f t="shared" si="10"/>
        <v>100</v>
      </c>
      <c r="T30" s="1559" t="s">
        <v>8</v>
      </c>
      <c r="U30" s="1560">
        <f t="shared" si="11"/>
        <v>100</v>
      </c>
      <c r="V30" s="1559" t="s">
        <v>8</v>
      </c>
      <c r="W30" s="1560">
        <f t="shared" si="12"/>
        <v>100</v>
      </c>
      <c r="X30" s="1553"/>
      <c r="Y30" s="349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93"/>
      <c r="Q31" s="1558"/>
      <c r="R31" s="1559"/>
      <c r="S31" s="1560"/>
      <c r="T31" s="1559"/>
      <c r="U31" s="1560"/>
      <c r="V31" s="1559"/>
      <c r="W31" s="1560"/>
      <c r="X31" s="1553"/>
      <c r="Y31" s="3493"/>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93"/>
      <c r="Q32" s="1558" t="str">
        <f t="shared" si="8"/>
        <v>土地级别</v>
      </c>
      <c r="R32" s="1559" t="s">
        <v>8</v>
      </c>
      <c r="S32" s="1560">
        <f t="shared" si="10"/>
        <v>100</v>
      </c>
      <c r="T32" s="1559" t="s">
        <v>8</v>
      </c>
      <c r="U32" s="1560">
        <f t="shared" si="11"/>
        <v>100</v>
      </c>
      <c r="V32" s="1559" t="s">
        <v>8</v>
      </c>
      <c r="W32" s="1560">
        <f t="shared" si="12"/>
        <v>100</v>
      </c>
      <c r="X32" s="1553"/>
      <c r="Y32" s="349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93"/>
      <c r="Q33" s="1558">
        <f t="shared" si="8"/>
        <v>111</v>
      </c>
      <c r="R33" s="1559" t="s">
        <v>8</v>
      </c>
      <c r="S33" s="1560">
        <f t="shared" si="10"/>
        <v>100</v>
      </c>
      <c r="T33" s="1559" t="s">
        <v>8</v>
      </c>
      <c r="U33" s="1560">
        <f t="shared" si="11"/>
        <v>100</v>
      </c>
      <c r="V33" s="1559" t="s">
        <v>8</v>
      </c>
      <c r="W33" s="1560">
        <f t="shared" si="12"/>
        <v>100</v>
      </c>
      <c r="X33" s="1553"/>
      <c r="Y33" s="349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94" t="s">
        <v>550</v>
      </c>
      <c r="Q34" s="1558">
        <f t="shared" si="8"/>
        <v>111</v>
      </c>
      <c r="R34" s="1559" t="s">
        <v>8</v>
      </c>
      <c r="S34" s="1560">
        <f t="shared" si="10"/>
        <v>100</v>
      </c>
      <c r="T34" s="1559" t="s">
        <v>8</v>
      </c>
      <c r="U34" s="1560">
        <f t="shared" si="11"/>
        <v>100</v>
      </c>
      <c r="V34" s="1559" t="s">
        <v>8</v>
      </c>
      <c r="W34" s="1560">
        <f t="shared" si="12"/>
        <v>100</v>
      </c>
      <c r="X34" s="1553"/>
      <c r="Y34" s="3495"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95"/>
      <c r="Q35" s="1558">
        <f t="shared" si="8"/>
        <v>111</v>
      </c>
      <c r="R35" s="1563" t="s">
        <v>8</v>
      </c>
      <c r="S35" s="1564">
        <f t="shared" si="10"/>
        <v>100</v>
      </c>
      <c r="T35" s="1563" t="s">
        <v>8</v>
      </c>
      <c r="U35" s="1564">
        <f t="shared" si="11"/>
        <v>100</v>
      </c>
      <c r="V35" s="1563" t="s">
        <v>8</v>
      </c>
      <c r="W35" s="1564">
        <f t="shared" si="12"/>
        <v>100</v>
      </c>
      <c r="X35" s="1565"/>
      <c r="Y35" s="3495"/>
      <c r="Z35" s="1566">
        <f t="shared" si="13"/>
        <v>111</v>
      </c>
      <c r="AA35" s="1562">
        <f t="shared" si="3"/>
        <v>1</v>
      </c>
      <c r="AB35" s="1562">
        <f t="shared" si="4"/>
        <v>1</v>
      </c>
      <c r="AC35" s="1562">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95"/>
      <c r="Q36" s="1558" t="str">
        <f>B36</f>
        <v>宗地面积</v>
      </c>
      <c r="R36" s="1559" t="s">
        <v>8</v>
      </c>
      <c r="S36" s="1560" t="e">
        <f t="shared" si="10"/>
        <v>#N/A</v>
      </c>
      <c r="T36" s="1559" t="s">
        <v>8</v>
      </c>
      <c r="U36" s="1560" t="e">
        <f t="shared" si="11"/>
        <v>#N/A</v>
      </c>
      <c r="V36" s="1559" t="s">
        <v>8</v>
      </c>
      <c r="W36" s="1560" t="e">
        <f t="shared" si="12"/>
        <v>#N/A</v>
      </c>
      <c r="X36" s="1553"/>
      <c r="Y36" s="349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95"/>
      <c r="Q37" s="1558" t="str">
        <f t="shared" ref="Q37:Q42" si="14">B37</f>
        <v>宗地形状</v>
      </c>
      <c r="R37" s="1559" t="s">
        <v>8</v>
      </c>
      <c r="S37" s="1560">
        <f t="shared" si="10"/>
        <v>100</v>
      </c>
      <c r="T37" s="1559" t="s">
        <v>8</v>
      </c>
      <c r="U37" s="1560">
        <f t="shared" si="11"/>
        <v>100</v>
      </c>
      <c r="V37" s="1559" t="s">
        <v>8</v>
      </c>
      <c r="W37" s="1560">
        <f t="shared" si="12"/>
        <v>100</v>
      </c>
      <c r="X37" s="1553"/>
      <c r="Y37" s="3495"/>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95"/>
      <c r="Q38" s="1558" t="str">
        <f t="shared" si="14"/>
        <v>宗地开发程度</v>
      </c>
      <c r="R38" s="1554" t="s">
        <v>8</v>
      </c>
      <c r="S38" s="1555">
        <f t="shared" si="10"/>
        <v>100</v>
      </c>
      <c r="T38" s="1554" t="s">
        <v>8</v>
      </c>
      <c r="U38" s="1555">
        <f t="shared" si="11"/>
        <v>100</v>
      </c>
      <c r="V38" s="1554" t="s">
        <v>8</v>
      </c>
      <c r="W38" s="1555">
        <f t="shared" si="12"/>
        <v>100</v>
      </c>
      <c r="X38" s="1556"/>
      <c r="Y38" s="3495"/>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5" t="s">
        <v>601</v>
      </c>
      <c r="Q39" s="1558" t="str">
        <f t="shared" si="14"/>
        <v>工程地质条件</v>
      </c>
      <c r="R39" s="1559" t="s">
        <v>8</v>
      </c>
      <c r="S39" s="1560">
        <f t="shared" si="10"/>
        <v>100</v>
      </c>
      <c r="T39" s="1559" t="s">
        <v>8</v>
      </c>
      <c r="U39" s="1560">
        <f t="shared" si="11"/>
        <v>100</v>
      </c>
      <c r="V39" s="1559" t="s">
        <v>8</v>
      </c>
      <c r="W39" s="1560">
        <f t="shared" si="12"/>
        <v>100</v>
      </c>
      <c r="X39" s="1553"/>
      <c r="Y39" s="349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95"/>
      <c r="Q40" s="1558">
        <f t="shared" si="14"/>
        <v>111</v>
      </c>
      <c r="R40" s="1559" t="s">
        <v>8</v>
      </c>
      <c r="S40" s="1560">
        <f t="shared" si="10"/>
        <v>100</v>
      </c>
      <c r="T40" s="1559" t="s">
        <v>8</v>
      </c>
      <c r="U40" s="1560">
        <f t="shared" si="11"/>
        <v>100</v>
      </c>
      <c r="V40" s="1559" t="s">
        <v>8</v>
      </c>
      <c r="W40" s="1560">
        <f t="shared" si="12"/>
        <v>100</v>
      </c>
      <c r="X40" s="1553"/>
      <c r="Y40" s="349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95"/>
      <c r="Q41" s="1558">
        <f t="shared" si="14"/>
        <v>111</v>
      </c>
      <c r="R41" s="1559" t="s">
        <v>8</v>
      </c>
      <c r="S41" s="1560">
        <f t="shared" si="10"/>
        <v>100</v>
      </c>
      <c r="T41" s="1559" t="s">
        <v>8</v>
      </c>
      <c r="U41" s="1560">
        <f t="shared" si="11"/>
        <v>100</v>
      </c>
      <c r="V41" s="1559" t="s">
        <v>8</v>
      </c>
      <c r="W41" s="1560">
        <f t="shared" si="12"/>
        <v>100</v>
      </c>
      <c r="X41" s="1553"/>
      <c r="Y41" s="3495"/>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95"/>
      <c r="Q42" s="1558">
        <f t="shared" si="14"/>
        <v>111</v>
      </c>
      <c r="R42" s="1563" t="s">
        <v>8</v>
      </c>
      <c r="S42" s="1564">
        <f t="shared" si="10"/>
        <v>100</v>
      </c>
      <c r="T42" s="1563" t="s">
        <v>8</v>
      </c>
      <c r="U42" s="1564">
        <f t="shared" si="11"/>
        <v>100</v>
      </c>
      <c r="V42" s="1563" t="s">
        <v>8</v>
      </c>
      <c r="W42" s="1564">
        <f t="shared" si="12"/>
        <v>100</v>
      </c>
      <c r="X42" s="1565"/>
      <c r="Y42" s="3495"/>
      <c r="Z42" s="1566">
        <f t="shared" si="13"/>
        <v>111</v>
      </c>
      <c r="AA42" s="1562">
        <f t="shared" si="3"/>
        <v>1</v>
      </c>
      <c r="AB42" s="1562">
        <f t="shared" si="4"/>
        <v>1</v>
      </c>
      <c r="AC42" s="1562">
        <f t="shared" si="5"/>
        <v>1</v>
      </c>
    </row>
    <row r="43" spans="1:29" ht="15">
      <c r="A43" s="607" t="s">
        <v>556</v>
      </c>
      <c r="B43" s="608" t="s">
        <v>2930</v>
      </c>
      <c r="C43" s="609" t="s">
        <v>1</v>
      </c>
      <c r="D43" s="610"/>
      <c r="E43" s="611"/>
      <c r="F43" s="612"/>
      <c r="G43" s="613"/>
      <c r="H43" s="614"/>
      <c r="I43" s="611"/>
      <c r="J43" s="614"/>
      <c r="K43" s="1335"/>
      <c r="L43" s="2129"/>
      <c r="M43" s="2119"/>
      <c r="N43" s="2119"/>
      <c r="O43" s="2130"/>
      <c r="P43" s="3458" t="str">
        <f>A43</f>
        <v>成交单价</v>
      </c>
      <c r="Q43" s="3458"/>
      <c r="R43" s="3459">
        <f>E43</f>
        <v>0</v>
      </c>
      <c r="S43" s="3459"/>
      <c r="T43" s="3459">
        <f>G43</f>
        <v>0</v>
      </c>
      <c r="U43" s="3459"/>
      <c r="V43" s="3459">
        <f>I43</f>
        <v>0</v>
      </c>
      <c r="W43" s="3459"/>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6"/>
      <c r="L44" s="2129"/>
      <c r="M44" s="2119"/>
      <c r="N44" s="2119"/>
      <c r="O44" s="2130"/>
      <c r="P44" s="3458" t="str">
        <f>A44</f>
        <v>比较价格（元/平方米）</v>
      </c>
      <c r="Q44" s="3458"/>
      <c r="R44" s="3460" t="e">
        <f>ROUND(PRODUCT(R43,AA9:AA42),0)</f>
        <v>#DIV/0!</v>
      </c>
      <c r="S44" s="3460"/>
      <c r="T44" s="3460" t="e">
        <f>ROUND(PRODUCT(T43,AB9:AB42),0)</f>
        <v>#DIV/0!</v>
      </c>
      <c r="U44" s="3460"/>
      <c r="V44" s="3460" t="e">
        <f>ROUND(PRODUCT(V43,AC9:AC42),0)</f>
        <v>#DIV/0!</v>
      </c>
      <c r="W44" s="3460"/>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7"/>
      <c r="L45" s="2129"/>
      <c r="M45" s="2119"/>
      <c r="N45" s="2119"/>
      <c r="O45" s="2130"/>
      <c r="P45" s="3455" t="str">
        <f>A45</f>
        <v>估价对象XX用房的比较价格（楼面单价，元/平方米）</v>
      </c>
      <c r="Q45" s="3456"/>
      <c r="R45" s="3457" t="e">
        <f>ROUND(AVERAGE(R44:V44),0)</f>
        <v>#DIV/0!</v>
      </c>
      <c r="S45" s="3457"/>
      <c r="T45" s="3457"/>
      <c r="U45" s="3457"/>
      <c r="V45" s="3457"/>
      <c r="W45" s="345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502" t="s">
        <v>2282</v>
      </c>
      <c r="H52" s="3503"/>
      <c r="I52" s="1937" t="s">
        <v>1945</v>
      </c>
      <c r="J52" s="1541" t="str">
        <f>项目基本情况!F41</f>
        <v>山西省太原市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571714</v>
      </c>
      <c r="F53" s="1935" t="e">
        <f t="shared" ref="F53:F62" si="15">ROUND(B53*E53/10000,0)</f>
        <v>#DIV/0!</v>
      </c>
      <c r="G53" s="3504"/>
      <c r="H53" s="350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506"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50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50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50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111630.47</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2292</v>
      </c>
      <c r="E63" s="643">
        <f>IF(B43="楼面地价",SUM(E53:E62),'数据-汇总表'!D3)</f>
        <v>161741.64000000001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2645</v>
      </c>
      <c r="B68" s="479" t="str">
        <f>"北京市平均增长率"&amp;TEXT(基准地价!P24,"0.00%")</f>
        <v>北京市平均增长率1.40%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62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08">
        <f>SUM(D29:D30,D33:D39)</f>
        <v>0</v>
      </c>
      <c r="E1" s="1402" t="s">
        <v>2424</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53"/>
      <c r="L4" s="1870" t="s">
        <v>2239</v>
      </c>
      <c r="M4" s="1871">
        <f>SUMPRODUCT((区片价!B49:B75=I2)*(区片价!C3:F3=E2)*(区片价!C49:F75))</f>
        <v>0</v>
      </c>
      <c r="N4" s="1872">
        <f>SUMPRODUCT((因素修正幅度!B49:B75=I2)*(因素修正幅度!C3:F3=E2)*(因素修正幅度!C49:F75))</f>
        <v>0</v>
      </c>
      <c r="O4" s="3153"/>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0" t="e">
        <f>ROUND(IF(E2="商业",C6*C7+C16,(IF(E2="住宅",C6*C12+C16,C6+C16))),0)</f>
        <v>#DIV/0!</v>
      </c>
      <c r="D5" s="3072" t="e">
        <f>ROUND(C6+C16,0)</f>
        <v>#DIV/0!</v>
      </c>
      <c r="E5" s="3072"/>
      <c r="F5" s="1412"/>
      <c r="G5" s="1413"/>
      <c r="H5" s="1413"/>
      <c r="I5" s="1413"/>
      <c r="J5" s="1414"/>
      <c r="K5" s="3154"/>
      <c r="L5" s="1870" t="s">
        <v>2240</v>
      </c>
      <c r="M5" s="1871">
        <f>SUMPRODUCT((区片价!B76:B109=I2)*(区片价!C3:F3=E2)*(区片价!C76:F109))</f>
        <v>0</v>
      </c>
      <c r="N5" s="1872">
        <f>SUMPRODUCT((因素修正幅度!B76:B109=I2)*(因素修正幅度!C3:F3=E2)*(因素修正幅度!C76:F109))</f>
        <v>0</v>
      </c>
      <c r="O5" s="3154"/>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518" t="str">
        <f>IF(E2="商业",IF(C8="不临58条商业街","",2),"")</f>
        <v/>
      </c>
      <c r="B7" s="1423" t="s">
        <v>932</v>
      </c>
      <c r="C7" s="1042" t="e">
        <f>IF(C8="不临58条商业街",1,ROUND(1+(1.6*E8+1.2*E9+0.8*E10+0.4*E11)*C9,4))</f>
        <v>#DIV/0!</v>
      </c>
      <c r="D7" s="1424" t="s">
        <v>933</v>
      </c>
      <c r="E7" s="1043"/>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2761</v>
      </c>
      <c r="X7" s="2882">
        <f>G2</f>
        <v>0</v>
      </c>
      <c r="Y7" s="2882" t="s">
        <v>2762</v>
      </c>
      <c r="Z7" s="2883">
        <f>G3</f>
        <v>0</v>
      </c>
      <c r="AA7" s="2177"/>
      <c r="AB7" s="2177"/>
      <c r="AC7" s="2178"/>
      <c r="AD7" s="2884"/>
      <c r="AE7" s="2884"/>
      <c r="AF7" s="2884"/>
      <c r="AG7" s="2884"/>
      <c r="AH7" s="2884"/>
      <c r="AI7" s="2884"/>
      <c r="AJ7" s="2885"/>
    </row>
    <row r="8" spans="1:39" ht="15">
      <c r="A8" s="3519"/>
      <c r="B8" s="1410" t="s">
        <v>934</v>
      </c>
      <c r="C8" s="1516"/>
      <c r="D8" s="1044" t="s">
        <v>935</v>
      </c>
      <c r="E8" s="1045"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508" t="s">
        <v>2779</v>
      </c>
      <c r="X8" s="3509"/>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519"/>
      <c r="B9" s="1410" t="s">
        <v>937</v>
      </c>
      <c r="C9" s="1046">
        <f>SUMIF(修正!C59:C119,C8,修正!E59:E119)</f>
        <v>0</v>
      </c>
      <c r="D9" s="1047" t="s">
        <v>938</v>
      </c>
      <c r="E9" s="1047"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507"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19"/>
      <c r="B10" s="1410" t="s">
        <v>940</v>
      </c>
      <c r="C10" s="1047">
        <f>SUMIF(修正!C59:C119,C8,修正!F59:F119)</f>
        <v>0</v>
      </c>
      <c r="D10" s="1047" t="s">
        <v>941</v>
      </c>
      <c r="E10" s="1047"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50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19"/>
      <c r="B11" s="1431" t="s">
        <v>943</v>
      </c>
      <c r="C11" s="1048">
        <f>C10/4</f>
        <v>0</v>
      </c>
      <c r="D11" s="1048" t="s">
        <v>944</v>
      </c>
      <c r="E11" s="1048"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507" t="s">
        <v>2777</v>
      </c>
      <c r="X11" s="1047" t="s">
        <v>2762</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518" t="s">
        <v>1871</v>
      </c>
      <c r="B12" s="1435" t="s">
        <v>946</v>
      </c>
      <c r="C12" s="1042">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507"/>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20"/>
      <c r="B13" s="1440" t="s">
        <v>1696</v>
      </c>
      <c r="C13" s="1441" t="s">
        <v>1697</v>
      </c>
      <c r="D13" s="1084" t="s">
        <v>1698</v>
      </c>
      <c r="E13" s="1084"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507"/>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520"/>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21"/>
      <c r="B15" s="3174" t="s">
        <v>1700</v>
      </c>
      <c r="C15" s="1048">
        <f>IF(C14="有",1.1,1)</f>
        <v>1</v>
      </c>
      <c r="D15" s="1048">
        <f>IF(D14="有",1.1,1)</f>
        <v>1</v>
      </c>
      <c r="E15" s="1048">
        <f>IF(E14="有",1.1,1)</f>
        <v>1</v>
      </c>
      <c r="F15" s="1048">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18" t="s">
        <v>1838</v>
      </c>
      <c r="B16" s="1423" t="s">
        <v>950</v>
      </c>
      <c r="C16" s="1051" t="e">
        <f>ROUND(IF(F17="与级别开发程度一致",0,(G17-E17)/C17),0)</f>
        <v>#DIV/0!</v>
      </c>
      <c r="D16" s="3515" t="s">
        <v>954</v>
      </c>
      <c r="E16" s="3516"/>
      <c r="F16" s="3515" t="s">
        <v>951</v>
      </c>
      <c r="G16" s="3516"/>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522"/>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t="e">
        <f>ROUND(IF(H19="按公示增长率计算",SUMPRODUCT((地价!A3:A26=YEAR(G19)&amp;"-"&amp;ROUNDUP(MONTH(G19)/3,0))*(地价!X2:AB2=E2)*(地价!X3:AB26)),IF(H19="地价指数",M20/M19,(1+I19)^O19)),4)</f>
        <v>#VALUE!</v>
      </c>
      <c r="D19" s="1462" t="s">
        <v>957</v>
      </c>
      <c r="E19" s="1053">
        <v>41640</v>
      </c>
      <c r="F19" s="1462" t="s">
        <v>958</v>
      </c>
      <c r="G19" s="1054">
        <f>'数据-取费表'!B2</f>
        <v>43621</v>
      </c>
      <c r="H19" s="1463"/>
      <c r="I19" s="2740" t="str">
        <f>IF(H19="季度增幅（自定义）",SUMIF(N21:N24,E2,O21:O24),"")</f>
        <v/>
      </c>
      <c r="J19" s="1459"/>
      <c r="K19" s="3154"/>
      <c r="L19" s="2992" t="s">
        <v>2837</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2838</v>
      </c>
      <c r="M20" s="3163">
        <f>ROUND(SUMPRODUCT((地价!A4:A26=YEAR(G19)&amp;"-"&amp;ROUNDUP(MONTH(G19)/3,0))*(地价!B2:F2=E2)*(地价!B4:F26)),0)</f>
        <v>0</v>
      </c>
      <c r="N20" s="2745" t="s">
        <v>2642</v>
      </c>
      <c r="O20" s="2743" t="s">
        <v>2641</v>
      </c>
      <c r="P20" s="2744" t="s">
        <v>2646</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2757</v>
      </c>
      <c r="C21" s="1153">
        <f>IF(B21="容积率修正",IF(G3&lt;=10,D22,J22),C23)</f>
        <v>0</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2644</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8"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25"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26"/>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26"/>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27"/>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2984</v>
      </c>
      <c r="C41" s="839" t="e">
        <f>ROUND(POWER(1+E41,H41-G41)*(POWER(1+E41,G41)-1)/(POWER(1+E41,H41)-1),4)</f>
        <v>#DIV/0!</v>
      </c>
      <c r="D41" s="378" t="s">
        <v>2982</v>
      </c>
      <c r="E41" s="3149">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2248</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3049"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3048"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2249</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3049"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3048"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2250</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8"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2251</v>
      </c>
      <c r="G79" s="2395" t="s">
        <v>1014</v>
      </c>
      <c r="H79" s="2378" t="s">
        <v>2415</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1025</v>
      </c>
      <c r="B86" s="3048"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23" t="s">
        <v>1633</v>
      </c>
      <c r="B90" s="3523"/>
      <c r="C90" s="3523"/>
      <c r="D90" s="3523"/>
      <c r="E90" s="3523"/>
      <c r="F90" s="3523"/>
      <c r="G90" s="3523"/>
      <c r="H90" s="3523"/>
      <c r="I90" s="3523"/>
      <c r="J90" s="3523"/>
      <c r="K90" s="2414"/>
      <c r="L90" s="2414"/>
      <c r="M90" s="2414"/>
      <c r="N90" s="2414"/>
    </row>
    <row r="91" spans="1:40">
      <c r="A91" s="3524" t="s">
        <v>1443</v>
      </c>
      <c r="B91" s="3524" t="s">
        <v>1634</v>
      </c>
      <c r="C91" s="1135" t="s">
        <v>1635</v>
      </c>
      <c r="D91" s="1136"/>
      <c r="E91" s="1136"/>
      <c r="F91" s="1136"/>
      <c r="G91" s="1136"/>
      <c r="H91" s="1136"/>
      <c r="I91" s="1136"/>
      <c r="J91" s="1137"/>
      <c r="K91" s="1129"/>
      <c r="L91" s="1129"/>
      <c r="M91" s="1129"/>
      <c r="N91" s="1129"/>
    </row>
    <row r="92" spans="1:40">
      <c r="A92" s="3524"/>
      <c r="B92" s="352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510"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1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1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1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1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1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11"/>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1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10"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511"/>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511"/>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511"/>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511"/>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511"/>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511"/>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511"/>
      <c r="B108" s="3513"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12"/>
      <c r="B109" s="3514"/>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517" t="s">
        <v>1639</v>
      </c>
      <c r="B110" s="3517"/>
      <c r="C110" s="3517"/>
      <c r="D110" s="3517"/>
      <c r="E110" s="3517"/>
      <c r="F110" s="3517"/>
      <c r="G110" s="3517"/>
      <c r="H110" s="3517"/>
      <c r="I110" s="3517"/>
      <c r="J110" s="3517"/>
      <c r="K110" s="2412"/>
      <c r="L110" s="2412"/>
      <c r="M110" s="2412"/>
      <c r="N110" s="2412"/>
    </row>
    <row r="112" spans="1:14" ht="12.75" thickBot="1"/>
    <row r="113" spans="1:13" ht="25.5"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71" t="s">
        <v>2987</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524" t="s">
        <v>1007</v>
      </c>
      <c r="B18" s="1149" t="s">
        <v>1446</v>
      </c>
      <c r="C18" s="1126" t="s">
        <v>1447</v>
      </c>
      <c r="D18" s="1127"/>
      <c r="E18" s="1149">
        <v>1</v>
      </c>
      <c r="F18" s="1128" t="s">
        <v>1448</v>
      </c>
      <c r="G18" s="1129"/>
      <c r="H18" s="1100"/>
      <c r="I18" s="1100"/>
    </row>
    <row r="19" spans="1:9" s="1584" customFormat="1" ht="19.5" customHeight="1">
      <c r="A19" s="3524"/>
      <c r="B19" s="3524" t="s">
        <v>1449</v>
      </c>
      <c r="C19" s="1126" t="s">
        <v>1450</v>
      </c>
      <c r="D19" s="1127"/>
      <c r="E19" s="1149">
        <v>0.9</v>
      </c>
      <c r="F19" s="1128" t="s">
        <v>1451</v>
      </c>
      <c r="G19" s="1129"/>
      <c r="H19" s="1100"/>
      <c r="I19" s="1100"/>
    </row>
    <row r="20" spans="1:9" s="1584" customFormat="1" ht="19.5" customHeight="1">
      <c r="A20" s="3524"/>
      <c r="B20" s="3524"/>
      <c r="C20" s="1126" t="s">
        <v>1452</v>
      </c>
      <c r="D20" s="1127"/>
      <c r="E20" s="1149">
        <v>1.1000000000000001</v>
      </c>
      <c r="F20" s="1128" t="s">
        <v>1453</v>
      </c>
      <c r="G20" s="1129"/>
      <c r="H20" s="1100"/>
      <c r="I20" s="1100"/>
    </row>
    <row r="21" spans="1:9" s="1584" customFormat="1" ht="19.5" customHeight="1">
      <c r="A21" s="3524"/>
      <c r="B21" s="3524"/>
      <c r="C21" s="1126" t="s">
        <v>1454</v>
      </c>
      <c r="D21" s="1127"/>
      <c r="E21" s="1149">
        <v>0.8</v>
      </c>
      <c r="F21" s="1128" t="s">
        <v>1455</v>
      </c>
      <c r="G21" s="1129"/>
      <c r="H21" s="1100"/>
      <c r="I21" s="1100"/>
    </row>
    <row r="22" spans="1:9" s="1584" customFormat="1" ht="19.5" customHeight="1">
      <c r="A22" s="3524"/>
      <c r="B22" s="3524"/>
      <c r="C22" s="1126" t="s">
        <v>1456</v>
      </c>
      <c r="D22" s="1127"/>
      <c r="E22" s="1149">
        <v>0.5</v>
      </c>
      <c r="F22" s="1128"/>
      <c r="G22" s="1129"/>
      <c r="H22" s="1100"/>
      <c r="I22" s="1100"/>
    </row>
    <row r="23" spans="1:9" s="1584" customFormat="1" ht="19.5" customHeight="1">
      <c r="A23" s="3524" t="s">
        <v>1029</v>
      </c>
      <c r="B23" s="1149" t="s">
        <v>1446</v>
      </c>
      <c r="C23" s="1126" t="s">
        <v>1457</v>
      </c>
      <c r="D23" s="1127"/>
      <c r="E23" s="1149">
        <v>1</v>
      </c>
      <c r="F23" s="1128" t="s">
        <v>1458</v>
      </c>
      <c r="G23" s="1129"/>
      <c r="H23" s="1100"/>
      <c r="I23" s="1100"/>
    </row>
    <row r="24" spans="1:9" s="1584" customFormat="1" ht="19.5" customHeight="1">
      <c r="A24" s="3524"/>
      <c r="B24" s="3524" t="s">
        <v>1449</v>
      </c>
      <c r="C24" s="1126" t="s">
        <v>1459</v>
      </c>
      <c r="D24" s="1127"/>
      <c r="E24" s="1149">
        <v>0.5</v>
      </c>
      <c r="F24" s="1128"/>
      <c r="G24" s="1129"/>
      <c r="H24" s="1100"/>
      <c r="I24" s="1100"/>
    </row>
    <row r="25" spans="1:9" s="1584" customFormat="1" ht="19.5" customHeight="1">
      <c r="A25" s="3524"/>
      <c r="B25" s="3524"/>
      <c r="C25" s="1126" t="s">
        <v>1460</v>
      </c>
      <c r="D25" s="1127"/>
      <c r="E25" s="1149">
        <v>1.1000000000000001</v>
      </c>
      <c r="F25" s="1128"/>
      <c r="G25" s="1129"/>
      <c r="H25" s="1100"/>
      <c r="I25" s="1100"/>
    </row>
    <row r="26" spans="1:9" s="1584" customFormat="1" ht="19.5" customHeight="1">
      <c r="A26" s="3524"/>
      <c r="B26" s="3524"/>
      <c r="C26" s="1126" t="s">
        <v>1461</v>
      </c>
      <c r="D26" s="1127"/>
      <c r="E26" s="1149">
        <v>1.1000000000000001</v>
      </c>
      <c r="F26" s="1128"/>
      <c r="G26" s="1129"/>
      <c r="H26" s="1100"/>
      <c r="I26" s="1100"/>
    </row>
    <row r="27" spans="1:9" s="1584" customFormat="1" ht="19.5" customHeight="1">
      <c r="A27" s="3524"/>
      <c r="B27" s="3524"/>
      <c r="C27" s="1126" t="s">
        <v>1462</v>
      </c>
      <c r="D27" s="1127"/>
      <c r="E27" s="1149">
        <v>0.9</v>
      </c>
      <c r="F27" s="1128" t="s">
        <v>1463</v>
      </c>
      <c r="G27" s="1129"/>
      <c r="H27" s="1100"/>
      <c r="I27" s="1100"/>
    </row>
    <row r="28" spans="1:9" s="1584" customFormat="1" ht="19.5" customHeight="1">
      <c r="A28" s="3524"/>
      <c r="B28" s="3524"/>
      <c r="C28" s="1126" t="s">
        <v>1464</v>
      </c>
      <c r="D28" s="1127"/>
      <c r="E28" s="1149">
        <v>0.9</v>
      </c>
      <c r="F28" s="1128" t="s">
        <v>1465</v>
      </c>
      <c r="G28" s="1129"/>
      <c r="H28" s="1100"/>
      <c r="I28" s="1100"/>
    </row>
    <row r="29" spans="1:9" s="1584" customFormat="1" ht="19.5" customHeight="1">
      <c r="A29" s="3524"/>
      <c r="B29" s="3524"/>
      <c r="C29" s="1126" t="s">
        <v>1466</v>
      </c>
      <c r="D29" s="1127"/>
      <c r="E29" s="1149">
        <v>0.9</v>
      </c>
      <c r="F29" s="1128" t="s">
        <v>1467</v>
      </c>
      <c r="G29" s="1129"/>
      <c r="H29" s="1100"/>
      <c r="I29" s="1100"/>
    </row>
    <row r="30" spans="1:9" s="1584" customFormat="1" ht="19.5" customHeight="1">
      <c r="A30" s="3524"/>
      <c r="B30" s="3524"/>
      <c r="C30" s="1126" t="s">
        <v>1468</v>
      </c>
      <c r="D30" s="1127"/>
      <c r="E30" s="1149">
        <v>0.9</v>
      </c>
      <c r="F30" s="1128" t="s">
        <v>1469</v>
      </c>
      <c r="G30" s="1129"/>
      <c r="H30" s="1100"/>
      <c r="I30" s="1100"/>
    </row>
    <row r="31" spans="1:9" s="1584" customFormat="1" ht="19.5" customHeight="1">
      <c r="A31" s="3524"/>
      <c r="B31" s="3524"/>
      <c r="C31" s="1126" t="s">
        <v>1470</v>
      </c>
      <c r="D31" s="1127"/>
      <c r="E31" s="1149">
        <v>0.8</v>
      </c>
      <c r="F31" s="1128" t="s">
        <v>1471</v>
      </c>
      <c r="G31" s="1129"/>
      <c r="H31" s="1100"/>
      <c r="I31" s="1100"/>
    </row>
    <row r="32" spans="1:9" s="1584" customFormat="1" ht="19.5" customHeight="1">
      <c r="A32" s="3524"/>
      <c r="B32" s="3524"/>
      <c r="C32" s="1126" t="s">
        <v>1472</v>
      </c>
      <c r="D32" s="1127"/>
      <c r="E32" s="1149">
        <v>0.8</v>
      </c>
      <c r="F32" s="1128" t="s">
        <v>1473</v>
      </c>
      <c r="G32" s="1129"/>
      <c r="H32" s="1100"/>
      <c r="I32" s="1100"/>
    </row>
    <row r="33" spans="1:9" s="1584" customFormat="1" ht="19.5" customHeight="1">
      <c r="A33" s="3524" t="s">
        <v>1474</v>
      </c>
      <c r="B33" s="1149" t="s">
        <v>1446</v>
      </c>
      <c r="C33" s="1126" t="s">
        <v>1475</v>
      </c>
      <c r="D33" s="1127"/>
      <c r="E33" s="1149">
        <v>1</v>
      </c>
      <c r="F33" s="1128" t="s">
        <v>1476</v>
      </c>
      <c r="G33" s="1129"/>
      <c r="H33" s="1100"/>
      <c r="I33" s="1100"/>
    </row>
    <row r="34" spans="1:9" s="1584" customFormat="1" ht="19.5" customHeight="1">
      <c r="A34" s="3524"/>
      <c r="B34" s="1149" t="s">
        <v>1449</v>
      </c>
      <c r="C34" s="1126" t="s">
        <v>1477</v>
      </c>
      <c r="D34" s="1127"/>
      <c r="E34" s="1149">
        <v>1.5</v>
      </c>
      <c r="F34" s="1128" t="s">
        <v>1478</v>
      </c>
      <c r="G34" s="1129"/>
      <c r="H34" s="1100"/>
      <c r="I34" s="1100"/>
    </row>
    <row r="35" spans="1:9" s="1584" customFormat="1" ht="19.5" customHeight="1">
      <c r="A35" s="3524" t="s">
        <v>1432</v>
      </c>
      <c r="B35" s="1149" t="s">
        <v>1446</v>
      </c>
      <c r="C35" s="1126" t="s">
        <v>1479</v>
      </c>
      <c r="D35" s="1127"/>
      <c r="E35" s="1149">
        <v>1</v>
      </c>
      <c r="F35" s="1128" t="s">
        <v>1480</v>
      </c>
      <c r="G35" s="1129"/>
      <c r="H35" s="1100"/>
      <c r="I35" s="1100"/>
    </row>
    <row r="36" spans="1:9" s="1584" customFormat="1" ht="19.5" customHeight="1">
      <c r="A36" s="3524"/>
      <c r="B36" s="3524" t="s">
        <v>1449</v>
      </c>
      <c r="C36" s="1126" t="s">
        <v>1481</v>
      </c>
      <c r="D36" s="1127"/>
      <c r="E36" s="1149">
        <v>1</v>
      </c>
      <c r="F36" s="1128" t="s">
        <v>1482</v>
      </c>
      <c r="G36" s="1129"/>
      <c r="H36" s="1100"/>
      <c r="I36" s="1100"/>
    </row>
    <row r="37" spans="1:9" s="1584" customFormat="1" ht="19.5" customHeight="1">
      <c r="A37" s="3524"/>
      <c r="B37" s="3524"/>
      <c r="C37" s="1126" t="s">
        <v>1483</v>
      </c>
      <c r="D37" s="1127"/>
      <c r="E37" s="1149">
        <v>1.5</v>
      </c>
      <c r="F37" s="1128" t="s">
        <v>1484</v>
      </c>
      <c r="G37" s="1129"/>
      <c r="H37" s="1100"/>
      <c r="I37" s="1100"/>
    </row>
    <row r="38" spans="1:9" s="1584" customFormat="1" ht="19.5" customHeight="1">
      <c r="A38" s="3524"/>
      <c r="B38" s="3524"/>
      <c r="C38" s="1126" t="s">
        <v>1485</v>
      </c>
      <c r="D38" s="1127"/>
      <c r="E38" s="1149">
        <v>1</v>
      </c>
      <c r="F38" s="1128" t="s">
        <v>1486</v>
      </c>
      <c r="G38" s="1129"/>
      <c r="H38" s="1100"/>
      <c r="I38" s="1100"/>
    </row>
    <row r="39" spans="1:9" s="1584" customFormat="1" ht="19.5" customHeight="1">
      <c r="A39" s="3524"/>
      <c r="B39" s="3524"/>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524" t="s">
        <v>1501</v>
      </c>
      <c r="C61" s="1063" t="s">
        <v>1502</v>
      </c>
      <c r="D61" s="1063" t="s">
        <v>1503</v>
      </c>
      <c r="E61" s="1134">
        <v>0.5</v>
      </c>
      <c r="F61" s="1149">
        <v>80</v>
      </c>
      <c r="H61" s="1100">
        <f>SUMIF(C59:C119,基准地价!C8,E59:E119)</f>
        <v>0</v>
      </c>
    </row>
    <row r="62" spans="1:8" s="1100" customFormat="1" ht="24">
      <c r="A62" s="1149">
        <v>2</v>
      </c>
      <c r="B62" s="3524"/>
      <c r="C62" s="1063" t="s">
        <v>1504</v>
      </c>
      <c r="D62" s="1063" t="s">
        <v>1505</v>
      </c>
      <c r="E62" s="1134">
        <v>0.5</v>
      </c>
      <c r="F62" s="1149">
        <v>80</v>
      </c>
    </row>
    <row r="63" spans="1:8" s="1100" customFormat="1" ht="36">
      <c r="A63" s="1149">
        <v>3</v>
      </c>
      <c r="B63" s="3524"/>
      <c r="C63" s="1063" t="s">
        <v>1506</v>
      </c>
      <c r="D63" s="1063" t="s">
        <v>1507</v>
      </c>
      <c r="E63" s="1134">
        <v>0.5</v>
      </c>
      <c r="F63" s="1149">
        <v>80</v>
      </c>
    </row>
    <row r="64" spans="1:8" s="1100" customFormat="1" ht="36">
      <c r="A64" s="1149">
        <v>4</v>
      </c>
      <c r="B64" s="3524"/>
      <c r="C64" s="1063" t="s">
        <v>1508</v>
      </c>
      <c r="D64" s="1063" t="s">
        <v>1509</v>
      </c>
      <c r="E64" s="1134">
        <v>0.4</v>
      </c>
      <c r="F64" s="1149">
        <v>60</v>
      </c>
    </row>
    <row r="65" spans="1:6" s="1100" customFormat="1" ht="36">
      <c r="A65" s="1149">
        <v>5</v>
      </c>
      <c r="B65" s="3524"/>
      <c r="C65" s="1063" t="s">
        <v>1510</v>
      </c>
      <c r="D65" s="1063" t="s">
        <v>1511</v>
      </c>
      <c r="E65" s="1134">
        <v>0.2</v>
      </c>
      <c r="F65" s="1149">
        <v>30</v>
      </c>
    </row>
    <row r="66" spans="1:6" s="1100" customFormat="1" ht="36">
      <c r="A66" s="1149">
        <v>6</v>
      </c>
      <c r="B66" s="3524"/>
      <c r="C66" s="1063" t="s">
        <v>1512</v>
      </c>
      <c r="D66" s="1063" t="s">
        <v>1513</v>
      </c>
      <c r="E66" s="1134">
        <v>0.3</v>
      </c>
      <c r="F66" s="1149">
        <v>50</v>
      </c>
    </row>
    <row r="67" spans="1:6" s="1100" customFormat="1" ht="36">
      <c r="A67" s="1149">
        <v>7</v>
      </c>
      <c r="B67" s="3524"/>
      <c r="C67" s="1063" t="s">
        <v>1514</v>
      </c>
      <c r="D67" s="1063" t="s">
        <v>1515</v>
      </c>
      <c r="E67" s="1134">
        <v>0.2</v>
      </c>
      <c r="F67" s="1149">
        <v>30</v>
      </c>
    </row>
    <row r="68" spans="1:6" s="1100" customFormat="1" ht="36">
      <c r="A68" s="1149">
        <v>8</v>
      </c>
      <c r="B68" s="3524"/>
      <c r="C68" s="1063" t="s">
        <v>1516</v>
      </c>
      <c r="D68" s="1063" t="s">
        <v>1517</v>
      </c>
      <c r="E68" s="1134">
        <v>0.2</v>
      </c>
      <c r="F68" s="1149">
        <v>30</v>
      </c>
    </row>
    <row r="69" spans="1:6" s="1100" customFormat="1" ht="36">
      <c r="A69" s="1149">
        <v>9</v>
      </c>
      <c r="B69" s="3524"/>
      <c r="C69" s="1063" t="s">
        <v>1518</v>
      </c>
      <c r="D69" s="1063" t="s">
        <v>1519</v>
      </c>
      <c r="E69" s="1134">
        <v>0.2</v>
      </c>
      <c r="F69" s="1149">
        <v>30</v>
      </c>
    </row>
    <row r="70" spans="1:6" s="1100" customFormat="1" ht="48">
      <c r="A70" s="1149">
        <v>10</v>
      </c>
      <c r="B70" s="3524"/>
      <c r="C70" s="1063" t="s">
        <v>1520</v>
      </c>
      <c r="D70" s="1063" t="s">
        <v>1521</v>
      </c>
      <c r="E70" s="1134">
        <v>0.2</v>
      </c>
      <c r="F70" s="1149">
        <v>30</v>
      </c>
    </row>
    <row r="71" spans="1:6" s="1100" customFormat="1" ht="48">
      <c r="A71" s="1149">
        <v>11</v>
      </c>
      <c r="B71" s="3524"/>
      <c r="C71" s="1063" t="s">
        <v>1522</v>
      </c>
      <c r="D71" s="1063" t="s">
        <v>1523</v>
      </c>
      <c r="E71" s="1134">
        <v>0.2</v>
      </c>
      <c r="F71" s="1149">
        <v>30</v>
      </c>
    </row>
    <row r="72" spans="1:6" s="1100" customFormat="1" ht="36">
      <c r="A72" s="1149">
        <v>12</v>
      </c>
      <c r="B72" s="3524"/>
      <c r="C72" s="1063" t="s">
        <v>1524</v>
      </c>
      <c r="D72" s="1063" t="s">
        <v>1525</v>
      </c>
      <c r="E72" s="1134">
        <v>0.5</v>
      </c>
      <c r="F72" s="1149">
        <v>80</v>
      </c>
    </row>
    <row r="73" spans="1:6" s="1100" customFormat="1" ht="24">
      <c r="A73" s="1149">
        <v>13</v>
      </c>
      <c r="B73" s="3524"/>
      <c r="C73" s="1063" t="s">
        <v>1526</v>
      </c>
      <c r="D73" s="1063" t="s">
        <v>1527</v>
      </c>
      <c r="E73" s="1134">
        <v>0.4</v>
      </c>
      <c r="F73" s="1149">
        <v>60</v>
      </c>
    </row>
    <row r="74" spans="1:6" s="1100" customFormat="1" ht="24">
      <c r="A74" s="1149">
        <v>14</v>
      </c>
      <c r="B74" s="3524"/>
      <c r="C74" s="1063" t="s">
        <v>1528</v>
      </c>
      <c r="D74" s="1063" t="s">
        <v>1529</v>
      </c>
      <c r="E74" s="1134">
        <v>0.2</v>
      </c>
      <c r="F74" s="1149">
        <v>30</v>
      </c>
    </row>
    <row r="75" spans="1:6" s="1100" customFormat="1" ht="24">
      <c r="A75" s="1149">
        <v>15</v>
      </c>
      <c r="B75" s="3524"/>
      <c r="C75" s="1063" t="s">
        <v>1530</v>
      </c>
      <c r="D75" s="1063" t="s">
        <v>1531</v>
      </c>
      <c r="E75" s="1134">
        <v>0.2</v>
      </c>
      <c r="F75" s="1149">
        <v>30</v>
      </c>
    </row>
    <row r="76" spans="1:6" s="1100" customFormat="1" ht="24">
      <c r="A76" s="1149">
        <v>16</v>
      </c>
      <c r="B76" s="3524" t="s">
        <v>1532</v>
      </c>
      <c r="C76" s="1063" t="s">
        <v>1533</v>
      </c>
      <c r="D76" s="1063" t="s">
        <v>1534</v>
      </c>
      <c r="E76" s="1134">
        <v>0.5</v>
      </c>
      <c r="F76" s="1149">
        <v>80</v>
      </c>
    </row>
    <row r="77" spans="1:6" s="1100" customFormat="1" ht="24">
      <c r="A77" s="1149">
        <v>17</v>
      </c>
      <c r="B77" s="3524"/>
      <c r="C77" s="1063" t="s">
        <v>1535</v>
      </c>
      <c r="D77" s="1063" t="s">
        <v>1536</v>
      </c>
      <c r="E77" s="1134">
        <v>0.5</v>
      </c>
      <c r="F77" s="1149">
        <v>80</v>
      </c>
    </row>
    <row r="78" spans="1:6" s="1100" customFormat="1" ht="24">
      <c r="A78" s="1149">
        <v>18</v>
      </c>
      <c r="B78" s="3524"/>
      <c r="C78" s="1063" t="s">
        <v>1537</v>
      </c>
      <c r="D78" s="1063" t="s">
        <v>1538</v>
      </c>
      <c r="E78" s="1134">
        <v>0.2</v>
      </c>
      <c r="F78" s="1149">
        <v>30</v>
      </c>
    </row>
    <row r="79" spans="1:6" s="1100" customFormat="1" ht="24">
      <c r="A79" s="1149">
        <v>19</v>
      </c>
      <c r="B79" s="3524"/>
      <c r="C79" s="1063" t="s">
        <v>1539</v>
      </c>
      <c r="D79" s="1063" t="s">
        <v>1540</v>
      </c>
      <c r="E79" s="1134">
        <v>0.5</v>
      </c>
      <c r="F79" s="1149">
        <v>80</v>
      </c>
    </row>
    <row r="80" spans="1:6" s="1100" customFormat="1" ht="36">
      <c r="A80" s="1149">
        <v>20</v>
      </c>
      <c r="B80" s="3524"/>
      <c r="C80" s="1063" t="s">
        <v>1541</v>
      </c>
      <c r="D80" s="1063" t="s">
        <v>1542</v>
      </c>
      <c r="E80" s="1134">
        <v>0.2</v>
      </c>
      <c r="F80" s="1149">
        <v>30</v>
      </c>
    </row>
    <row r="81" spans="1:6" s="1100" customFormat="1" ht="36">
      <c r="A81" s="1149">
        <v>21</v>
      </c>
      <c r="B81" s="3524"/>
      <c r="C81" s="1063" t="s">
        <v>1543</v>
      </c>
      <c r="D81" s="1063" t="s">
        <v>1544</v>
      </c>
      <c r="E81" s="1134">
        <v>0.2</v>
      </c>
      <c r="F81" s="1149">
        <v>30</v>
      </c>
    </row>
    <row r="82" spans="1:6" s="1100" customFormat="1" ht="48">
      <c r="A82" s="1149">
        <v>22</v>
      </c>
      <c r="B82" s="3524"/>
      <c r="C82" s="1063" t="s">
        <v>1545</v>
      </c>
      <c r="D82" s="1063" t="s">
        <v>1546</v>
      </c>
      <c r="E82" s="1134">
        <v>0.2</v>
      </c>
      <c r="F82" s="1149">
        <v>30</v>
      </c>
    </row>
    <row r="83" spans="1:6" s="1100" customFormat="1" ht="48">
      <c r="A83" s="1149">
        <v>23</v>
      </c>
      <c r="B83" s="3524"/>
      <c r="C83" s="1063" t="s">
        <v>1547</v>
      </c>
      <c r="D83" s="1063" t="s">
        <v>1548</v>
      </c>
      <c r="E83" s="1134">
        <v>0.2</v>
      </c>
      <c r="F83" s="1149">
        <v>30</v>
      </c>
    </row>
    <row r="84" spans="1:6" s="1100" customFormat="1" ht="36">
      <c r="A84" s="1149">
        <v>24</v>
      </c>
      <c r="B84" s="3524"/>
      <c r="C84" s="1063" t="s">
        <v>1549</v>
      </c>
      <c r="D84" s="1063" t="s">
        <v>1550</v>
      </c>
      <c r="E84" s="1134">
        <v>0.2</v>
      </c>
      <c r="F84" s="1149">
        <v>30</v>
      </c>
    </row>
    <row r="85" spans="1:6" s="1100" customFormat="1" ht="36">
      <c r="A85" s="1149">
        <v>25</v>
      </c>
      <c r="B85" s="3524"/>
      <c r="C85" s="1063" t="s">
        <v>1551</v>
      </c>
      <c r="D85" s="1063" t="s">
        <v>1552</v>
      </c>
      <c r="E85" s="1134">
        <v>0.5</v>
      </c>
      <c r="F85" s="1149">
        <v>80</v>
      </c>
    </row>
    <row r="86" spans="1:6" s="1100" customFormat="1" ht="36">
      <c r="A86" s="1149">
        <v>26</v>
      </c>
      <c r="B86" s="3524"/>
      <c r="C86" s="1063" t="s">
        <v>1553</v>
      </c>
      <c r="D86" s="1063" t="s">
        <v>1554</v>
      </c>
      <c r="E86" s="1134">
        <v>0.2</v>
      </c>
      <c r="F86" s="1149">
        <v>30</v>
      </c>
    </row>
    <row r="87" spans="1:6" s="1100" customFormat="1" ht="36">
      <c r="A87" s="1149">
        <v>27</v>
      </c>
      <c r="B87" s="3524"/>
      <c r="C87" s="1063" t="s">
        <v>1555</v>
      </c>
      <c r="D87" s="1063" t="s">
        <v>1556</v>
      </c>
      <c r="E87" s="1134">
        <v>0.2</v>
      </c>
      <c r="F87" s="1149">
        <v>30</v>
      </c>
    </row>
    <row r="88" spans="1:6" s="1100" customFormat="1" ht="36">
      <c r="A88" s="1149">
        <v>28</v>
      </c>
      <c r="B88" s="3524"/>
      <c r="C88" s="1063" t="s">
        <v>1557</v>
      </c>
      <c r="D88" s="1063" t="s">
        <v>1558</v>
      </c>
      <c r="E88" s="1134">
        <v>0.2</v>
      </c>
      <c r="F88" s="1149">
        <v>30</v>
      </c>
    </row>
    <row r="89" spans="1:6" s="1100" customFormat="1" ht="24">
      <c r="A89" s="1149">
        <v>29</v>
      </c>
      <c r="B89" s="3524"/>
      <c r="C89" s="1063" t="s">
        <v>1559</v>
      </c>
      <c r="D89" s="1063" t="s">
        <v>1560</v>
      </c>
      <c r="E89" s="1134">
        <v>0.2</v>
      </c>
      <c r="F89" s="1149">
        <v>30</v>
      </c>
    </row>
    <row r="90" spans="1:6" s="1100" customFormat="1" ht="24">
      <c r="A90" s="1149">
        <v>30</v>
      </c>
      <c r="B90" s="3524"/>
      <c r="C90" s="1063" t="s">
        <v>1561</v>
      </c>
      <c r="D90" s="1063" t="s">
        <v>1562</v>
      </c>
      <c r="E90" s="1134">
        <v>0.2</v>
      </c>
      <c r="F90" s="1149">
        <v>30</v>
      </c>
    </row>
    <row r="91" spans="1:6" s="1100" customFormat="1" ht="36">
      <c r="A91" s="1149">
        <v>31</v>
      </c>
      <c r="B91" s="3524"/>
      <c r="C91" s="1063" t="s">
        <v>1563</v>
      </c>
      <c r="D91" s="1063" t="s">
        <v>1564</v>
      </c>
      <c r="E91" s="1134">
        <v>0.2</v>
      </c>
      <c r="F91" s="1149">
        <v>30</v>
      </c>
    </row>
    <row r="92" spans="1:6" s="1100" customFormat="1" ht="24">
      <c r="A92" s="1149">
        <v>32</v>
      </c>
      <c r="B92" s="3524" t="s">
        <v>1565</v>
      </c>
      <c r="C92" s="1149" t="s">
        <v>1566</v>
      </c>
      <c r="D92" s="1063" t="s">
        <v>1567</v>
      </c>
      <c r="E92" s="1134">
        <v>0.2</v>
      </c>
      <c r="F92" s="1149">
        <v>30</v>
      </c>
    </row>
    <row r="93" spans="1:6" s="1100" customFormat="1" ht="36">
      <c r="A93" s="1149">
        <v>33</v>
      </c>
      <c r="B93" s="3524"/>
      <c r="C93" s="1149" t="s">
        <v>1568</v>
      </c>
      <c r="D93" s="1063" t="s">
        <v>1569</v>
      </c>
      <c r="E93" s="1134">
        <v>0.2</v>
      </c>
      <c r="F93" s="1149">
        <v>30</v>
      </c>
    </row>
    <row r="94" spans="1:6" s="1100" customFormat="1" ht="48">
      <c r="A94" s="1149">
        <v>34</v>
      </c>
      <c r="B94" s="3524"/>
      <c r="C94" s="1149" t="s">
        <v>1570</v>
      </c>
      <c r="D94" s="1063" t="s">
        <v>1571</v>
      </c>
      <c r="E94" s="1134">
        <v>0.2</v>
      </c>
      <c r="F94" s="1149">
        <v>30</v>
      </c>
    </row>
    <row r="95" spans="1:6" s="1100" customFormat="1" ht="36">
      <c r="A95" s="1149">
        <v>35</v>
      </c>
      <c r="B95" s="3524"/>
      <c r="C95" s="1149" t="s">
        <v>1572</v>
      </c>
      <c r="D95" s="1063" t="s">
        <v>1573</v>
      </c>
      <c r="E95" s="1134">
        <v>0.2</v>
      </c>
      <c r="F95" s="1149">
        <v>30</v>
      </c>
    </row>
    <row r="96" spans="1:6" s="1100" customFormat="1" ht="48">
      <c r="A96" s="1149">
        <v>36</v>
      </c>
      <c r="B96" s="3524"/>
      <c r="C96" s="1063" t="s">
        <v>1574</v>
      </c>
      <c r="D96" s="1063" t="s">
        <v>1575</v>
      </c>
      <c r="E96" s="1134">
        <v>0.2</v>
      </c>
      <c r="F96" s="1149">
        <v>30</v>
      </c>
    </row>
    <row r="97" spans="1:6" s="1100" customFormat="1" ht="36">
      <c r="A97" s="1149">
        <v>37</v>
      </c>
      <c r="B97" s="3524"/>
      <c r="C97" s="1149" t="s">
        <v>1576</v>
      </c>
      <c r="D97" s="1063" t="s">
        <v>1577</v>
      </c>
      <c r="E97" s="1134">
        <v>0.2</v>
      </c>
      <c r="F97" s="1149">
        <v>30</v>
      </c>
    </row>
    <row r="98" spans="1:6" s="1100" customFormat="1" ht="36">
      <c r="A98" s="1149">
        <v>38</v>
      </c>
      <c r="B98" s="3524"/>
      <c r="C98" s="1149" t="s">
        <v>1578</v>
      </c>
      <c r="D98" s="1063" t="s">
        <v>1579</v>
      </c>
      <c r="E98" s="1134">
        <v>0.2</v>
      </c>
      <c r="F98" s="1149">
        <v>30</v>
      </c>
    </row>
    <row r="99" spans="1:6" s="1100" customFormat="1" ht="36">
      <c r="A99" s="1149">
        <v>39</v>
      </c>
      <c r="B99" s="3524" t="s">
        <v>1580</v>
      </c>
      <c r="C99" s="1149" t="s">
        <v>1581</v>
      </c>
      <c r="D99" s="1063" t="s">
        <v>1582</v>
      </c>
      <c r="E99" s="1134">
        <v>0.3</v>
      </c>
      <c r="F99" s="1149">
        <v>50</v>
      </c>
    </row>
    <row r="100" spans="1:6" s="1100" customFormat="1" ht="24">
      <c r="A100" s="1149">
        <v>40</v>
      </c>
      <c r="B100" s="3524"/>
      <c r="C100" s="1149" t="s">
        <v>1583</v>
      </c>
      <c r="D100" s="1063" t="s">
        <v>1584</v>
      </c>
      <c r="E100" s="1134">
        <v>0.2</v>
      </c>
      <c r="F100" s="1149">
        <v>30</v>
      </c>
    </row>
    <row r="101" spans="1:6" s="1100" customFormat="1" ht="36">
      <c r="A101" s="1149">
        <v>41</v>
      </c>
      <c r="B101" s="352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524" t="s">
        <v>1595</v>
      </c>
      <c r="C105" s="1149" t="s">
        <v>1596</v>
      </c>
      <c r="D105" s="1063" t="s">
        <v>1597</v>
      </c>
      <c r="E105" s="1134">
        <v>0.2</v>
      </c>
      <c r="F105" s="1149">
        <v>30</v>
      </c>
    </row>
    <row r="106" spans="1:6" s="1100" customFormat="1" ht="36">
      <c r="A106" s="1149">
        <v>46</v>
      </c>
      <c r="B106" s="3524"/>
      <c r="C106" s="1149" t="s">
        <v>1598</v>
      </c>
      <c r="D106" s="1063" t="s">
        <v>1599</v>
      </c>
      <c r="E106" s="1134">
        <v>0.2</v>
      </c>
      <c r="F106" s="1149">
        <v>30</v>
      </c>
    </row>
    <row r="107" spans="1:6" s="1100" customFormat="1" ht="36">
      <c r="A107" s="1149">
        <v>47</v>
      </c>
      <c r="B107" s="3524" t="s">
        <v>1600</v>
      </c>
      <c r="C107" s="1149" t="s">
        <v>1601</v>
      </c>
      <c r="D107" s="1063" t="s">
        <v>1602</v>
      </c>
      <c r="E107" s="1134">
        <v>0.3</v>
      </c>
      <c r="F107" s="1149">
        <v>50</v>
      </c>
    </row>
    <row r="108" spans="1:6" s="1100" customFormat="1" ht="36">
      <c r="A108" s="1149">
        <v>48</v>
      </c>
      <c r="B108" s="352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524" t="s">
        <v>1611</v>
      </c>
      <c r="C111" s="1149" t="s">
        <v>1612</v>
      </c>
      <c r="D111" s="1063" t="s">
        <v>1613</v>
      </c>
      <c r="E111" s="1134">
        <v>0.2</v>
      </c>
      <c r="F111" s="1149">
        <v>30</v>
      </c>
    </row>
    <row r="112" spans="1:6" s="1100" customFormat="1" ht="24">
      <c r="A112" s="1149">
        <v>52</v>
      </c>
      <c r="B112" s="3524"/>
      <c r="C112" s="1149" t="s">
        <v>1614</v>
      </c>
      <c r="D112" s="1063" t="s">
        <v>1615</v>
      </c>
      <c r="E112" s="1134">
        <v>0.2</v>
      </c>
      <c r="F112" s="1149">
        <v>30</v>
      </c>
    </row>
    <row r="113" spans="1:14" s="1100" customFormat="1" ht="24">
      <c r="A113" s="1149">
        <v>53</v>
      </c>
      <c r="B113" s="352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524" t="s">
        <v>1624</v>
      </c>
      <c r="C116" s="1149" t="s">
        <v>1625</v>
      </c>
      <c r="D116" s="1063" t="s">
        <v>1626</v>
      </c>
      <c r="E116" s="1134">
        <v>0.2</v>
      </c>
      <c r="F116" s="1149">
        <v>30</v>
      </c>
    </row>
    <row r="117" spans="1:14" ht="36">
      <c r="A117" s="1149">
        <v>57</v>
      </c>
      <c r="B117" s="352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523" t="s">
        <v>1633</v>
      </c>
      <c r="B121" s="3523"/>
      <c r="C121" s="3523"/>
      <c r="D121" s="3523"/>
      <c r="E121" s="3523"/>
      <c r="F121" s="3523"/>
      <c r="G121" s="3523"/>
      <c r="H121" s="3523"/>
      <c r="I121" s="3523"/>
      <c r="J121" s="352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528" t="s">
        <v>1039</v>
      </c>
      <c r="B1" s="3528"/>
      <c r="C1" s="3528"/>
      <c r="D1" s="3528"/>
      <c r="E1" s="3528"/>
      <c r="F1" s="352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529" t="s">
        <v>1052</v>
      </c>
      <c r="B2" s="3529"/>
      <c r="C2" s="3529"/>
      <c r="D2" s="3529"/>
      <c r="E2" s="3529"/>
      <c r="F2" s="352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3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3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532" t="s">
        <v>2077</v>
      </c>
      <c r="B1" s="3532"/>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24.75" thickBot="1">
      <c r="A72" s="1840" t="s">
        <v>925</v>
      </c>
      <c r="B72" s="1844" t="s">
        <v>2091</v>
      </c>
      <c r="C72" s="1854"/>
      <c r="D72" s="1854"/>
      <c r="E72" s="1854"/>
      <c r="F72" s="1846">
        <v>0.05</v>
      </c>
    </row>
    <row r="73" spans="1:6" ht="24.75" thickBot="1">
      <c r="A73" s="1840" t="s">
        <v>925</v>
      </c>
      <c r="B73" s="1844" t="s">
        <v>2092</v>
      </c>
      <c r="C73" s="1854"/>
      <c r="D73" s="1854"/>
      <c r="E73" s="1854"/>
      <c r="F73" s="1846">
        <v>0.05</v>
      </c>
    </row>
    <row r="74" spans="1:6" ht="24.75" thickBot="1">
      <c r="A74" s="1840" t="s">
        <v>925</v>
      </c>
      <c r="B74" s="1844" t="s">
        <v>2093</v>
      </c>
      <c r="C74" s="1854"/>
      <c r="D74" s="1854"/>
      <c r="E74" s="1854"/>
      <c r="F74" s="1846">
        <v>0.05</v>
      </c>
    </row>
    <row r="75" spans="1:6" ht="24.7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24.7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24.7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中诚信托有限责任公司：</v>
      </c>
    </row>
    <row r="4" spans="1:4" ht="37.5">
      <c r="A4" s="1776" t="str">
        <f>"受贵公司委托，我公司对"&amp;项目基本情况!K2&amp;项目基本情况!B9&amp;"进行了预评估。"</f>
        <v>受贵公司委托，我公司对山西省太原市尖草坪区三给片区一宗住宅、商业、地下车库及科教用地出让国有建设用地使用权抵押价格进行了预评估。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太原旭凰房地产开发有限公司使用的、位于山西省太原市尖草坪区三给片区一宗住宅、商业、地下车库及科教用地出让国有建设用地使用权。根据《国有土地使用证》[]，估价对象（分摊）出让国有建设用地使用权面积为161741.64平方米。根据《建设工程规划许可证》[]、《出让合同》[]，估价对象规划建筑面积为760592.92平方米。</v>
      </c>
    </row>
    <row r="7" spans="1:4" ht="56.25">
      <c r="A7" s="1780" t="s">
        <v>2743</v>
      </c>
    </row>
    <row r="8" spans="1:4" ht="18.75">
      <c r="A8" s="1779" t="s">
        <v>1906</v>
      </c>
    </row>
    <row r="9" spans="1:4" ht="93.75">
      <c r="A9" s="1781" t="str">
        <f>IF(项目基本情况!B8="抵押",IF(项目基本情况!B5=项目基本情况!B6,定义!C51,定义!B51),定义!D51)</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2019年6月5日（评估专业人员勘察现场之日）</v>
      </c>
    </row>
    <row r="12" spans="1:4" ht="18.75">
      <c r="A12" s="1782" t="s">
        <v>2023</v>
      </c>
    </row>
    <row r="13" spans="1:4" ht="18.75">
      <c r="A13" s="1776" t="s">
        <v>2937</v>
      </c>
    </row>
    <row r="14" spans="1:4" ht="37.5">
      <c r="A14" s="1776" t="str">
        <f>"根据"&amp;项目基本情况!F12&amp;"，本次评估估价对象证载（地类）用途为"&amp;项目基本情况!B12&amp;"。"</f>
        <v>根据《不动产权证书》[晋（2019）太原市不动产权第0053440号]，本次评估估价对象证载（地类）用途为城镇住宅用地。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本次评估设定用途即为证载用途住宅、商业、地下车库及科教。</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根据《国有土地使用证》[]，估价对象（分摊）出让国有建设用地使用权面积为161741.64平方米。根据《建设工程规划许可证》[]、《出让合同》[]，估价对象规划建筑面积为760592.92平方米。</v>
      </c>
    </row>
    <row r="21" spans="1:1" ht="18.75">
      <c r="A21" s="1776" t="s">
        <v>2072</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晋（2019）太原市不动产权第0053440号]证载土地终止日期为住宅2089年5月7日、商业2059年5月7日、办公2059年5月7日、车库2069年5月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40" t="s">
        <v>2573</v>
      </c>
      <c r="C1" s="3540"/>
      <c r="D1" s="3540"/>
      <c r="E1" s="3540"/>
      <c r="F1" s="3540"/>
      <c r="G1" s="3539" t="s">
        <v>2574</v>
      </c>
      <c r="H1" s="3539"/>
      <c r="I1" s="3539"/>
      <c r="J1" s="3539"/>
      <c r="K1" s="3539"/>
      <c r="L1" s="3539"/>
      <c r="N1" s="3539" t="s">
        <v>2575</v>
      </c>
      <c r="O1" s="3539"/>
      <c r="P1" s="3539"/>
      <c r="Q1" s="3539"/>
      <c r="R1" s="2618"/>
      <c r="S1" s="3539" t="s">
        <v>2576</v>
      </c>
      <c r="T1" s="3539"/>
      <c r="U1" s="3539"/>
      <c r="V1" s="3539"/>
      <c r="X1" s="3538" t="s">
        <v>2636</v>
      </c>
      <c r="Y1" s="3539"/>
      <c r="Z1" s="3539"/>
      <c r="AA1" s="3539"/>
      <c r="AB1" s="3539"/>
      <c r="AD1" s="3538" t="s">
        <v>2640</v>
      </c>
      <c r="AE1" s="3539"/>
      <c r="AF1" s="3539"/>
      <c r="AG1" s="3539"/>
      <c r="AH1" s="3539"/>
    </row>
    <row r="2" spans="1:34" s="2719" customFormat="1" ht="14.25" thickBot="1">
      <c r="B2" s="2727" t="s">
        <v>2577</v>
      </c>
      <c r="C2" s="2727" t="s">
        <v>2638</v>
      </c>
      <c r="D2" s="2720" t="s">
        <v>1644</v>
      </c>
      <c r="E2" s="2720" t="s">
        <v>1949</v>
      </c>
      <c r="F2" s="2727" t="s">
        <v>2639</v>
      </c>
      <c r="G2" s="2723"/>
      <c r="H2" s="2722"/>
      <c r="I2" s="2727" t="s">
        <v>2952</v>
      </c>
      <c r="J2" s="2720" t="s">
        <v>2954</v>
      </c>
      <c r="K2" s="2720" t="s">
        <v>2955</v>
      </c>
      <c r="L2" s="2727" t="s">
        <v>2956</v>
      </c>
      <c r="N2" s="2727" t="s">
        <v>2577</v>
      </c>
      <c r="O2" s="2720" t="s">
        <v>2953</v>
      </c>
      <c r="P2" s="2720" t="s">
        <v>1949</v>
      </c>
      <c r="Q2" s="2727" t="s">
        <v>2639</v>
      </c>
      <c r="R2" s="2721"/>
      <c r="S2" s="2727" t="s">
        <v>2577</v>
      </c>
      <c r="T2" s="2720" t="s">
        <v>2953</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3" customFormat="1" ht="14.25">
      <c r="A3" s="3095" t="s">
        <v>2965</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2988</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2966</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2989</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2985</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534">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2975</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534"/>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2976</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534"/>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2972</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535"/>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2963</v>
      </c>
      <c r="B11" s="3097">
        <v>439</v>
      </c>
      <c r="C11" s="3097">
        <v>327</v>
      </c>
      <c r="D11" s="3097">
        <f t="shared" si="54"/>
        <v>327</v>
      </c>
      <c r="E11" s="3097">
        <v>627</v>
      </c>
      <c r="F11" s="3098">
        <v>283</v>
      </c>
      <c r="G11" s="3533">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2967</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534"/>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2578</v>
      </c>
      <c r="B13" s="2632">
        <f t="shared" si="66"/>
        <v>419.31181600000002</v>
      </c>
      <c r="C13" s="2632">
        <f t="shared" si="66"/>
        <v>313.95436800000004</v>
      </c>
      <c r="D13" s="2632">
        <f t="shared" si="54"/>
        <v>313.95436800000004</v>
      </c>
      <c r="E13" s="2632">
        <f t="shared" si="67"/>
        <v>596.63028431999999</v>
      </c>
      <c r="F13" s="2632">
        <f t="shared" si="67"/>
        <v>274.74220703999998</v>
      </c>
      <c r="G13" s="3534"/>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2579</v>
      </c>
      <c r="B14" s="2632">
        <f t="shared" si="66"/>
        <v>405.524</v>
      </c>
      <c r="C14" s="2632">
        <f t="shared" si="66"/>
        <v>307.79840000000002</v>
      </c>
      <c r="D14" s="2632">
        <f t="shared" si="54"/>
        <v>307.79840000000002</v>
      </c>
      <c r="E14" s="2632">
        <f t="shared" si="67"/>
        <v>574.67759999999998</v>
      </c>
      <c r="F14" s="2632">
        <f t="shared" si="67"/>
        <v>270.20280000000002</v>
      </c>
      <c r="G14" s="3535"/>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533">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534"/>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534"/>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537"/>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536">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534"/>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534"/>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537"/>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536">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534"/>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534"/>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537"/>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2637</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2580</v>
      </c>
      <c r="B27" s="2624">
        <v>299</v>
      </c>
      <c r="C27" s="2624">
        <v>252</v>
      </c>
      <c r="D27" s="2624">
        <f t="shared" si="76"/>
        <v>252</v>
      </c>
      <c r="E27" s="2624">
        <v>409</v>
      </c>
      <c r="F27" s="2625">
        <v>227</v>
      </c>
      <c r="G27" s="3541">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2581</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542"/>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2582</v>
      </c>
      <c r="B29" s="2632">
        <f t="shared" si="85"/>
        <v>288.2649053828776</v>
      </c>
      <c r="C29" s="2632">
        <f t="shared" si="85"/>
        <v>243.64564425013293</v>
      </c>
      <c r="D29" s="2632">
        <f t="shared" si="76"/>
        <v>243.64564425013293</v>
      </c>
      <c r="E29" s="2632">
        <f t="shared" si="86"/>
        <v>393.31080825986544</v>
      </c>
      <c r="F29" s="2632">
        <f t="shared" si="86"/>
        <v>223.07903790551154</v>
      </c>
      <c r="G29" s="3542"/>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2583</v>
      </c>
      <c r="B30" s="2632">
        <f t="shared" si="85"/>
        <v>282.50186729015837</v>
      </c>
      <c r="C30" s="2632">
        <f t="shared" si="85"/>
        <v>238.09796174155468</v>
      </c>
      <c r="D30" s="2632">
        <f t="shared" si="76"/>
        <v>238.09796174155468</v>
      </c>
      <c r="E30" s="2632">
        <f t="shared" si="86"/>
        <v>385.33438646014054</v>
      </c>
      <c r="F30" s="2632">
        <f t="shared" si="86"/>
        <v>221.55034055567739</v>
      </c>
      <c r="G30" s="3543"/>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2584</v>
      </c>
      <c r="B31" s="2662">
        <v>278</v>
      </c>
      <c r="C31" s="2662">
        <v>234</v>
      </c>
      <c r="D31" s="2662">
        <f t="shared" si="76"/>
        <v>234</v>
      </c>
      <c r="E31" s="2662">
        <v>379</v>
      </c>
      <c r="F31" s="2663">
        <v>220</v>
      </c>
      <c r="G31" s="3536">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2585</v>
      </c>
      <c r="B32" s="2632">
        <f>B31/(1+N31)</f>
        <v>275.49301357645425</v>
      </c>
      <c r="C32" s="2632">
        <f>C31/(1+O31)</f>
        <v>232.41954707985698</v>
      </c>
      <c r="D32" s="2632">
        <f t="shared" si="76"/>
        <v>232.41954707985698</v>
      </c>
      <c r="E32" s="2632">
        <f t="shared" ref="E32:F34" si="87">E31/(1+P31)</f>
        <v>375.32184591008121</v>
      </c>
      <c r="F32" s="2632">
        <f t="shared" si="87"/>
        <v>218.03766105054513</v>
      </c>
      <c r="G32" s="3534"/>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2586</v>
      </c>
      <c r="B33" s="2632">
        <f>B32/(1+N32)</f>
        <v>275.24529281292263</v>
      </c>
      <c r="C33" s="2632">
        <f>C32/(1+O32)</f>
        <v>231.74747938962707</v>
      </c>
      <c r="D33" s="2632">
        <f t="shared" si="76"/>
        <v>231.74747938962707</v>
      </c>
      <c r="E33" s="2632">
        <f t="shared" si="87"/>
        <v>375.35938184826603</v>
      </c>
      <c r="F33" s="2632">
        <f t="shared" si="87"/>
        <v>216.78033510692495</v>
      </c>
      <c r="G33" s="3534"/>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2587</v>
      </c>
      <c r="B34" s="2632">
        <f>B33/(1+N33)</f>
        <v>275.19025476197027</v>
      </c>
      <c r="C34" s="2664">
        <v>232</v>
      </c>
      <c r="D34" s="2664">
        <f t="shared" si="76"/>
        <v>232</v>
      </c>
      <c r="E34" s="2632">
        <f t="shared" si="87"/>
        <v>375.65990977608692</v>
      </c>
      <c r="F34" s="2632">
        <f t="shared" si="87"/>
        <v>214.12518283971252</v>
      </c>
      <c r="G34" s="3537"/>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2588</v>
      </c>
      <c r="B35" s="2624">
        <v>275</v>
      </c>
      <c r="C35" s="2624">
        <v>232</v>
      </c>
      <c r="D35" s="2624">
        <f t="shared" si="76"/>
        <v>232</v>
      </c>
      <c r="E35" s="2624">
        <v>376</v>
      </c>
      <c r="F35" s="2625">
        <v>213</v>
      </c>
      <c r="G35" s="3536">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2589</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534">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2590</v>
      </c>
      <c r="B37" s="2632">
        <f t="shared" si="88"/>
        <v>275.19335084830601</v>
      </c>
      <c r="C37" s="2632">
        <f t="shared" si="88"/>
        <v>230.18088050139744</v>
      </c>
      <c r="D37" s="2632">
        <f t="shared" si="76"/>
        <v>230.18088050139744</v>
      </c>
      <c r="E37" s="2632">
        <f t="shared" si="89"/>
        <v>377.58482925212331</v>
      </c>
      <c r="F37" s="2632">
        <f t="shared" si="89"/>
        <v>210.90687997847917</v>
      </c>
      <c r="G37" s="3534">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2591</v>
      </c>
      <c r="B38" s="2632">
        <f t="shared" si="88"/>
        <v>276.29854502841971</v>
      </c>
      <c r="C38" s="2632">
        <f t="shared" si="88"/>
        <v>229.79023709833027</v>
      </c>
      <c r="D38" s="2632">
        <f t="shared" si="76"/>
        <v>229.79023709833027</v>
      </c>
      <c r="E38" s="2632">
        <f t="shared" si="89"/>
        <v>379.78759731655936</v>
      </c>
      <c r="F38" s="2632">
        <f t="shared" si="89"/>
        <v>211.32953905659235</v>
      </c>
      <c r="G38" s="3537">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2592</v>
      </c>
      <c r="B39" s="2624">
        <v>269</v>
      </c>
      <c r="C39" s="2624">
        <v>221</v>
      </c>
      <c r="D39" s="2624">
        <f t="shared" si="76"/>
        <v>221</v>
      </c>
      <c r="E39" s="2624">
        <v>373</v>
      </c>
      <c r="F39" s="2625">
        <v>196</v>
      </c>
      <c r="G39" s="3536">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2593</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534">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2594</v>
      </c>
      <c r="B41" s="2632">
        <f t="shared" si="90"/>
        <v>242.95398227588385</v>
      </c>
      <c r="C41" s="2632">
        <f t="shared" si="90"/>
        <v>199.59137053614126</v>
      </c>
      <c r="D41" s="2632">
        <f t="shared" si="76"/>
        <v>199.59137053614126</v>
      </c>
      <c r="E41" s="2632">
        <f t="shared" si="91"/>
        <v>335.92189522342125</v>
      </c>
      <c r="F41" s="2632">
        <f t="shared" si="91"/>
        <v>183.10139991109489</v>
      </c>
      <c r="G41" s="3534">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2595</v>
      </c>
      <c r="B42" s="2632">
        <f t="shared" si="90"/>
        <v>232.06990378821649</v>
      </c>
      <c r="C42" s="2632">
        <f t="shared" si="90"/>
        <v>192.74878854286936</v>
      </c>
      <c r="D42" s="2632">
        <f t="shared" si="76"/>
        <v>192.74878854286936</v>
      </c>
      <c r="E42" s="2632">
        <f t="shared" si="91"/>
        <v>319.71247284992984</v>
      </c>
      <c r="F42" s="2632">
        <f t="shared" si="91"/>
        <v>175.67053622862409</v>
      </c>
      <c r="G42" s="3537">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2596</v>
      </c>
      <c r="B43" s="2624">
        <v>220</v>
      </c>
      <c r="C43" s="2624">
        <v>187</v>
      </c>
      <c r="D43" s="2624">
        <f t="shared" si="76"/>
        <v>187</v>
      </c>
      <c r="E43" s="2624">
        <v>301</v>
      </c>
      <c r="F43" s="2625">
        <v>168</v>
      </c>
      <c r="G43" s="3536">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2597</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534">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2598</v>
      </c>
      <c r="B45" s="2632">
        <f t="shared" si="92"/>
        <v>210.630522469011</v>
      </c>
      <c r="C45" s="2632">
        <f t="shared" si="92"/>
        <v>181.69567812247232</v>
      </c>
      <c r="D45" s="2632">
        <f t="shared" si="76"/>
        <v>181.69567812247232</v>
      </c>
      <c r="E45" s="2632">
        <f t="shared" si="93"/>
        <v>286.13517466736738</v>
      </c>
      <c r="F45" s="2632">
        <f t="shared" si="93"/>
        <v>165.47535084591149</v>
      </c>
      <c r="G45" s="3534">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2599</v>
      </c>
      <c r="B46" s="2632">
        <f t="shared" si="92"/>
        <v>208.83454537875372</v>
      </c>
      <c r="C46" s="2632">
        <f t="shared" si="92"/>
        <v>183.77230517090351</v>
      </c>
      <c r="D46" s="2632">
        <f t="shared" si="76"/>
        <v>183.77230517090351</v>
      </c>
      <c r="E46" s="2632">
        <f t="shared" si="93"/>
        <v>281.10342338870947</v>
      </c>
      <c r="F46" s="2632">
        <f t="shared" si="93"/>
        <v>168.97309388942256</v>
      </c>
      <c r="G46" s="3537">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2600</v>
      </c>
      <c r="B47" s="2662">
        <v>214</v>
      </c>
      <c r="C47" s="2662">
        <v>188</v>
      </c>
      <c r="D47" s="2662">
        <f t="shared" si="76"/>
        <v>188</v>
      </c>
      <c r="E47" s="2662">
        <v>289</v>
      </c>
      <c r="F47" s="2663">
        <v>166</v>
      </c>
      <c r="G47" s="3536">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2601</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534">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2602</v>
      </c>
      <c r="B49" s="2632">
        <f t="shared" si="94"/>
        <v>206.31694671589116</v>
      </c>
      <c r="C49" s="2632">
        <f t="shared" si="94"/>
        <v>183.61041121036101</v>
      </c>
      <c r="D49" s="2632">
        <f t="shared" si="76"/>
        <v>183.61041121036101</v>
      </c>
      <c r="E49" s="2632">
        <f t="shared" si="95"/>
        <v>276.66850301795557</v>
      </c>
      <c r="F49" s="2632">
        <f t="shared" si="95"/>
        <v>165.1360938278614</v>
      </c>
      <c r="G49" s="3534">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2603</v>
      </c>
      <c r="B50" s="2665">
        <f t="shared" si="94"/>
        <v>196.62341248059772</v>
      </c>
      <c r="C50" s="2665">
        <f t="shared" si="94"/>
        <v>170.99125648199012</v>
      </c>
      <c r="D50" s="2665">
        <f t="shared" si="76"/>
        <v>170.99125648199012</v>
      </c>
      <c r="E50" s="2665">
        <f t="shared" si="95"/>
        <v>266.07857570490052</v>
      </c>
      <c r="F50" s="2665">
        <f t="shared" si="95"/>
        <v>154.53499328828505</v>
      </c>
      <c r="G50" s="3537">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2604</v>
      </c>
      <c r="B51" s="2624">
        <v>188</v>
      </c>
      <c r="C51" s="2624">
        <v>165</v>
      </c>
      <c r="D51" s="2624">
        <f t="shared" si="76"/>
        <v>165</v>
      </c>
      <c r="E51" s="2624">
        <v>254</v>
      </c>
      <c r="F51" s="2625">
        <v>148</v>
      </c>
      <c r="G51" s="3536">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2605</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534">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2606</v>
      </c>
      <c r="B53" s="2632">
        <f t="shared" si="98"/>
        <v>168.82017748715555</v>
      </c>
      <c r="C53" s="2632">
        <f t="shared" si="98"/>
        <v>148.06267029972753</v>
      </c>
      <c r="D53" s="2632">
        <f t="shared" si="76"/>
        <v>148.06267029972753</v>
      </c>
      <c r="E53" s="2632">
        <f t="shared" si="99"/>
        <v>216.46288379323747</v>
      </c>
      <c r="F53" s="2632">
        <f t="shared" si="99"/>
        <v>134.23529411764704</v>
      </c>
      <c r="G53" s="3534">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2607</v>
      </c>
      <c r="B54" s="2632">
        <f t="shared" si="98"/>
        <v>163.84913591779542</v>
      </c>
      <c r="C54" s="2632">
        <f t="shared" si="98"/>
        <v>145.0283378746594</v>
      </c>
      <c r="D54" s="2632">
        <f t="shared" si="76"/>
        <v>145.0283378746594</v>
      </c>
      <c r="E54" s="2632">
        <f t="shared" si="99"/>
        <v>204.95180722891567</v>
      </c>
      <c r="F54" s="2632">
        <f t="shared" si="99"/>
        <v>125.95920303605313</v>
      </c>
      <c r="G54" s="3537">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2608</v>
      </c>
      <c r="B55" s="2646">
        <v>159</v>
      </c>
      <c r="C55" s="2646">
        <v>141</v>
      </c>
      <c r="D55" s="2646">
        <f t="shared" si="76"/>
        <v>141</v>
      </c>
      <c r="E55" s="2646">
        <v>195</v>
      </c>
      <c r="F55" s="2647">
        <v>122</v>
      </c>
      <c r="G55" s="3536">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2609</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534">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2610</v>
      </c>
      <c r="B57" s="2632">
        <f t="shared" si="102"/>
        <v>146.57412060301507</v>
      </c>
      <c r="C57" s="2632">
        <f t="shared" si="102"/>
        <v>136.46831955922866</v>
      </c>
      <c r="D57" s="2632">
        <f t="shared" si="76"/>
        <v>136.46831955922866</v>
      </c>
      <c r="E57" s="2632">
        <f t="shared" si="103"/>
        <v>166.73864894795128</v>
      </c>
      <c r="F57" s="2632">
        <f t="shared" si="103"/>
        <v>115.05882352941177</v>
      </c>
      <c r="G57" s="3534">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2611</v>
      </c>
      <c r="B58" s="2632">
        <f t="shared" si="102"/>
        <v>144.04145728643215</v>
      </c>
      <c r="C58" s="2632">
        <f t="shared" si="102"/>
        <v>136.12396694214877</v>
      </c>
      <c r="D58" s="2632">
        <f t="shared" si="76"/>
        <v>136.12396694214877</v>
      </c>
      <c r="E58" s="2632">
        <f t="shared" si="103"/>
        <v>158.32225913621264</v>
      </c>
      <c r="F58" s="2632">
        <f t="shared" si="103"/>
        <v>114.04278074866311</v>
      </c>
      <c r="G58" s="3537">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2612</v>
      </c>
      <c r="B59" s="2646">
        <v>138</v>
      </c>
      <c r="C59" s="2646">
        <v>131</v>
      </c>
      <c r="D59" s="2646">
        <f t="shared" si="76"/>
        <v>131</v>
      </c>
      <c r="E59" s="2646">
        <v>155</v>
      </c>
      <c r="F59" s="2647">
        <v>114</v>
      </c>
      <c r="G59" s="3536">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2613</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534">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2614</v>
      </c>
      <c r="B61" s="2632">
        <f t="shared" si="106"/>
        <v>124.29032258064517</v>
      </c>
      <c r="C61" s="2632">
        <f t="shared" si="106"/>
        <v>123.8968609865471</v>
      </c>
      <c r="D61" s="2632">
        <f t="shared" si="76"/>
        <v>123.8968609865471</v>
      </c>
      <c r="E61" s="2632">
        <f t="shared" si="107"/>
        <v>138.00507614213197</v>
      </c>
      <c r="F61" s="2632">
        <f t="shared" si="107"/>
        <v>107.96106557377048</v>
      </c>
      <c r="G61" s="3534">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2615</v>
      </c>
      <c r="B62" s="2632">
        <f t="shared" si="106"/>
        <v>122.57204301075269</v>
      </c>
      <c r="C62" s="2632">
        <f t="shared" si="106"/>
        <v>123.4932735426009</v>
      </c>
      <c r="D62" s="2632">
        <f t="shared" si="76"/>
        <v>123.4932735426009</v>
      </c>
      <c r="E62" s="2632">
        <f t="shared" si="107"/>
        <v>129.82233502538071</v>
      </c>
      <c r="F62" s="2632">
        <f t="shared" si="107"/>
        <v>107.39446721311475</v>
      </c>
      <c r="G62" s="3537">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2616</v>
      </c>
      <c r="B63" s="2662">
        <v>121</v>
      </c>
      <c r="C63" s="2662">
        <v>122</v>
      </c>
      <c r="D63" s="2662">
        <f t="shared" si="76"/>
        <v>122</v>
      </c>
      <c r="E63" s="2662">
        <v>124</v>
      </c>
      <c r="F63" s="2663">
        <v>107</v>
      </c>
      <c r="G63" s="3536">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2617</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534">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2618</v>
      </c>
      <c r="B65" s="2632">
        <f t="shared" si="110"/>
        <v>116.99099099099099</v>
      </c>
      <c r="C65" s="2632">
        <f t="shared" si="110"/>
        <v>118.84848484848486</v>
      </c>
      <c r="D65" s="2632">
        <f t="shared" si="76"/>
        <v>118.84848484848486</v>
      </c>
      <c r="E65" s="2632">
        <f t="shared" si="111"/>
        <v>117.60960960960961</v>
      </c>
      <c r="F65" s="2632">
        <f t="shared" si="111"/>
        <v>104</v>
      </c>
      <c r="G65" s="3534">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2619</v>
      </c>
      <c r="B66" s="2665">
        <f t="shared" si="110"/>
        <v>112.48648648648648</v>
      </c>
      <c r="C66" s="2665">
        <f t="shared" si="110"/>
        <v>115.21212121212122</v>
      </c>
      <c r="D66" s="2665">
        <f t="shared" si="76"/>
        <v>115.21212121212122</v>
      </c>
      <c r="E66" s="2665">
        <f t="shared" si="111"/>
        <v>110.4024024024024</v>
      </c>
      <c r="F66" s="2665">
        <f t="shared" si="111"/>
        <v>104</v>
      </c>
      <c r="G66" s="3537">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2620</v>
      </c>
      <c r="B67" s="2683">
        <v>111</v>
      </c>
      <c r="C67" s="2683">
        <v>114</v>
      </c>
      <c r="D67" s="2683">
        <f t="shared" si="76"/>
        <v>114</v>
      </c>
      <c r="E67" s="2683">
        <v>108</v>
      </c>
      <c r="F67" s="2684">
        <v>104</v>
      </c>
      <c r="G67" s="3536">
        <v>2003</v>
      </c>
      <c r="H67" s="2673">
        <v>4</v>
      </c>
      <c r="I67" s="2685"/>
      <c r="J67" s="2685"/>
      <c r="K67" s="2685"/>
      <c r="L67" s="2685"/>
      <c r="N67" s="2686"/>
      <c r="O67" s="2685"/>
      <c r="P67" s="2685"/>
      <c r="Q67" s="2685"/>
      <c r="S67" s="2686"/>
      <c r="T67" s="2685"/>
      <c r="U67" s="2685"/>
      <c r="V67" s="2685"/>
      <c r="X67" s="2677"/>
      <c r="Y67" s="2677"/>
      <c r="Z67" s="2677"/>
    </row>
    <row r="68" spans="1:26">
      <c r="A68" s="2619" t="s">
        <v>2621</v>
      </c>
      <c r="B68" s="2687">
        <f t="shared" ref="B68:C70" si="112">B69+(B$67-B$71)/4</f>
        <v>109.75</v>
      </c>
      <c r="C68" s="2687">
        <f t="shared" si="112"/>
        <v>112.25</v>
      </c>
      <c r="D68" s="2687">
        <f t="shared" si="76"/>
        <v>112.25</v>
      </c>
      <c r="E68" s="2687">
        <f t="shared" ref="E68:F70" si="113">E69+(E$67-E$71)/4</f>
        <v>107.25</v>
      </c>
      <c r="F68" s="2687">
        <f t="shared" si="113"/>
        <v>103.5</v>
      </c>
      <c r="G68" s="3534">
        <v>2003</v>
      </c>
      <c r="H68" s="2643">
        <v>3</v>
      </c>
      <c r="I68" s="2685"/>
      <c r="J68" s="2685"/>
      <c r="K68" s="2685"/>
      <c r="L68" s="2685"/>
      <c r="X68" s="2677"/>
      <c r="Y68" s="2677"/>
      <c r="Z68" s="2677"/>
    </row>
    <row r="69" spans="1:26">
      <c r="A69" s="2619" t="s">
        <v>2622</v>
      </c>
      <c r="B69" s="2687">
        <f t="shared" si="112"/>
        <v>108.5</v>
      </c>
      <c r="C69" s="2687">
        <f t="shared" si="112"/>
        <v>110.5</v>
      </c>
      <c r="D69" s="2687">
        <f t="shared" si="76"/>
        <v>110.5</v>
      </c>
      <c r="E69" s="2687">
        <f t="shared" si="113"/>
        <v>106.5</v>
      </c>
      <c r="F69" s="2687">
        <f t="shared" si="113"/>
        <v>103</v>
      </c>
      <c r="G69" s="3534">
        <v>2003</v>
      </c>
      <c r="H69" s="2623">
        <v>2</v>
      </c>
      <c r="I69" s="2685"/>
      <c r="J69" s="2685"/>
      <c r="K69" s="2685"/>
      <c r="L69" s="2685"/>
      <c r="X69" s="2677"/>
      <c r="Y69" s="2677"/>
      <c r="Z69" s="2677"/>
    </row>
    <row r="70" spans="1:26" ht="13.5" thickBot="1">
      <c r="A70" s="2619" t="s">
        <v>2623</v>
      </c>
      <c r="B70" s="2687">
        <f t="shared" si="112"/>
        <v>107.25</v>
      </c>
      <c r="C70" s="2687">
        <f t="shared" si="112"/>
        <v>108.75</v>
      </c>
      <c r="D70" s="2687">
        <f t="shared" si="76"/>
        <v>108.75</v>
      </c>
      <c r="E70" s="2687">
        <f t="shared" si="113"/>
        <v>105.75</v>
      </c>
      <c r="F70" s="2687">
        <f t="shared" si="113"/>
        <v>102.5</v>
      </c>
      <c r="G70" s="3537">
        <v>2003</v>
      </c>
      <c r="H70" s="2688">
        <v>1</v>
      </c>
      <c r="I70" s="2685"/>
      <c r="J70" s="2685"/>
      <c r="K70" s="2685"/>
      <c r="L70" s="2685"/>
      <c r="S70" s="2627"/>
      <c r="T70" s="2628"/>
      <c r="U70" s="2628"/>
      <c r="X70" s="2677"/>
      <c r="Y70" s="2677"/>
      <c r="Z70" s="2677"/>
    </row>
    <row r="71" spans="1:26" ht="13.5" thickBot="1">
      <c r="A71" s="2619" t="s">
        <v>2624</v>
      </c>
      <c r="B71" s="2689">
        <v>106</v>
      </c>
      <c r="C71" s="2689">
        <v>107</v>
      </c>
      <c r="D71" s="2689">
        <f t="shared" si="76"/>
        <v>107</v>
      </c>
      <c r="E71" s="2689">
        <v>105</v>
      </c>
      <c r="F71" s="2690">
        <v>102</v>
      </c>
      <c r="G71" s="3536">
        <v>2002</v>
      </c>
      <c r="H71" s="2638">
        <v>4</v>
      </c>
      <c r="I71" s="2685"/>
      <c r="J71" s="2685"/>
      <c r="K71" s="2685"/>
      <c r="L71" s="2685"/>
      <c r="N71" s="2686"/>
      <c r="O71" s="2685"/>
      <c r="P71" s="2685"/>
      <c r="Q71" s="2685"/>
      <c r="S71" s="2686"/>
      <c r="T71" s="2685"/>
      <c r="U71" s="2685"/>
      <c r="V71" s="2685"/>
      <c r="X71" s="2677"/>
      <c r="Y71" s="2677"/>
      <c r="Z71" s="2677"/>
    </row>
    <row r="72" spans="1:26">
      <c r="A72" s="2619" t="s">
        <v>2625</v>
      </c>
      <c r="B72" s="2687">
        <f t="shared" ref="B72:C74" si="114">B73+(B$71-B$75)/4</f>
        <v>105</v>
      </c>
      <c r="C72" s="2687">
        <f t="shared" si="114"/>
        <v>106</v>
      </c>
      <c r="D72" s="2687">
        <f t="shared" si="76"/>
        <v>106</v>
      </c>
      <c r="E72" s="2687">
        <f t="shared" ref="E72:F74" si="115">E73+(E$71-E$75)/4</f>
        <v>104.5</v>
      </c>
      <c r="F72" s="2687">
        <f t="shared" si="115"/>
        <v>101.5</v>
      </c>
      <c r="G72" s="3534">
        <v>2002</v>
      </c>
      <c r="H72" s="2643">
        <v>3</v>
      </c>
      <c r="I72" s="2685"/>
      <c r="J72" s="2685"/>
      <c r="K72" s="2685"/>
      <c r="L72" s="2685"/>
      <c r="X72" s="2677"/>
      <c r="Y72" s="2677"/>
      <c r="Z72" s="2677"/>
    </row>
    <row r="73" spans="1:26">
      <c r="A73" s="2619" t="s">
        <v>2626</v>
      </c>
      <c r="B73" s="2687">
        <f t="shared" si="114"/>
        <v>104</v>
      </c>
      <c r="C73" s="2687">
        <f t="shared" si="114"/>
        <v>105</v>
      </c>
      <c r="D73" s="2687">
        <f t="shared" si="76"/>
        <v>105</v>
      </c>
      <c r="E73" s="2687">
        <f t="shared" si="115"/>
        <v>104</v>
      </c>
      <c r="F73" s="2687">
        <f t="shared" si="115"/>
        <v>101</v>
      </c>
      <c r="G73" s="3534">
        <v>2002</v>
      </c>
      <c r="H73" s="2623">
        <v>2</v>
      </c>
      <c r="I73" s="2685"/>
      <c r="J73" s="2685"/>
      <c r="K73" s="2685"/>
      <c r="L73" s="2685"/>
      <c r="X73" s="2677"/>
      <c r="Y73" s="2677"/>
      <c r="Z73" s="2677"/>
    </row>
    <row r="74" spans="1:26" s="2654" customFormat="1" ht="13.5" thickBot="1">
      <c r="A74" s="2650" t="s">
        <v>2627</v>
      </c>
      <c r="B74" s="2691">
        <f t="shared" si="114"/>
        <v>103</v>
      </c>
      <c r="C74" s="2691">
        <f t="shared" si="114"/>
        <v>104</v>
      </c>
      <c r="D74" s="2691">
        <f t="shared" si="76"/>
        <v>104</v>
      </c>
      <c r="E74" s="2691">
        <f t="shared" si="115"/>
        <v>103.5</v>
      </c>
      <c r="F74" s="2691">
        <f t="shared" si="115"/>
        <v>100.5</v>
      </c>
      <c r="G74" s="3537">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2628</v>
      </c>
      <c r="G77" s="2701"/>
      <c r="N77" s="2701"/>
      <c r="S77" s="2701"/>
    </row>
    <row r="78" spans="1:26" s="2700" customFormat="1">
      <c r="A78" s="2700" t="s">
        <v>2629</v>
      </c>
      <c r="G78" s="2701"/>
      <c r="N78" s="2701"/>
      <c r="S78" s="2701"/>
    </row>
    <row r="79" spans="1:26" s="2700" customFormat="1">
      <c r="A79" s="2700" t="s">
        <v>2630</v>
      </c>
      <c r="G79" s="2701"/>
      <c r="I79" s="2702"/>
      <c r="J79" s="2702"/>
      <c r="K79" s="2702"/>
      <c r="L79" s="2702"/>
      <c r="N79" s="2703"/>
      <c r="O79" s="2702"/>
      <c r="P79" s="2702"/>
      <c r="Q79" s="2702"/>
      <c r="S79" s="2703"/>
      <c r="T79" s="2702"/>
      <c r="U79" s="2702"/>
      <c r="V79" s="2702"/>
    </row>
    <row r="80" spans="1:26" s="2700" customFormat="1">
      <c r="A80" s="2700" t="s">
        <v>2631</v>
      </c>
      <c r="G80" s="2701"/>
      <c r="N80" s="2701"/>
      <c r="S80" s="2701"/>
    </row>
    <row r="87" spans="7:22" ht="13.5" thickBot="1"/>
    <row r="88" spans="7:22">
      <c r="G88" s="2626"/>
      <c r="S88" s="2704" t="s">
        <v>2632</v>
      </c>
      <c r="T88" s="2705" t="s">
        <v>2633</v>
      </c>
      <c r="U88" s="2705" t="s">
        <v>2634</v>
      </c>
      <c r="V88" s="2705" t="s">
        <v>2635</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5" t="s">
        <v>2945</v>
      </c>
      <c r="B1" s="3057"/>
      <c r="C1" s="3057"/>
      <c r="D1" s="3057"/>
      <c r="E1" s="3057"/>
      <c r="F1" s="3057"/>
    </row>
    <row r="2" spans="1:6" ht="14.25">
      <c r="A2" s="3058" t="s">
        <v>2940</v>
      </c>
      <c r="B2" s="3059" t="e">
        <f ca="1">SUMIF(B7:B14,"&lt;&gt;#ref!",B7:B14)</f>
        <v>#DIV/0!</v>
      </c>
      <c r="C2" s="3058" t="s">
        <v>2941</v>
      </c>
      <c r="D2" s="3057"/>
      <c r="E2" s="3057"/>
      <c r="F2" s="3057"/>
    </row>
    <row r="3" spans="1:6" ht="14.25">
      <c r="A3" s="3058" t="s">
        <v>2973</v>
      </c>
      <c r="B3" s="3059" t="e">
        <f ca="1">ROUND(B2*10000/E3,0)</f>
        <v>#DIV/0!</v>
      </c>
      <c r="C3" s="3058" t="s">
        <v>2076</v>
      </c>
      <c r="D3" s="3058" t="s">
        <v>2942</v>
      </c>
      <c r="E3" s="3059">
        <f ca="1">SUMIF(E7:E14,"&lt;&gt;#ref!",E7:E14)</f>
        <v>0</v>
      </c>
      <c r="F3" s="3057"/>
    </row>
    <row r="4" spans="1:6" ht="14.25">
      <c r="A4" s="3058" t="s">
        <v>2949</v>
      </c>
      <c r="B4" s="3059" t="e">
        <f ca="1">ROUND(B2*10000/E4,0)</f>
        <v>#DIV/0!</v>
      </c>
      <c r="C4" s="3058" t="s">
        <v>2076</v>
      </c>
      <c r="D4" s="3058" t="s">
        <v>2950</v>
      </c>
      <c r="E4" s="3059">
        <f ca="1">SUMIF(F7:F14,"&lt;&gt;#ref!",F7:F14)</f>
        <v>0</v>
      </c>
      <c r="F4" s="3057"/>
    </row>
    <row r="5" spans="1:6" ht="14.25">
      <c r="A5" s="3060"/>
      <c r="B5" s="1866"/>
      <c r="C5" s="1866"/>
      <c r="D5" s="1866"/>
      <c r="E5" s="1866"/>
      <c r="F5" s="3057"/>
    </row>
    <row r="6" spans="1:6" ht="28.5">
      <c r="A6" s="3061" t="s">
        <v>2946</v>
      </c>
      <c r="B6" s="3058" t="s">
        <v>2943</v>
      </c>
      <c r="C6" s="3059"/>
      <c r="D6" s="1866"/>
      <c r="E6" s="3058" t="s">
        <v>2944</v>
      </c>
      <c r="F6" s="3058" t="s">
        <v>2948</v>
      </c>
    </row>
    <row r="7" spans="1:6" ht="14.25">
      <c r="A7" s="260" t="s">
        <v>2947</v>
      </c>
      <c r="B7" s="3062" t="e">
        <f ca="1">SUMIF(INDIRECT("'"&amp;A7&amp;"'"&amp;"!A:A"),"总价",INDIRECT("'"&amp;A7&amp;"'"&amp;"!B:B"))</f>
        <v>#DIV/0!</v>
      </c>
      <c r="C7" s="3058" t="s">
        <v>2941</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2941</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2941</v>
      </c>
      <c r="D9" s="1866"/>
      <c r="E9" s="3063" t="e">
        <f t="shared" ca="1" si="1"/>
        <v>#REF!</v>
      </c>
      <c r="F9" s="3063" t="e">
        <f t="shared" ca="1" si="2"/>
        <v>#REF!</v>
      </c>
    </row>
    <row r="10" spans="1:6" ht="14.25">
      <c r="A10" s="260"/>
      <c r="B10" s="3062" t="e">
        <f t="shared" ca="1" si="0"/>
        <v>#REF!</v>
      </c>
      <c r="C10" s="3058" t="s">
        <v>2941</v>
      </c>
      <c r="D10" s="1866"/>
      <c r="E10" s="3063" t="e">
        <f t="shared" ca="1" si="1"/>
        <v>#REF!</v>
      </c>
      <c r="F10" s="3063" t="e">
        <f t="shared" ca="1" si="2"/>
        <v>#REF!</v>
      </c>
    </row>
    <row r="11" spans="1:6" ht="14.25">
      <c r="A11" s="260"/>
      <c r="B11" s="3062" t="e">
        <f t="shared" ca="1" si="0"/>
        <v>#REF!</v>
      </c>
      <c r="C11" s="3058" t="s">
        <v>2941</v>
      </c>
      <c r="D11" s="1866"/>
      <c r="E11" s="3063" t="e">
        <f t="shared" ca="1" si="1"/>
        <v>#REF!</v>
      </c>
      <c r="F11" s="3063" t="e">
        <f t="shared" ca="1" si="2"/>
        <v>#REF!</v>
      </c>
    </row>
    <row r="12" spans="1:6" ht="14.25">
      <c r="A12" s="260"/>
      <c r="B12" s="3062" t="e">
        <f t="shared" ca="1" si="0"/>
        <v>#REF!</v>
      </c>
      <c r="C12" s="3058" t="s">
        <v>2941</v>
      </c>
      <c r="D12" s="1866"/>
      <c r="E12" s="3063" t="e">
        <f t="shared" ca="1" si="1"/>
        <v>#REF!</v>
      </c>
      <c r="F12" s="3063" t="e">
        <f t="shared" ca="1" si="2"/>
        <v>#REF!</v>
      </c>
    </row>
    <row r="13" spans="1:6" ht="14.25">
      <c r="A13" s="260"/>
      <c r="B13" s="3062" t="e">
        <f t="shared" ca="1" si="0"/>
        <v>#REF!</v>
      </c>
      <c r="C13" s="3058" t="s">
        <v>2941</v>
      </c>
      <c r="D13" s="1866"/>
      <c r="E13" s="3063" t="e">
        <f t="shared" ca="1" si="1"/>
        <v>#REF!</v>
      </c>
      <c r="F13" s="3063" t="e">
        <f t="shared" ca="1" si="2"/>
        <v>#REF!</v>
      </c>
    </row>
    <row r="14" spans="1:6" ht="14.25">
      <c r="A14" s="3056"/>
      <c r="B14" s="3062" t="e">
        <f t="shared" ca="1" si="0"/>
        <v>#REF!</v>
      </c>
      <c r="C14" s="3058" t="s">
        <v>2941</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62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-4</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8"/>
      <c r="H7" s="781">
        <v>1</v>
      </c>
      <c r="I7" s="782" t="s">
        <v>2455</v>
      </c>
      <c r="J7" s="53">
        <f ca="1">J8+J12+J14</f>
        <v>0</v>
      </c>
      <c r="K7" s="2460" t="s">
        <v>2458</v>
      </c>
      <c r="L7" s="2454"/>
      <c r="M7" s="2455"/>
    </row>
    <row r="8" spans="1:25" ht="18" customHeight="1">
      <c r="A8" s="1815" t="s">
        <v>1824</v>
      </c>
      <c r="B8" s="3545" t="s">
        <v>2460</v>
      </c>
      <c r="C8" s="1810">
        <f ca="1">ROUND(F8*F10*F9*(1-F11)/10000,0)</f>
        <v>0</v>
      </c>
      <c r="D8" s="1807" t="s">
        <v>2531</v>
      </c>
      <c r="E8" s="61" t="s">
        <v>637</v>
      </c>
      <c r="F8" s="785">
        <f ca="1">INDIRECT("'数据-取费表'!u"&amp;$G$1)</f>
        <v>0</v>
      </c>
      <c r="G8" s="1578"/>
      <c r="H8" s="2468" t="s">
        <v>1824</v>
      </c>
      <c r="I8" s="3545" t="s">
        <v>2460</v>
      </c>
      <c r="J8" s="783">
        <f ca="1">ROUND(M8*M10*M9*(1-M11)/10000,0)</f>
        <v>0</v>
      </c>
      <c r="K8" s="341" t="s">
        <v>2531</v>
      </c>
      <c r="L8" s="784" t="s">
        <v>1738</v>
      </c>
      <c r="M8" s="785">
        <f ca="1">INDIRECT("'数据-取费表'!z"&amp;$G$1)</f>
        <v>0</v>
      </c>
    </row>
    <row r="9" spans="1:25" ht="18" customHeight="1">
      <c r="A9" s="2464"/>
      <c r="B9" s="3546"/>
      <c r="C9" s="1811"/>
      <c r="D9" s="1808"/>
      <c r="E9" s="61" t="s">
        <v>638</v>
      </c>
      <c r="F9" s="785">
        <f ca="1">IF(INDIRECT("'数据-取费表'!ah"&amp;$G$1)="",INDIRECT("'数据-取费表'!k"&amp;$G$1),INDIRECT("'数据-取费表'!ah"&amp;$G$1))</f>
        <v>0</v>
      </c>
      <c r="G9" s="1578"/>
      <c r="H9" s="2453"/>
      <c r="I9" s="3546"/>
      <c r="J9" s="788"/>
      <c r="K9" s="789"/>
      <c r="L9" s="784" t="s">
        <v>1739</v>
      </c>
      <c r="M9" s="785">
        <f ca="1">F9</f>
        <v>0</v>
      </c>
    </row>
    <row r="10" spans="1:25" ht="18" customHeight="1">
      <c r="A10" s="2457"/>
      <c r="B10" s="3547"/>
      <c r="C10" s="1811"/>
      <c r="D10" s="1808"/>
      <c r="E10" s="61" t="s">
        <v>639</v>
      </c>
      <c r="F10" s="785">
        <f ca="1">INDIRECT("'数据-取费表'!ai"&amp;$G$1)</f>
        <v>0</v>
      </c>
      <c r="G10" s="1578"/>
      <c r="H10" s="2453"/>
      <c r="I10" s="3547"/>
      <c r="J10" s="788"/>
      <c r="K10" s="789"/>
      <c r="L10" s="784" t="s">
        <v>1740</v>
      </c>
      <c r="M10" s="785">
        <f ca="1">INDIRECT("'数据-取费表'!ai"&amp;$G$1)</f>
        <v>0</v>
      </c>
    </row>
    <row r="11" spans="1:25" ht="18" customHeight="1">
      <c r="A11" s="786"/>
      <c r="B11" s="3548"/>
      <c r="C11" s="1811"/>
      <c r="D11" s="1808"/>
      <c r="E11" s="61" t="s">
        <v>640</v>
      </c>
      <c r="F11" s="794">
        <f ca="1">INDIRECT("'数据-取费表'!w"&amp;$G$1)</f>
        <v>0</v>
      </c>
      <c r="G11" s="1578"/>
      <c r="H11" s="2469"/>
      <c r="I11" s="3547"/>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2970</v>
      </c>
      <c r="E12" s="2462" t="s">
        <v>2461</v>
      </c>
      <c r="F12" s="2585"/>
      <c r="G12" s="1578"/>
      <c r="H12" s="2525" t="s">
        <v>1825</v>
      </c>
      <c r="I12" s="2530" t="s">
        <v>2456</v>
      </c>
      <c r="J12" s="783">
        <f ca="1">ROUND(IF(M12="押一",J8/12*M13,IF(M12="押二",J8/12*2*M13,IF(M12="押三",J8/12*3*M13,J13*M13))),0)</f>
        <v>0</v>
      </c>
      <c r="K12" s="2465" t="s">
        <v>2970</v>
      </c>
      <c r="L12" s="2462" t="s">
        <v>2461</v>
      </c>
      <c r="M12" s="2585"/>
    </row>
    <row r="13" spans="1:25" ht="18" customHeight="1">
      <c r="A13" s="790"/>
      <c r="B13" s="2459" t="s">
        <v>2570</v>
      </c>
      <c r="C13" s="2463"/>
      <c r="D13" s="789"/>
      <c r="E13" s="2462" t="s">
        <v>2453</v>
      </c>
      <c r="F13" s="796">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2821</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4</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2818</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2819</v>
      </c>
      <c r="C31" s="2508">
        <f ca="1">ROUND((C21+C22+C25+C28)/(1-F23-C26-C29-C30),0)</f>
        <v>0</v>
      </c>
      <c r="D31" s="2509"/>
      <c r="E31" s="2510"/>
      <c r="F31" s="2511"/>
      <c r="G31" s="1579"/>
      <c r="H31" s="823" t="s">
        <v>1872</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0</v>
      </c>
      <c r="G36" s="2047"/>
      <c r="H36" s="2050"/>
      <c r="I36" s="3544"/>
      <c r="J36" s="2064"/>
      <c r="K36" s="2065"/>
      <c r="L36" s="2064"/>
      <c r="M36" s="2064"/>
    </row>
    <row r="37" spans="1:18" ht="18" customHeight="1">
      <c r="A37" s="815"/>
      <c r="B37" s="793"/>
      <c r="C37" s="69"/>
      <c r="D37" s="816"/>
      <c r="E37" s="784" t="s">
        <v>674</v>
      </c>
      <c r="F37" s="785">
        <f ca="1">INDIRECT("'数据-取费表'!r"&amp;$G$1)</f>
        <v>0</v>
      </c>
      <c r="G37" s="2047"/>
      <c r="H37" s="2050"/>
      <c r="I37" s="354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4" t="s">
        <v>2958</v>
      </c>
      <c r="F43" s="3075">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6"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9"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6" t="s">
        <v>2346</v>
      </c>
      <c r="L48" s="3110">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7"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8"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8"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1">
        <f ca="1">ROUND(-PV(INDIRECT("'数据-取费表'!h"&amp;$G$1),L49,(C40-C14*J36),0),0)</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29.25" thickBot="1">
      <c r="A54" s="2081"/>
      <c r="I54" s="3102" t="s">
        <v>2974</v>
      </c>
      <c r="J54" s="3105">
        <f ca="1">IF(M48="住宅",MAX(J52,L49-'数据-取费表'!B20),MIN(J52,L49-'数据-取费表'!B20))</f>
        <v>-4</v>
      </c>
      <c r="K54" s="3549"/>
      <c r="L54" s="3550"/>
      <c r="O54" s="2365" t="s">
        <v>2385</v>
      </c>
      <c r="P54" s="2363" t="s">
        <v>2386</v>
      </c>
      <c r="Q54" s="2364">
        <f ca="1">J54</f>
        <v>-4</v>
      </c>
      <c r="R54" s="2363" t="s">
        <v>2387</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2388</v>
      </c>
      <c r="P55" s="2363" t="s">
        <v>2405</v>
      </c>
      <c r="Q55" s="2364">
        <f ca="1">Q49+Q50</f>
        <v>0</v>
      </c>
      <c r="R55" s="2367" t="s">
        <v>2389</v>
      </c>
    </row>
    <row r="56" spans="1:18" s="2044" customFormat="1" ht="16.5" thickBot="1">
      <c r="A56" s="2081"/>
      <c r="B56" s="2082"/>
      <c r="C56" s="2082"/>
      <c r="I56" s="3114" t="s">
        <v>2352</v>
      </c>
      <c r="J56" s="3053" t="e">
        <f ca="1">ROUND(IF(J48="钢混",J58/J51,1-(1-2%)*(J51-J58)/J51),3)</f>
        <v>#VALUE!</v>
      </c>
      <c r="K56" s="3115" t="s">
        <v>2353</v>
      </c>
      <c r="L56" s="2350"/>
      <c r="O56" s="2368" t="s">
        <v>2408</v>
      </c>
      <c r="P56" s="1578"/>
      <c r="Q56" s="1589"/>
      <c r="R56" s="1578"/>
    </row>
    <row r="57" spans="1:18" s="2044" customFormat="1" ht="43.5" thickBot="1">
      <c r="A57" s="2081"/>
      <c r="B57" s="2082"/>
      <c r="C57" s="2082"/>
      <c r="I57" s="3116" t="s">
        <v>2354</v>
      </c>
      <c r="J57" s="3126" t="s">
        <v>1678</v>
      </c>
      <c r="K57" s="3078" t="s">
        <v>2359</v>
      </c>
      <c r="L57" s="1893">
        <f ca="1">IF(L49&lt;J52,"——",L49-J52)</f>
        <v>0</v>
      </c>
      <c r="O57" s="2359" t="s">
        <v>2372</v>
      </c>
      <c r="P57" s="2360" t="s">
        <v>2373</v>
      </c>
      <c r="Q57" s="2361" t="s">
        <v>2374</v>
      </c>
      <c r="R57" s="2360" t="s">
        <v>2375</v>
      </c>
    </row>
    <row r="58" spans="1:18" s="2044" customFormat="1" ht="29.25" thickBot="1">
      <c r="A58" s="2081"/>
      <c r="B58" s="2082"/>
      <c r="C58" s="2082"/>
      <c r="I58" s="3117" t="s">
        <v>2355</v>
      </c>
      <c r="J58" s="3118"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7"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7" t="s">
        <v>2357</v>
      </c>
      <c r="J60" s="3118"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9" t="s">
        <v>2358</v>
      </c>
      <c r="J61" s="3120" t="str">
        <f ca="1">IF(OR(M48="住宅",J52&lt;L49,J57="是"),"0",ROUND(J60/(1+J53)^J54,0))</f>
        <v>0</v>
      </c>
      <c r="K61" s="3121" t="s">
        <v>2363</v>
      </c>
      <c r="L61" s="3120"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2" t="s">
        <v>2364</v>
      </c>
      <c r="J63" s="3123" t="s">
        <v>2365</v>
      </c>
      <c r="K63" s="3123" t="s">
        <v>2366</v>
      </c>
      <c r="L63" s="3123" t="s">
        <v>2347</v>
      </c>
      <c r="M63" s="3124" t="s">
        <v>2938</v>
      </c>
      <c r="O63" s="2365" t="s">
        <v>2385</v>
      </c>
      <c r="P63" s="2363" t="s">
        <v>2393</v>
      </c>
      <c r="Q63" s="2364">
        <f ca="1">L60</f>
        <v>0</v>
      </c>
      <c r="R63" s="2367" t="s">
        <v>2394</v>
      </c>
    </row>
    <row r="64" spans="1:18" s="2044" customFormat="1" ht="15.75" thickBot="1">
      <c r="A64" s="2081"/>
      <c r="B64" s="2082"/>
      <c r="C64" s="2082"/>
      <c r="I64" s="3122" t="s">
        <v>2367</v>
      </c>
      <c r="J64" s="3123">
        <v>70</v>
      </c>
      <c r="K64" s="3123">
        <v>50</v>
      </c>
      <c r="L64" s="3123">
        <v>80</v>
      </c>
      <c r="M64" s="3125">
        <v>0.02</v>
      </c>
      <c r="O64" s="2362" t="s">
        <v>2388</v>
      </c>
      <c r="P64" s="2363" t="s">
        <v>2405</v>
      </c>
      <c r="Q64" s="2364" t="e">
        <f ca="1">Q58+Q59</f>
        <v>#DIV/0!</v>
      </c>
      <c r="R64" s="2367" t="s">
        <v>2389</v>
      </c>
    </row>
    <row r="65" spans="1:18" s="2044" customFormat="1" ht="16.5" thickBot="1">
      <c r="A65" s="2081"/>
      <c r="B65" s="2082"/>
      <c r="C65" s="2082"/>
      <c r="I65" s="3122" t="s">
        <v>2368</v>
      </c>
      <c r="J65" s="3123">
        <v>50</v>
      </c>
      <c r="K65" s="3123">
        <v>35</v>
      </c>
      <c r="L65" s="3123">
        <v>60</v>
      </c>
      <c r="M65" s="846">
        <v>0</v>
      </c>
      <c r="O65" s="2368" t="s">
        <v>2412</v>
      </c>
      <c r="P65" s="1578"/>
      <c r="Q65" s="1589"/>
      <c r="R65" s="1578"/>
    </row>
    <row r="66" spans="1:18" s="2044" customFormat="1" ht="15.75" thickBot="1">
      <c r="A66" s="2081"/>
      <c r="B66" s="2082"/>
      <c r="C66" s="2082"/>
      <c r="I66" s="3122" t="s">
        <v>2369</v>
      </c>
      <c r="J66" s="3123">
        <v>40</v>
      </c>
      <c r="K66" s="3123">
        <v>30</v>
      </c>
      <c r="L66" s="3123">
        <v>50</v>
      </c>
      <c r="M66" s="3125">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625" customWidth="1"/>
  </cols>
  <sheetData>
    <row r="1" spans="1:9" ht="14.25">
      <c r="A1" s="3551" t="s">
        <v>2468</v>
      </c>
      <c r="B1" s="3552"/>
      <c r="C1" s="3553"/>
      <c r="D1" s="3554">
        <f>SUM(I10,I15,I20,I21,I23)</f>
        <v>0</v>
      </c>
      <c r="E1" s="3554"/>
      <c r="F1" s="3554"/>
      <c r="G1" s="3554"/>
      <c r="H1" s="3554"/>
      <c r="I1" s="3555"/>
    </row>
    <row r="2" spans="1:9">
      <c r="A2" s="3556" t="s">
        <v>2469</v>
      </c>
      <c r="B2" s="3557" t="s">
        <v>2470</v>
      </c>
      <c r="C2" s="3557"/>
      <c r="D2" s="2471" t="s">
        <v>2471</v>
      </c>
      <c r="E2" s="2471" t="s">
        <v>2472</v>
      </c>
      <c r="F2" s="2471" t="s">
        <v>2473</v>
      </c>
      <c r="G2" s="2471" t="s">
        <v>2474</v>
      </c>
      <c r="H2" s="2471" t="s">
        <v>2475</v>
      </c>
      <c r="I2" s="2472" t="s">
        <v>2476</v>
      </c>
    </row>
    <row r="3" spans="1:9">
      <c r="A3" s="3556"/>
      <c r="B3" s="3557" t="s">
        <v>2477</v>
      </c>
      <c r="C3" s="3557"/>
      <c r="D3" s="2473"/>
      <c r="E3" s="2471"/>
      <c r="F3" s="2474"/>
      <c r="G3" s="2474"/>
      <c r="H3" s="2475"/>
      <c r="I3" s="2476">
        <f>ROUND(D3*E3*F3*G3*H3/10000,0)</f>
        <v>0</v>
      </c>
    </row>
    <row r="4" spans="1:9">
      <c r="A4" s="3556"/>
      <c r="B4" s="3557" t="s">
        <v>2478</v>
      </c>
      <c r="C4" s="3557"/>
      <c r="D4" s="2473"/>
      <c r="E4" s="2471"/>
      <c r="F4" s="2474"/>
      <c r="G4" s="2474"/>
      <c r="H4" s="2475"/>
      <c r="I4" s="2476">
        <f t="shared" ref="I4:I9" si="0">ROUND(D4*E4*F4*G4*H4/10000,0)</f>
        <v>0</v>
      </c>
    </row>
    <row r="5" spans="1:9">
      <c r="A5" s="3556"/>
      <c r="B5" s="3557" t="s">
        <v>2479</v>
      </c>
      <c r="C5" s="3557"/>
      <c r="D5" s="2473"/>
      <c r="E5" s="2471"/>
      <c r="F5" s="2474"/>
      <c r="G5" s="2474"/>
      <c r="H5" s="2475"/>
      <c r="I5" s="2476">
        <f t="shared" si="0"/>
        <v>0</v>
      </c>
    </row>
    <row r="6" spans="1:9">
      <c r="A6" s="3556"/>
      <c r="B6" s="3557" t="s">
        <v>2480</v>
      </c>
      <c r="C6" s="3557"/>
      <c r="D6" s="2473"/>
      <c r="E6" s="2471"/>
      <c r="F6" s="2474"/>
      <c r="G6" s="2474"/>
      <c r="H6" s="2475"/>
      <c r="I6" s="2476">
        <f t="shared" si="0"/>
        <v>0</v>
      </c>
    </row>
    <row r="7" spans="1:9">
      <c r="A7" s="3556"/>
      <c r="B7" s="3557" t="s">
        <v>2481</v>
      </c>
      <c r="C7" s="3557"/>
      <c r="D7" s="2473"/>
      <c r="E7" s="2471"/>
      <c r="F7" s="2474"/>
      <c r="G7" s="2474"/>
      <c r="H7" s="2475"/>
      <c r="I7" s="2476">
        <f t="shared" si="0"/>
        <v>0</v>
      </c>
    </row>
    <row r="8" spans="1:9">
      <c r="A8" s="3556"/>
      <c r="B8" s="3557" t="s">
        <v>2482</v>
      </c>
      <c r="C8" s="3557"/>
      <c r="D8" s="2473"/>
      <c r="E8" s="2471"/>
      <c r="F8" s="2474"/>
      <c r="G8" s="2474"/>
      <c r="H8" s="2475"/>
      <c r="I8" s="2476">
        <f t="shared" si="0"/>
        <v>0</v>
      </c>
    </row>
    <row r="9" spans="1:9">
      <c r="A9" s="3556"/>
      <c r="B9" s="3557" t="s">
        <v>2483</v>
      </c>
      <c r="C9" s="3557"/>
      <c r="D9" s="2473"/>
      <c r="E9" s="2471"/>
      <c r="F9" s="2474"/>
      <c r="G9" s="2474"/>
      <c r="H9" s="2475"/>
      <c r="I9" s="2476">
        <f t="shared" si="0"/>
        <v>0</v>
      </c>
    </row>
    <row r="10" spans="1:9">
      <c r="A10" s="3556"/>
      <c r="B10" s="3558" t="s">
        <v>2484</v>
      </c>
      <c r="C10" s="3558"/>
      <c r="D10" s="2477">
        <v>527</v>
      </c>
      <c r="E10" s="2477" t="e">
        <f>ROUND(D1*10000/D10/H9,0)</f>
        <v>#DIV/0!</v>
      </c>
      <c r="F10" s="2478"/>
      <c r="G10" s="2478"/>
      <c r="H10" s="2479"/>
      <c r="I10" s="2480">
        <f>SUM(I3:I9)</f>
        <v>0</v>
      </c>
    </row>
    <row r="11" spans="1:9" ht="14.25">
      <c r="A11" s="3556" t="s">
        <v>2485</v>
      </c>
      <c r="B11" s="3557" t="s">
        <v>2486</v>
      </c>
      <c r="C11" s="3557"/>
      <c r="D11" s="2473" t="s">
        <v>2487</v>
      </c>
      <c r="E11" s="2473" t="s">
        <v>2488</v>
      </c>
      <c r="F11" s="2474" t="s">
        <v>2489</v>
      </c>
      <c r="G11" s="2474" t="s">
        <v>2490</v>
      </c>
      <c r="H11" s="2481" t="s">
        <v>2491</v>
      </c>
      <c r="I11" s="2472" t="s">
        <v>2492</v>
      </c>
    </row>
    <row r="12" spans="1:9">
      <c r="A12" s="3556"/>
      <c r="B12" s="3557" t="s">
        <v>2493</v>
      </c>
      <c r="C12" s="3557"/>
      <c r="D12" s="2473"/>
      <c r="E12" s="2473"/>
      <c r="F12" s="2474"/>
      <c r="G12" s="2475"/>
      <c r="H12" s="2482"/>
      <c r="I12" s="2472">
        <f>ROUND(D12*E12*F12*G12/10000,0)</f>
        <v>0</v>
      </c>
    </row>
    <row r="13" spans="1:9">
      <c r="A13" s="3556"/>
      <c r="B13" s="3557" t="s">
        <v>2494</v>
      </c>
      <c r="C13" s="3557"/>
      <c r="D13" s="2473"/>
      <c r="E13" s="2473"/>
      <c r="F13" s="2474"/>
      <c r="G13" s="2475"/>
      <c r="H13" s="2482"/>
      <c r="I13" s="2472">
        <f>ROUND(D13*E13*F13*G13/10000,0)</f>
        <v>0</v>
      </c>
    </row>
    <row r="14" spans="1:9">
      <c r="A14" s="3556"/>
      <c r="B14" s="3557" t="s">
        <v>2495</v>
      </c>
      <c r="C14" s="3557"/>
      <c r="D14" s="2473"/>
      <c r="E14" s="2473"/>
      <c r="F14" s="2474"/>
      <c r="G14" s="2475"/>
      <c r="H14" s="2482"/>
      <c r="I14" s="2472">
        <f>ROUND(D14*E14*F14*G14/10000,0)</f>
        <v>0</v>
      </c>
    </row>
    <row r="15" spans="1:9">
      <c r="A15" s="3556"/>
      <c r="B15" s="3558" t="s">
        <v>2484</v>
      </c>
      <c r="C15" s="3558"/>
      <c r="D15" s="2477"/>
      <c r="E15" s="2477">
        <f>SUM(E12:E14)</f>
        <v>0</v>
      </c>
      <c r="F15" s="2478"/>
      <c r="G15" s="2475"/>
      <c r="H15" s="2482"/>
      <c r="I15" s="2483">
        <f>SUM(I12:I14)</f>
        <v>0</v>
      </c>
    </row>
    <row r="16" spans="1:9" ht="24">
      <c r="A16" s="3556" t="s">
        <v>2496</v>
      </c>
      <c r="B16" s="3557" t="s">
        <v>2497</v>
      </c>
      <c r="C16" s="3557"/>
      <c r="D16" s="2473" t="s">
        <v>2498</v>
      </c>
      <c r="E16" s="2484" t="s">
        <v>2499</v>
      </c>
      <c r="F16" s="2474" t="s">
        <v>2500</v>
      </c>
      <c r="G16" s="2475" t="s">
        <v>2490</v>
      </c>
      <c r="H16" s="2481" t="s">
        <v>2491</v>
      </c>
      <c r="I16" s="2472" t="s">
        <v>2492</v>
      </c>
    </row>
    <row r="17" spans="1:9" ht="14.25">
      <c r="A17" s="3556"/>
      <c r="B17" s="3557" t="s">
        <v>2501</v>
      </c>
      <c r="C17" s="3557"/>
      <c r="D17" s="2473"/>
      <c r="E17" s="2473"/>
      <c r="F17" s="2474"/>
      <c r="G17" s="2475"/>
      <c r="H17" s="2485"/>
      <c r="I17" s="2486">
        <f>ROUND(D17*E17*F17*G17/10000,0)</f>
        <v>0</v>
      </c>
    </row>
    <row r="18" spans="1:9" ht="14.25">
      <c r="A18" s="3556"/>
      <c r="B18" s="3557" t="s">
        <v>2502</v>
      </c>
      <c r="C18" s="3557"/>
      <c r="D18" s="2473"/>
      <c r="E18" s="2473"/>
      <c r="F18" s="2474"/>
      <c r="G18" s="2475"/>
      <c r="H18" s="2485"/>
      <c r="I18" s="2486">
        <f>ROUND(D18*E18*F18*G18/10000,0)</f>
        <v>0</v>
      </c>
    </row>
    <row r="19" spans="1:9" ht="14.25">
      <c r="A19" s="3556"/>
      <c r="B19" s="3557" t="s">
        <v>2503</v>
      </c>
      <c r="C19" s="3557"/>
      <c r="D19" s="2473"/>
      <c r="E19" s="2473"/>
      <c r="F19" s="2474"/>
      <c r="G19" s="2475"/>
      <c r="H19" s="2485"/>
      <c r="I19" s="2486">
        <f>ROUND(D19*E19*F19*G19/10000,0)</f>
        <v>0</v>
      </c>
    </row>
    <row r="20" spans="1:9">
      <c r="A20" s="3556"/>
      <c r="B20" s="3558" t="s">
        <v>2484</v>
      </c>
      <c r="C20" s="3558"/>
      <c r="D20" s="2477">
        <f>SUM(D17:D19)</f>
        <v>0</v>
      </c>
      <c r="E20" s="2477"/>
      <c r="F20" s="2478"/>
      <c r="G20" s="2475"/>
      <c r="H20" s="2482"/>
      <c r="I20" s="2483">
        <f>SUM(I17:I19)</f>
        <v>0</v>
      </c>
    </row>
    <row r="21" spans="1:9">
      <c r="A21" s="3556" t="s">
        <v>2504</v>
      </c>
      <c r="B21" s="3560"/>
      <c r="C21" s="3560"/>
      <c r="D21" s="3560"/>
      <c r="E21" s="3560"/>
      <c r="F21" s="3560"/>
      <c r="G21" s="3560"/>
      <c r="H21" s="2487">
        <v>0.1</v>
      </c>
      <c r="I21" s="2480">
        <f>ROUND(I10*H21,0)</f>
        <v>0</v>
      </c>
    </row>
    <row r="22" spans="1:9" ht="14.25">
      <c r="A22" s="3561" t="s">
        <v>2505</v>
      </c>
      <c r="B22" s="3562"/>
      <c r="C22" s="3563"/>
      <c r="D22" s="2488" t="s">
        <v>2506</v>
      </c>
      <c r="E22" s="2488" t="s">
        <v>2507</v>
      </c>
      <c r="F22" s="2489" t="s">
        <v>2508</v>
      </c>
      <c r="G22" s="2489" t="s">
        <v>2509</v>
      </c>
      <c r="H22" s="2481" t="s">
        <v>2510</v>
      </c>
      <c r="I22" s="2472" t="s">
        <v>2511</v>
      </c>
    </row>
    <row r="23" spans="1:9" ht="14.25" thickBot="1">
      <c r="A23" s="3564"/>
      <c r="B23" s="3565"/>
      <c r="C23" s="3566"/>
      <c r="D23" s="2490"/>
      <c r="E23" s="2490"/>
      <c r="F23" s="2490"/>
      <c r="G23" s="2491"/>
      <c r="H23" s="2492"/>
      <c r="I23" s="2493">
        <f>ROUND(E23*D23*F23*(1-G23)/10000,0)</f>
        <v>0</v>
      </c>
    </row>
    <row r="26" spans="1:9">
      <c r="A26" s="2494" t="s">
        <v>2512</v>
      </c>
      <c r="B26" s="2494"/>
      <c r="C26" s="2494"/>
      <c r="D26" s="2494"/>
      <c r="E26" s="3567">
        <f>C27-C30-C31-C32</f>
        <v>0</v>
      </c>
      <c r="F26" s="3567"/>
      <c r="G26" s="3567"/>
      <c r="H26" s="2995" t="s">
        <v>2839</v>
      </c>
    </row>
    <row r="27" spans="1:9">
      <c r="A27" s="2495">
        <v>1</v>
      </c>
      <c r="B27" s="2496" t="s">
        <v>2513</v>
      </c>
      <c r="C27" s="2496"/>
      <c r="D27" s="2496"/>
      <c r="E27" s="3568"/>
      <c r="F27" s="3568"/>
      <c r="G27" s="3568"/>
    </row>
    <row r="28" spans="1:9">
      <c r="A28" s="2497" t="s">
        <v>2514</v>
      </c>
      <c r="B28" s="2496" t="s">
        <v>2515</v>
      </c>
      <c r="C28" s="2496"/>
      <c r="D28" s="2496"/>
      <c r="E28" s="3568"/>
      <c r="F28" s="3568"/>
      <c r="G28" s="3568"/>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59"/>
      <c r="F32" s="3559"/>
      <c r="G32" s="3559"/>
    </row>
    <row r="33" spans="1:7" hidden="1">
      <c r="A33" s="3569" t="s">
        <v>2523</v>
      </c>
      <c r="B33" s="3570"/>
      <c r="C33" s="3570"/>
      <c r="D33" s="3571"/>
      <c r="E33" s="3567"/>
      <c r="F33" s="3567"/>
      <c r="G33" s="3567"/>
    </row>
    <row r="34" spans="1:7" hidden="1">
      <c r="A34" s="2499">
        <v>1</v>
      </c>
      <c r="B34" s="2496" t="s">
        <v>2524</v>
      </c>
      <c r="C34" s="2496"/>
      <c r="D34" s="2496"/>
      <c r="E34" s="3568"/>
      <c r="F34" s="3568"/>
      <c r="G34" s="3568"/>
    </row>
    <row r="35" spans="1:7" hidden="1">
      <c r="A35" s="2499">
        <v>2</v>
      </c>
      <c r="B35" s="2496" t="s">
        <v>2525</v>
      </c>
      <c r="C35" s="2496"/>
      <c r="D35" s="2496"/>
      <c r="E35" s="3568"/>
      <c r="F35" s="3568"/>
      <c r="G35" s="3568"/>
    </row>
    <row r="36" spans="1:7" hidden="1">
      <c r="A36" s="2499">
        <v>3</v>
      </c>
      <c r="B36" s="2496" t="s">
        <v>2526</v>
      </c>
      <c r="C36" s="2496"/>
      <c r="D36" s="2496"/>
      <c r="E36" s="3568"/>
      <c r="F36" s="3568"/>
      <c r="G36" s="3568"/>
    </row>
    <row r="37" spans="1:7" hidden="1">
      <c r="A37" s="2499">
        <v>4</v>
      </c>
      <c r="B37" s="2496" t="s">
        <v>2527</v>
      </c>
      <c r="C37" s="2496"/>
      <c r="D37" s="2496"/>
      <c r="E37" s="3568"/>
      <c r="F37" s="3568"/>
      <c r="G37" s="3568"/>
    </row>
    <row r="38" spans="1:7" hidden="1">
      <c r="A38" s="3569" t="s">
        <v>2528</v>
      </c>
      <c r="B38" s="3570"/>
      <c r="C38" s="3570"/>
      <c r="D38" s="3571"/>
      <c r="E38" s="3567"/>
      <c r="F38" s="3567"/>
      <c r="G38" s="35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760592.91999999993</v>
      </c>
      <c r="E10" s="749">
        <f>'数据-取费表'!B31</f>
        <v>200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4825</v>
      </c>
      <c r="D12" s="758">
        <f>'数据-汇总表'!E5</f>
        <v>536085</v>
      </c>
      <c r="E12" s="757">
        <f>'数据-取费表'!B27</f>
        <v>90</v>
      </c>
      <c r="F12" s="755"/>
      <c r="G12" s="759"/>
    </row>
    <row r="13" spans="1:25" s="2168" customFormat="1" ht="13.5" customHeight="1">
      <c r="A13" s="2440" t="s">
        <v>2444</v>
      </c>
      <c r="B13" s="756" t="s">
        <v>612</v>
      </c>
      <c r="C13" s="757">
        <f>ROUND(D13*E13/10000,0)</f>
        <v>2021</v>
      </c>
      <c r="D13" s="758">
        <f>'数据-汇总表'!E6</f>
        <v>224507.91999999993</v>
      </c>
      <c r="E13" s="757">
        <f>'数据-取费表'!B28</f>
        <v>90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0.23</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0.93799999999999994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21" zoomScale="80" zoomScaleNormal="80" zoomScalePageLayoutView="80" workbookViewId="0">
      <selection activeCell="L22" sqref="L22"/>
    </sheetView>
  </sheetViews>
  <sheetFormatPr defaultColWidth="9" defaultRowHeight="14.25"/>
  <cols>
    <col min="1" max="1" width="10.5" style="1332" customWidth="1"/>
    <col min="2" max="2" width="15.62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2587" t="s">
        <v>719</v>
      </c>
      <c r="C1" s="2588" t="s">
        <v>720</v>
      </c>
      <c r="D1" s="2589" t="s">
        <v>923</v>
      </c>
      <c r="E1" s="2590"/>
      <c r="F1" s="2762" t="s">
        <v>3290</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541339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10098</v>
      </c>
      <c r="C3" s="852" t="s">
        <v>722</v>
      </c>
      <c r="D3" s="851">
        <f>SUMIF('数据-汇总表'!$C19:$C33,D1,'数据-汇总表'!$E19:$E33)</f>
        <v>536085</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64" t="s">
        <v>522</v>
      </c>
      <c r="D4" s="3465"/>
      <c r="E4" s="3498" t="s">
        <v>523</v>
      </c>
      <c r="F4" s="3499"/>
      <c r="G4" s="3464" t="s">
        <v>524</v>
      </c>
      <c r="H4" s="3465"/>
      <c r="I4" s="3464" t="s">
        <v>525</v>
      </c>
      <c r="J4" s="3465"/>
      <c r="K4" s="853" t="s">
        <v>526</v>
      </c>
      <c r="L4" s="2118"/>
      <c r="M4" s="2119"/>
      <c r="N4" s="2119"/>
      <c r="O4" s="2119"/>
      <c r="P4" s="3466" t="s">
        <v>527</v>
      </c>
      <c r="Q4" s="3467"/>
      <c r="R4" s="3472" t="s">
        <v>523</v>
      </c>
      <c r="S4" s="3473"/>
      <c r="T4" s="3472" t="s">
        <v>524</v>
      </c>
      <c r="U4" s="3473"/>
      <c r="V4" s="3459" t="s">
        <v>525</v>
      </c>
      <c r="W4" s="3459"/>
      <c r="X4" s="1553"/>
      <c r="Y4" s="3472" t="s">
        <v>527</v>
      </c>
      <c r="Z4" s="3473"/>
      <c r="AA4" s="3461" t="s">
        <v>523</v>
      </c>
      <c r="AB4" s="3461" t="s">
        <v>524</v>
      </c>
      <c r="AC4" s="3461" t="s">
        <v>525</v>
      </c>
    </row>
    <row r="5" spans="1:29" ht="15">
      <c r="A5" s="515"/>
      <c r="B5" s="516"/>
      <c r="C5" s="3480" t="s">
        <v>2925</v>
      </c>
      <c r="D5" s="3481"/>
      <c r="E5" s="3578" t="s">
        <v>3350</v>
      </c>
      <c r="F5" s="3501"/>
      <c r="G5" s="3576" t="s">
        <v>3352</v>
      </c>
      <c r="H5" s="3481"/>
      <c r="I5" s="3576" t="s">
        <v>3354</v>
      </c>
      <c r="J5" s="3481"/>
      <c r="K5" s="854"/>
      <c r="L5" s="2118"/>
      <c r="M5" s="2119"/>
      <c r="N5" s="2119"/>
      <c r="O5" s="2119"/>
      <c r="P5" s="3468"/>
      <c r="Q5" s="3469"/>
      <c r="R5" s="3474"/>
      <c r="S5" s="3475"/>
      <c r="T5" s="3474"/>
      <c r="U5" s="3475"/>
      <c r="V5" s="3459"/>
      <c r="W5" s="3459"/>
      <c r="X5" s="1553"/>
      <c r="Y5" s="3474"/>
      <c r="Z5" s="3475"/>
      <c r="AA5" s="3462"/>
      <c r="AB5" s="3462"/>
      <c r="AC5" s="3462"/>
    </row>
    <row r="6" spans="1:29" ht="27.75" customHeight="1" thickBot="1">
      <c r="A6" s="517"/>
      <c r="B6" s="518"/>
      <c r="C6" s="3478" t="s">
        <v>2929</v>
      </c>
      <c r="D6" s="3479"/>
      <c r="E6" s="3577" t="s">
        <v>3351</v>
      </c>
      <c r="F6" s="3497"/>
      <c r="G6" s="3575" t="s">
        <v>3353</v>
      </c>
      <c r="H6" s="3479"/>
      <c r="I6" s="3575" t="s">
        <v>3355</v>
      </c>
      <c r="J6" s="3479"/>
      <c r="K6" s="854" t="s">
        <v>528</v>
      </c>
      <c r="L6" s="2118"/>
      <c r="M6" s="2119"/>
      <c r="N6" s="2119"/>
      <c r="O6" s="2119"/>
      <c r="P6" s="3470"/>
      <c r="Q6" s="3471"/>
      <c r="R6" s="3474"/>
      <c r="S6" s="3475"/>
      <c r="T6" s="3476"/>
      <c r="U6" s="3477"/>
      <c r="V6" s="3459"/>
      <c r="W6" s="3459"/>
      <c r="X6" s="1553"/>
      <c r="Y6" s="3476"/>
      <c r="Z6" s="3477"/>
      <c r="AA6" s="3463"/>
      <c r="AB6" s="3463"/>
      <c r="AC6" s="3463"/>
    </row>
    <row r="7" spans="1:29" s="1215" customFormat="1" ht="15.75" thickBot="1">
      <c r="A7" s="2867"/>
      <c r="B7" s="2874" t="s">
        <v>529</v>
      </c>
      <c r="C7" s="519">
        <f>'数据-取费表'!B2</f>
        <v>43621</v>
      </c>
      <c r="D7" s="520">
        <v>100</v>
      </c>
      <c r="E7" s="521">
        <v>43617</v>
      </c>
      <c r="F7" s="522">
        <f>SUMIF(58:58,YEAR(E7)&amp;"-"&amp;MONTH(E7),59:59)</f>
        <v>100</v>
      </c>
      <c r="G7" s="523">
        <f>E7</f>
        <v>43617</v>
      </c>
      <c r="H7" s="520">
        <f>SUMIF(58:58,YEAR(G7)&amp;"-"&amp;MONTH(G7),59:59)</f>
        <v>100</v>
      </c>
      <c r="I7" s="523">
        <f>G7</f>
        <v>43617</v>
      </c>
      <c r="J7" s="520">
        <f>SUMIF(58:58,YEAR(I7)&amp;"-"&amp;MONTH(I7),59:59)</f>
        <v>100</v>
      </c>
      <c r="K7" s="855"/>
      <c r="L7" s="2120"/>
      <c r="M7" s="2121"/>
      <c r="N7" s="2121"/>
      <c r="O7" s="2121"/>
      <c r="P7" s="3489" t="s">
        <v>530</v>
      </c>
      <c r="Q7" s="3491"/>
      <c r="R7" s="1554" t="s">
        <v>13</v>
      </c>
      <c r="S7" s="1555">
        <f t="shared" ref="S7:S15" si="0">F7</f>
        <v>100</v>
      </c>
      <c r="T7" s="1554" t="s">
        <v>13</v>
      </c>
      <c r="U7" s="1555">
        <f t="shared" ref="U7:U15" si="1">H7</f>
        <v>100</v>
      </c>
      <c r="V7" s="1554" t="s">
        <v>13</v>
      </c>
      <c r="W7" s="1555">
        <f t="shared" ref="W7:W15" si="2">J7</f>
        <v>100</v>
      </c>
      <c r="X7" s="1556"/>
      <c r="Y7" s="3489" t="s">
        <v>530</v>
      </c>
      <c r="Z7" s="3490"/>
      <c r="AA7" s="1557">
        <f>D7/F7</f>
        <v>1</v>
      </c>
      <c r="AB7" s="1557">
        <f>D7/H7</f>
        <v>1</v>
      </c>
      <c r="AC7" s="1557">
        <f>D7/J7</f>
        <v>1</v>
      </c>
    </row>
    <row r="8" spans="1:29" s="1215" customFormat="1" ht="15.75" thickBot="1">
      <c r="A8" s="2868"/>
      <c r="B8" s="2875" t="s">
        <v>531</v>
      </c>
      <c r="C8" s="525" t="s">
        <v>576</v>
      </c>
      <c r="D8" s="520">
        <v>100</v>
      </c>
      <c r="E8" s="856" t="s">
        <v>3203</v>
      </c>
      <c r="F8" s="522">
        <f>SUMIF(61:61,E8,62:62)-SUMIF(61:61,C8,62:62)+100</f>
        <v>100</v>
      </c>
      <c r="G8" s="525" t="s">
        <v>3203</v>
      </c>
      <c r="H8" s="520">
        <f>SUMIF(61:61,G8,62:62)-SUMIF(61:61,C8,62:62)+100</f>
        <v>100</v>
      </c>
      <c r="I8" s="856" t="s">
        <v>3203</v>
      </c>
      <c r="J8" s="520">
        <f>SUMIF(61:61,I8,62:62)-SUMIF(61:61,C8,62:62)+100</f>
        <v>100</v>
      </c>
      <c r="K8" s="855"/>
      <c r="L8" s="2120"/>
      <c r="M8" s="2121"/>
      <c r="N8" s="2121"/>
      <c r="O8" s="2121"/>
      <c r="P8" s="3489" t="s">
        <v>533</v>
      </c>
      <c r="Q8" s="3490"/>
      <c r="R8" s="1554" t="s">
        <v>13</v>
      </c>
      <c r="S8" s="1555">
        <f t="shared" si="0"/>
        <v>100</v>
      </c>
      <c r="T8" s="1554" t="s">
        <v>13</v>
      </c>
      <c r="U8" s="1555">
        <f t="shared" si="1"/>
        <v>100</v>
      </c>
      <c r="V8" s="1554" t="s">
        <v>13</v>
      </c>
      <c r="W8" s="1555">
        <f t="shared" si="2"/>
        <v>100</v>
      </c>
      <c r="X8" s="1556"/>
      <c r="Y8" s="3489" t="s">
        <v>533</v>
      </c>
      <c r="Z8" s="3490"/>
      <c r="AA8" s="1557">
        <f t="shared" ref="AA8:AA46" si="3">D8/F8</f>
        <v>1</v>
      </c>
      <c r="AB8" s="1557">
        <f t="shared" ref="AB8:AB46" si="4">D8/H8</f>
        <v>1</v>
      </c>
      <c r="AC8" s="1557">
        <f t="shared" ref="AC8:AC46" si="5">D8/J8</f>
        <v>1</v>
      </c>
    </row>
    <row r="9" spans="1:29" s="1215" customFormat="1" ht="15">
      <c r="A9" s="2869"/>
      <c r="B9" s="2876" t="s">
        <v>2752</v>
      </c>
      <c r="C9" s="3229" t="s">
        <v>3291</v>
      </c>
      <c r="D9" s="254">
        <v>100</v>
      </c>
      <c r="E9" s="858" t="s">
        <v>923</v>
      </c>
      <c r="F9" s="859">
        <f>SUMIF(63:63,E9,64:64)-SUMIF(63:63,C9,64:64)+100</f>
        <v>100</v>
      </c>
      <c r="G9" s="860" t="s">
        <v>923</v>
      </c>
      <c r="H9" s="254">
        <f>SUMIF(63:63,G9,64:64)-SUMIF(63:63,C9,64:64)+100</f>
        <v>100</v>
      </c>
      <c r="I9" s="858" t="s">
        <v>923</v>
      </c>
      <c r="J9" s="254">
        <f>SUMIF(63:63,I9,64:64)-SUMIF(63:63,C9,64:64)+100</f>
        <v>100</v>
      </c>
      <c r="K9" s="855"/>
      <c r="L9" s="2120"/>
      <c r="M9" s="2121"/>
      <c r="N9" s="2121"/>
      <c r="O9" s="2122"/>
      <c r="P9" s="3458" t="s">
        <v>535</v>
      </c>
      <c r="Q9" s="1146" t="str">
        <f t="shared" ref="Q9:Q15" si="6">B9</f>
        <v>用途</v>
      </c>
      <c r="R9" s="1554" t="s">
        <v>8</v>
      </c>
      <c r="S9" s="1555">
        <f t="shared" si="0"/>
        <v>100</v>
      </c>
      <c r="T9" s="1554" t="s">
        <v>8</v>
      </c>
      <c r="U9" s="1555">
        <f t="shared" si="1"/>
        <v>100</v>
      </c>
      <c r="V9" s="1554" t="s">
        <v>8</v>
      </c>
      <c r="W9" s="1555">
        <f t="shared" si="2"/>
        <v>100</v>
      </c>
      <c r="X9" s="1556"/>
      <c r="Y9" s="3404" t="s">
        <v>536</v>
      </c>
      <c r="Z9" s="1145" t="str">
        <f t="shared" ref="Z9:Z15" si="7">Q9</f>
        <v>用途</v>
      </c>
      <c r="AA9" s="1557">
        <f t="shared" si="3"/>
        <v>1</v>
      </c>
      <c r="AB9" s="1557">
        <f t="shared" si="4"/>
        <v>1</v>
      </c>
      <c r="AC9" s="1557">
        <f t="shared" si="5"/>
        <v>1</v>
      </c>
    </row>
    <row r="10" spans="1:29" s="1333" customFormat="1" ht="27">
      <c r="A10" s="2870"/>
      <c r="B10" s="2875" t="s">
        <v>2753</v>
      </c>
      <c r="C10" s="861" t="s">
        <v>3292</v>
      </c>
      <c r="D10" s="255">
        <v>100</v>
      </c>
      <c r="E10" s="862" t="s">
        <v>3292</v>
      </c>
      <c r="F10" s="863">
        <f>SUMIF(65:65,E10,66:66)-SUMIF(65:65,C10,66:66)+100</f>
        <v>100</v>
      </c>
      <c r="G10" s="861" t="s">
        <v>3292</v>
      </c>
      <c r="H10" s="255">
        <f>SUMIF(65:65,G10,66:66)-SUMIF(65:65,C10,66:66)+100</f>
        <v>100</v>
      </c>
      <c r="I10" s="862" t="s">
        <v>3292</v>
      </c>
      <c r="J10" s="255">
        <f>SUMIF(65:65,I10,66:66)-SUMIF(65:65,C10,66:66)+100</f>
        <v>100</v>
      </c>
      <c r="K10" s="864">
        <v>1</v>
      </c>
      <c r="L10" s="2123"/>
      <c r="M10" s="2163"/>
      <c r="N10" s="2163"/>
      <c r="O10" s="2124"/>
      <c r="P10" s="3458"/>
      <c r="Q10" s="1146" t="str">
        <f t="shared" si="6"/>
        <v>土地使用年限（年）</v>
      </c>
      <c r="R10" s="1554" t="s">
        <v>8</v>
      </c>
      <c r="S10" s="1555">
        <f t="shared" si="0"/>
        <v>100</v>
      </c>
      <c r="T10" s="1554" t="s">
        <v>8</v>
      </c>
      <c r="U10" s="1555">
        <f t="shared" si="1"/>
        <v>100</v>
      </c>
      <c r="V10" s="1554" t="s">
        <v>8</v>
      </c>
      <c r="W10" s="1555">
        <f t="shared" si="2"/>
        <v>100</v>
      </c>
      <c r="X10" s="1556"/>
      <c r="Y10" s="3404"/>
      <c r="Z10" s="1145" t="str">
        <f t="shared" si="7"/>
        <v>土地使用年限（年）</v>
      </c>
      <c r="AA10" s="1557">
        <f t="shared" si="3"/>
        <v>1</v>
      </c>
      <c r="AB10" s="1557">
        <f t="shared" si="4"/>
        <v>1</v>
      </c>
      <c r="AC10" s="1557">
        <f t="shared" si="5"/>
        <v>1</v>
      </c>
    </row>
    <row r="11" spans="1:29" ht="15.75" thickBot="1">
      <c r="A11" s="2871"/>
      <c r="B11" s="2875" t="s">
        <v>2754</v>
      </c>
      <c r="C11" s="533">
        <f>'数据-汇总表'!I6</f>
        <v>3.62</v>
      </c>
      <c r="D11" s="255">
        <v>100</v>
      </c>
      <c r="E11" s="534">
        <v>4.5</v>
      </c>
      <c r="F11" s="863">
        <f>LOOKUP(E11,68:68,69:69)-LOOKUP(C11,68:68,69:69)+100</f>
        <v>100</v>
      </c>
      <c r="G11" s="3271">
        <v>3</v>
      </c>
      <c r="H11" s="256">
        <f>LOOKUP(G11,68:68,69:69)-LOOKUP(C11,68:68,69:69)+100</f>
        <v>100</v>
      </c>
      <c r="I11" s="533">
        <v>4.2</v>
      </c>
      <c r="J11" s="255">
        <f>LOOKUP(I11,68:68,69:69)-LOOKUP(C11,68:68,69:69)+100</f>
        <v>100</v>
      </c>
      <c r="K11" s="864">
        <v>0</v>
      </c>
      <c r="L11" s="2125"/>
      <c r="M11" s="2119"/>
      <c r="N11" s="2119"/>
      <c r="O11" s="2126"/>
      <c r="P11" s="3458"/>
      <c r="Q11" s="1146" t="str">
        <f t="shared" si="6"/>
        <v>容积率</v>
      </c>
      <c r="R11" s="1554" t="s">
        <v>11</v>
      </c>
      <c r="S11" s="1555">
        <f t="shared" si="0"/>
        <v>100</v>
      </c>
      <c r="T11" s="1554" t="s">
        <v>11</v>
      </c>
      <c r="U11" s="1555">
        <f t="shared" si="1"/>
        <v>100</v>
      </c>
      <c r="V11" s="1554" t="s">
        <v>11</v>
      </c>
      <c r="W11" s="1555">
        <f t="shared" si="2"/>
        <v>100</v>
      </c>
      <c r="X11" s="1556"/>
      <c r="Y11" s="3404"/>
      <c r="Z11" s="1145" t="str">
        <f t="shared" si="7"/>
        <v>容积率</v>
      </c>
      <c r="AA11" s="1557">
        <f t="shared" si="3"/>
        <v>1</v>
      </c>
      <c r="AB11" s="1557">
        <f t="shared" si="4"/>
        <v>1</v>
      </c>
      <c r="AC11" s="1557">
        <f t="shared" si="5"/>
        <v>1</v>
      </c>
    </row>
    <row r="12" spans="1:29" s="1215" customFormat="1" ht="15" hidden="1">
      <c r="A12" s="2872"/>
      <c r="B12" s="2878"/>
      <c r="C12" s="528"/>
      <c r="D12" s="538">
        <v>100</v>
      </c>
      <c r="E12" s="528"/>
      <c r="F12" s="863">
        <f>SUMIF(70:70,E12,71:71)-SUMIF(70:70,C12,71:71)+100</f>
        <v>100</v>
      </c>
      <c r="G12" s="528"/>
      <c r="H12" s="875">
        <f>SUMIF(70:70,G12,71:71)-SUMIF(70:70,C12,71:71)+100</f>
        <v>100</v>
      </c>
      <c r="I12" s="528"/>
      <c r="J12" s="255">
        <f>SUMIF(70:70,I12,71:71)-SUMIF(70:70,C12,71:71)+100</f>
        <v>100</v>
      </c>
      <c r="K12" s="865"/>
      <c r="L12" s="2120"/>
      <c r="M12" s="2121"/>
      <c r="N12" s="2121"/>
      <c r="O12" s="2122"/>
      <c r="P12" s="3458"/>
      <c r="Q12" s="1146">
        <f t="shared" si="6"/>
        <v>0</v>
      </c>
      <c r="R12" s="1554" t="s">
        <v>11</v>
      </c>
      <c r="S12" s="1555">
        <f t="shared" si="0"/>
        <v>100</v>
      </c>
      <c r="T12" s="1554" t="s">
        <v>11</v>
      </c>
      <c r="U12" s="1555">
        <f t="shared" si="1"/>
        <v>100</v>
      </c>
      <c r="V12" s="1554" t="s">
        <v>11</v>
      </c>
      <c r="W12" s="1555">
        <f t="shared" si="2"/>
        <v>100</v>
      </c>
      <c r="X12" s="1556"/>
      <c r="Y12" s="3404"/>
      <c r="Z12" s="1145">
        <f t="shared" si="7"/>
        <v>0</v>
      </c>
      <c r="AA12" s="1557">
        <f>D12/F12</f>
        <v>1</v>
      </c>
      <c r="AB12" s="1557">
        <f>D12/H12</f>
        <v>1</v>
      </c>
      <c r="AC12" s="1557">
        <f>D12/J12</f>
        <v>1</v>
      </c>
    </row>
    <row r="13" spans="1:29" ht="15" hidden="1">
      <c r="A13" s="2872"/>
      <c r="B13" s="2878"/>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58"/>
      <c r="Q13" s="1146">
        <f t="shared" si="6"/>
        <v>0</v>
      </c>
      <c r="R13" s="1554" t="s">
        <v>11</v>
      </c>
      <c r="S13" s="1555">
        <f t="shared" si="0"/>
        <v>100</v>
      </c>
      <c r="T13" s="1554" t="s">
        <v>11</v>
      </c>
      <c r="U13" s="1555">
        <f t="shared" si="1"/>
        <v>100</v>
      </c>
      <c r="V13" s="1554" t="s">
        <v>11</v>
      </c>
      <c r="W13" s="1555">
        <f t="shared" si="2"/>
        <v>100</v>
      </c>
      <c r="X13" s="1556"/>
      <c r="Y13" s="3404"/>
      <c r="Z13" s="1145">
        <f t="shared" si="7"/>
        <v>0</v>
      </c>
      <c r="AA13" s="1557">
        <f t="shared" si="3"/>
        <v>1</v>
      </c>
      <c r="AB13" s="1557">
        <f t="shared" si="4"/>
        <v>1</v>
      </c>
      <c r="AC13" s="1557">
        <f t="shared" si="5"/>
        <v>1</v>
      </c>
    </row>
    <row r="14" spans="1:29" ht="15.75" hidden="1" thickBot="1">
      <c r="A14" s="2873"/>
      <c r="B14" s="2879"/>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58"/>
      <c r="Q14" s="1146">
        <f t="shared" si="6"/>
        <v>0</v>
      </c>
      <c r="R14" s="1554" t="s">
        <v>11</v>
      </c>
      <c r="S14" s="1555">
        <f t="shared" si="0"/>
        <v>100</v>
      </c>
      <c r="T14" s="1554" t="s">
        <v>11</v>
      </c>
      <c r="U14" s="1555">
        <f t="shared" si="1"/>
        <v>100</v>
      </c>
      <c r="V14" s="1554" t="s">
        <v>11</v>
      </c>
      <c r="W14" s="1555">
        <f t="shared" si="2"/>
        <v>100</v>
      </c>
      <c r="X14" s="1556"/>
      <c r="Y14" s="3404"/>
      <c r="Z14" s="1145">
        <f t="shared" si="7"/>
        <v>0</v>
      </c>
      <c r="AA14" s="1557">
        <f t="shared" si="3"/>
        <v>1</v>
      </c>
      <c r="AB14" s="1557">
        <f t="shared" si="4"/>
        <v>1</v>
      </c>
      <c r="AC14" s="1557">
        <f t="shared" si="5"/>
        <v>1</v>
      </c>
    </row>
    <row r="15" spans="1:29" ht="99.75">
      <c r="A15" s="2865"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110</v>
      </c>
      <c r="I15" s="550"/>
      <c r="J15" s="549">
        <f>SUMIF(76:76,I16,77:77)-SUMIF(76:76,C16,77:77)+100</f>
        <v>110</v>
      </c>
      <c r="K15" s="868">
        <v>5</v>
      </c>
      <c r="L15" s="2127"/>
      <c r="M15" s="2119"/>
      <c r="N15" s="2119"/>
      <c r="O15" s="2126"/>
      <c r="P15" s="3492" t="s">
        <v>540</v>
      </c>
      <c r="Q15" s="1558" t="str">
        <f t="shared" si="6"/>
        <v>居住社区成熟度</v>
      </c>
      <c r="R15" s="1559" t="s">
        <v>11</v>
      </c>
      <c r="S15" s="1560">
        <f t="shared" si="0"/>
        <v>100</v>
      </c>
      <c r="T15" s="1559" t="s">
        <v>11</v>
      </c>
      <c r="U15" s="1560">
        <f t="shared" si="1"/>
        <v>110</v>
      </c>
      <c r="V15" s="1559" t="s">
        <v>11</v>
      </c>
      <c r="W15" s="1560">
        <f t="shared" si="2"/>
        <v>110</v>
      </c>
      <c r="X15" s="1553"/>
      <c r="Y15" s="3492" t="s">
        <v>540</v>
      </c>
      <c r="Z15" s="1561" t="str">
        <f t="shared" si="7"/>
        <v>居住社区成熟度</v>
      </c>
      <c r="AA15" s="1562">
        <f t="shared" si="3"/>
        <v>1</v>
      </c>
      <c r="AB15" s="1562">
        <f t="shared" si="4"/>
        <v>0.90909090909090906</v>
      </c>
      <c r="AC15" s="1562">
        <f t="shared" si="5"/>
        <v>0.90909090909090906</v>
      </c>
    </row>
    <row r="16" spans="1:29" ht="15">
      <c r="A16" s="532"/>
      <c r="B16" s="869"/>
      <c r="C16" s="576" t="s">
        <v>3248</v>
      </c>
      <c r="D16" s="555"/>
      <c r="E16" s="556" t="s">
        <v>3248</v>
      </c>
      <c r="F16" s="557"/>
      <c r="G16" s="558" t="s">
        <v>3249</v>
      </c>
      <c r="H16" s="559"/>
      <c r="I16" s="556" t="s">
        <v>3249</v>
      </c>
      <c r="J16" s="555"/>
      <c r="K16" s="870"/>
      <c r="L16" s="2127"/>
      <c r="M16" s="2119"/>
      <c r="N16" s="2119"/>
      <c r="O16" s="2126"/>
      <c r="P16" s="3493"/>
      <c r="Q16" s="1558"/>
      <c r="R16" s="1559"/>
      <c r="S16" s="1560"/>
      <c r="T16" s="1559"/>
      <c r="U16" s="1560"/>
      <c r="V16" s="1559"/>
      <c r="W16" s="1560"/>
      <c r="X16" s="1553"/>
      <c r="Y16" s="349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7"/>
      <c r="M17" s="2119"/>
      <c r="N17" s="2119"/>
      <c r="O17" s="2126"/>
      <c r="P17" s="3493"/>
      <c r="Q17" s="1558" t="str">
        <f>B17</f>
        <v>交通便捷度</v>
      </c>
      <c r="R17" s="1559" t="s">
        <v>11</v>
      </c>
      <c r="S17" s="1560">
        <f>F17</f>
        <v>100</v>
      </c>
      <c r="T17" s="1559" t="s">
        <v>11</v>
      </c>
      <c r="U17" s="1560">
        <f>H17</f>
        <v>100</v>
      </c>
      <c r="V17" s="1559" t="s">
        <v>11</v>
      </c>
      <c r="W17" s="1560">
        <f>J17</f>
        <v>100</v>
      </c>
      <c r="X17" s="1553"/>
      <c r="Y17" s="3493"/>
      <c r="Z17" s="1561" t="str">
        <f>Q17</f>
        <v>交通便捷度</v>
      </c>
      <c r="AA17" s="1562">
        <f t="shared" si="3"/>
        <v>1</v>
      </c>
      <c r="AB17" s="1562">
        <f t="shared" si="4"/>
        <v>1</v>
      </c>
      <c r="AC17" s="1562">
        <f t="shared" si="5"/>
        <v>1</v>
      </c>
    </row>
    <row r="18" spans="1:29" ht="15">
      <c r="A18" s="532"/>
      <c r="B18" s="595"/>
      <c r="C18" s="873" t="s">
        <v>3249</v>
      </c>
      <c r="D18" s="559"/>
      <c r="E18" s="568" t="s">
        <v>3249</v>
      </c>
      <c r="F18" s="563"/>
      <c r="G18" s="568" t="s">
        <v>3249</v>
      </c>
      <c r="H18" s="555"/>
      <c r="I18" s="568" t="s">
        <v>3249</v>
      </c>
      <c r="J18" s="555"/>
      <c r="K18" s="870"/>
      <c r="L18" s="2127"/>
      <c r="M18" s="2119"/>
      <c r="N18" s="2119"/>
      <c r="O18" s="2126"/>
      <c r="P18" s="3493"/>
      <c r="Q18" s="1558"/>
      <c r="R18" s="1559"/>
      <c r="S18" s="1560"/>
      <c r="T18" s="1559"/>
      <c r="U18" s="1560"/>
      <c r="V18" s="1559"/>
      <c r="W18" s="1560"/>
      <c r="X18" s="1553"/>
      <c r="Y18" s="3493"/>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105</v>
      </c>
      <c r="K19" s="868">
        <v>5</v>
      </c>
      <c r="L19" s="2127"/>
      <c r="M19" s="2119"/>
      <c r="N19" s="2119"/>
      <c r="O19" s="2126"/>
      <c r="P19" s="3493"/>
      <c r="Q19" s="1558" t="str">
        <f>B19</f>
        <v>公共配套设施</v>
      </c>
      <c r="R19" s="1559" t="s">
        <v>11</v>
      </c>
      <c r="S19" s="1560">
        <f>F19</f>
        <v>100</v>
      </c>
      <c r="T19" s="1559" t="s">
        <v>11</v>
      </c>
      <c r="U19" s="1560">
        <f>H19</f>
        <v>105</v>
      </c>
      <c r="V19" s="1559" t="s">
        <v>11</v>
      </c>
      <c r="W19" s="1560">
        <f>J19</f>
        <v>105</v>
      </c>
      <c r="X19" s="1553"/>
      <c r="Y19" s="3493"/>
      <c r="Z19" s="1561" t="str">
        <f>Q19</f>
        <v>公共配套设施</v>
      </c>
      <c r="AA19" s="1562">
        <f t="shared" si="3"/>
        <v>1</v>
      </c>
      <c r="AB19" s="1562">
        <f t="shared" si="4"/>
        <v>0.95238095238095233</v>
      </c>
      <c r="AC19" s="1562">
        <f t="shared" si="5"/>
        <v>0.95238095238095233</v>
      </c>
    </row>
    <row r="20" spans="1:29" ht="15">
      <c r="A20" s="532"/>
      <c r="B20" s="595"/>
      <c r="C20" s="576" t="s">
        <v>3250</v>
      </c>
      <c r="D20" s="555"/>
      <c r="E20" s="556" t="s">
        <v>3250</v>
      </c>
      <c r="F20" s="557"/>
      <c r="G20" s="558" t="s">
        <v>3249</v>
      </c>
      <c r="H20" s="555"/>
      <c r="I20" s="556" t="s">
        <v>3249</v>
      </c>
      <c r="J20" s="555"/>
      <c r="K20" s="870"/>
      <c r="L20" s="2127"/>
      <c r="M20" s="2119"/>
      <c r="N20" s="2119"/>
      <c r="O20" s="2126"/>
      <c r="P20" s="3493"/>
      <c r="Q20" s="1558"/>
      <c r="R20" s="1559"/>
      <c r="S20" s="1560"/>
      <c r="T20" s="1559"/>
      <c r="U20" s="1560"/>
      <c r="V20" s="1559"/>
      <c r="W20" s="1560"/>
      <c r="X20" s="1553"/>
      <c r="Y20" s="3493"/>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7"/>
      <c r="M21" s="2119"/>
      <c r="N21" s="2119"/>
      <c r="O21" s="2126"/>
      <c r="P21" s="3493"/>
      <c r="Q21" s="2543" t="str">
        <f>B21</f>
        <v>基础设施水平</v>
      </c>
      <c r="R21" s="1559" t="s">
        <v>11</v>
      </c>
      <c r="S21" s="1560">
        <f>F21</f>
        <v>100</v>
      </c>
      <c r="T21" s="1559" t="s">
        <v>11</v>
      </c>
      <c r="U21" s="1560">
        <f>H21</f>
        <v>100</v>
      </c>
      <c r="V21" s="1559" t="s">
        <v>11</v>
      </c>
      <c r="W21" s="1560">
        <f>J21</f>
        <v>100</v>
      </c>
      <c r="X21" s="2545"/>
      <c r="Y21" s="3493"/>
      <c r="Z21" s="2544" t="str">
        <f>Q21</f>
        <v>基础设施水平</v>
      </c>
      <c r="AA21" s="1562">
        <f t="shared" ref="AA21" si="8">D21/F21</f>
        <v>1</v>
      </c>
      <c r="AB21" s="1562">
        <f t="shared" ref="AB21" si="9">D21/H21</f>
        <v>1</v>
      </c>
      <c r="AC21" s="1562">
        <f t="shared" ref="AC21" si="10">D21/J21</f>
        <v>1</v>
      </c>
    </row>
    <row r="22" spans="1:29" ht="15">
      <c r="A22" s="532"/>
      <c r="B22" s="921"/>
      <c r="C22" s="873" t="s">
        <v>3293</v>
      </c>
      <c r="D22" s="555"/>
      <c r="E22" s="576" t="s">
        <v>3293</v>
      </c>
      <c r="F22" s="557"/>
      <c r="G22" s="576" t="s">
        <v>3293</v>
      </c>
      <c r="H22" s="555"/>
      <c r="I22" s="576" t="s">
        <v>3293</v>
      </c>
      <c r="J22" s="555"/>
      <c r="K22" s="2563"/>
      <c r="L22" s="2127"/>
      <c r="M22" s="2119"/>
      <c r="N22" s="2119"/>
      <c r="O22" s="2126"/>
      <c r="P22" s="3493"/>
      <c r="Q22" s="2543"/>
      <c r="R22" s="1559"/>
      <c r="S22" s="1560"/>
      <c r="T22" s="1559"/>
      <c r="U22" s="1560"/>
      <c r="V22" s="1559"/>
      <c r="W22" s="1560"/>
      <c r="X22" s="2545"/>
      <c r="Y22" s="3493"/>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93"/>
      <c r="Q23" s="1558" t="str">
        <f>B23</f>
        <v>自然及人文环境</v>
      </c>
      <c r="R23" s="1559" t="s">
        <v>11</v>
      </c>
      <c r="S23" s="1560">
        <f>F23</f>
        <v>100</v>
      </c>
      <c r="T23" s="1559" t="s">
        <v>11</v>
      </c>
      <c r="U23" s="1560">
        <f>H23</f>
        <v>100</v>
      </c>
      <c r="V23" s="1559" t="s">
        <v>11</v>
      </c>
      <c r="W23" s="1560">
        <f>J23</f>
        <v>100</v>
      </c>
      <c r="X23" s="1553"/>
      <c r="Y23" s="3493"/>
      <c r="Z23" s="1561" t="str">
        <f>Q23</f>
        <v>自然及人文环境</v>
      </c>
      <c r="AA23" s="1562">
        <f t="shared" si="3"/>
        <v>1</v>
      </c>
      <c r="AB23" s="1562">
        <f t="shared" si="4"/>
        <v>1</v>
      </c>
      <c r="AC23" s="1562">
        <f t="shared" si="5"/>
        <v>1</v>
      </c>
    </row>
    <row r="24" spans="1:29" ht="15.75" thickBot="1">
      <c r="A24" s="532"/>
      <c r="B24" s="595"/>
      <c r="C24" s="576" t="s">
        <v>3249</v>
      </c>
      <c r="D24" s="555"/>
      <c r="E24" s="556" t="s">
        <v>3249</v>
      </c>
      <c r="F24" s="557"/>
      <c r="G24" s="558" t="s">
        <v>3249</v>
      </c>
      <c r="H24" s="555"/>
      <c r="I24" s="556" t="s">
        <v>3249</v>
      </c>
      <c r="J24" s="555"/>
      <c r="K24" s="870"/>
      <c r="L24" s="2127"/>
      <c r="M24" s="2119"/>
      <c r="N24" s="2119"/>
      <c r="O24" s="2126"/>
      <c r="P24" s="3493"/>
      <c r="Q24" s="1558"/>
      <c r="R24" s="1559"/>
      <c r="S24" s="1560"/>
      <c r="T24" s="1559"/>
      <c r="U24" s="1560"/>
      <c r="V24" s="1559"/>
      <c r="W24" s="1560"/>
      <c r="X24" s="1553"/>
      <c r="Y24" s="3493"/>
      <c r="Z24" s="1561"/>
      <c r="AA24" s="1562">
        <v>1</v>
      </c>
      <c r="AB24" s="1562">
        <v>1</v>
      </c>
      <c r="AC24" s="1562">
        <v>1</v>
      </c>
    </row>
    <row r="25" spans="1:29" ht="15" hidden="1">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93"/>
      <c r="Q25" s="1558" t="str">
        <f t="shared" ref="Q25:Q46" si="11">B25</f>
        <v>楼层-1</v>
      </c>
      <c r="R25" s="1559" t="s">
        <v>11</v>
      </c>
      <c r="S25" s="1560">
        <f>F25</f>
        <v>100</v>
      </c>
      <c r="T25" s="1559" t="s">
        <v>11</v>
      </c>
      <c r="U25" s="1560">
        <f>H25</f>
        <v>100</v>
      </c>
      <c r="V25" s="1559" t="s">
        <v>11</v>
      </c>
      <c r="W25" s="1560">
        <f>J25</f>
        <v>100</v>
      </c>
      <c r="X25" s="1553"/>
      <c r="Y25" s="3493"/>
      <c r="Z25" s="1561" t="str">
        <f>Q25</f>
        <v>楼层-1</v>
      </c>
      <c r="AA25" s="1562">
        <f t="shared" si="3"/>
        <v>1</v>
      </c>
      <c r="AB25" s="1562">
        <f t="shared" si="4"/>
        <v>1</v>
      </c>
      <c r="AC25" s="156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93"/>
      <c r="Q26" s="1558" t="str">
        <f t="shared" si="11"/>
        <v>朝向</v>
      </c>
      <c r="R26" s="1559" t="s">
        <v>11</v>
      </c>
      <c r="S26" s="1560">
        <f>F26</f>
        <v>100</v>
      </c>
      <c r="T26" s="1559" t="s">
        <v>11</v>
      </c>
      <c r="U26" s="1560">
        <f>H26</f>
        <v>100</v>
      </c>
      <c r="V26" s="1559" t="s">
        <v>11</v>
      </c>
      <c r="W26" s="1560">
        <f>J26</f>
        <v>100</v>
      </c>
      <c r="X26" s="1553"/>
      <c r="Y26" s="3493"/>
      <c r="Z26" s="1561" t="str">
        <f>Q26</f>
        <v>朝向</v>
      </c>
      <c r="AA26" s="1562">
        <f t="shared" si="3"/>
        <v>1</v>
      </c>
      <c r="AB26" s="1562">
        <f t="shared" si="4"/>
        <v>1</v>
      </c>
      <c r="AC26" s="1562">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93"/>
      <c r="Q27" s="1146" t="str">
        <f t="shared" si="11"/>
        <v>道路级别</v>
      </c>
      <c r="R27" s="1554" t="s">
        <v>11</v>
      </c>
      <c r="S27" s="1555">
        <f>F27</f>
        <v>100</v>
      </c>
      <c r="T27" s="1554" t="s">
        <v>11</v>
      </c>
      <c r="U27" s="1555">
        <f>H27</f>
        <v>100</v>
      </c>
      <c r="V27" s="1554" t="s">
        <v>11</v>
      </c>
      <c r="W27" s="1555">
        <f>J27</f>
        <v>100</v>
      </c>
      <c r="X27" s="1556"/>
      <c r="Y27" s="3493"/>
      <c r="Z27" s="1145" t="str">
        <f>Q27</f>
        <v>道路级别</v>
      </c>
      <c r="AA27" s="1562">
        <f>D27/F27</f>
        <v>1</v>
      </c>
      <c r="AB27" s="1562">
        <f>D27/H27</f>
        <v>1</v>
      </c>
      <c r="AC27" s="1562">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93"/>
      <c r="Q28" s="1558">
        <f t="shared" si="11"/>
        <v>0</v>
      </c>
      <c r="R28" s="1559" t="s">
        <v>11</v>
      </c>
      <c r="S28" s="1560">
        <f t="shared" ref="S28:S46" si="12">F28</f>
        <v>100</v>
      </c>
      <c r="T28" s="1559" t="s">
        <v>11</v>
      </c>
      <c r="U28" s="1560">
        <f t="shared" ref="U28:U46" si="13">H28</f>
        <v>100</v>
      </c>
      <c r="V28" s="1559" t="s">
        <v>11</v>
      </c>
      <c r="W28" s="1560">
        <f t="shared" ref="W28:W46" si="14">J28</f>
        <v>100</v>
      </c>
      <c r="X28" s="1553"/>
      <c r="Y28" s="3493"/>
      <c r="Z28" s="1561">
        <f t="shared" ref="Z28:Z46" si="15">Q28</f>
        <v>0</v>
      </c>
      <c r="AA28" s="1562">
        <f t="shared" si="3"/>
        <v>1</v>
      </c>
      <c r="AB28" s="1562">
        <f t="shared" si="4"/>
        <v>1</v>
      </c>
      <c r="AC28" s="1562">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93"/>
      <c r="Q29" s="1558">
        <f t="shared" si="11"/>
        <v>0</v>
      </c>
      <c r="R29" s="1559" t="s">
        <v>11</v>
      </c>
      <c r="S29" s="1560">
        <f t="shared" si="12"/>
        <v>100</v>
      </c>
      <c r="T29" s="1559" t="s">
        <v>11</v>
      </c>
      <c r="U29" s="1560">
        <f t="shared" si="13"/>
        <v>100</v>
      </c>
      <c r="V29" s="1559" t="s">
        <v>11</v>
      </c>
      <c r="W29" s="1560">
        <f t="shared" si="14"/>
        <v>100</v>
      </c>
      <c r="X29" s="1553"/>
      <c r="Y29" s="3493"/>
      <c r="Z29" s="1561">
        <f t="shared" si="15"/>
        <v>0</v>
      </c>
      <c r="AA29" s="1562">
        <f t="shared" si="3"/>
        <v>1</v>
      </c>
      <c r="AB29" s="1562">
        <f t="shared" si="4"/>
        <v>1</v>
      </c>
      <c r="AC29" s="1562">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93"/>
      <c r="Q30" s="1558">
        <f t="shared" si="11"/>
        <v>0</v>
      </c>
      <c r="R30" s="1559" t="s">
        <v>11</v>
      </c>
      <c r="S30" s="1560">
        <f t="shared" si="12"/>
        <v>100</v>
      </c>
      <c r="T30" s="1559" t="s">
        <v>11</v>
      </c>
      <c r="U30" s="1560">
        <f t="shared" si="13"/>
        <v>100</v>
      </c>
      <c r="V30" s="1559" t="s">
        <v>11</v>
      </c>
      <c r="W30" s="1560">
        <f t="shared" si="14"/>
        <v>100</v>
      </c>
      <c r="X30" s="1553"/>
      <c r="Y30" s="3493"/>
      <c r="Z30" s="1561">
        <f t="shared" si="15"/>
        <v>0</v>
      </c>
      <c r="AA30" s="1562">
        <f t="shared" si="3"/>
        <v>1</v>
      </c>
      <c r="AB30" s="1562">
        <f t="shared" si="4"/>
        <v>1</v>
      </c>
      <c r="AC30" s="1562">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93"/>
      <c r="Q31" s="1558">
        <f t="shared" si="11"/>
        <v>0</v>
      </c>
      <c r="R31" s="1559" t="s">
        <v>11</v>
      </c>
      <c r="S31" s="1560">
        <f t="shared" si="12"/>
        <v>100</v>
      </c>
      <c r="T31" s="1559" t="s">
        <v>11</v>
      </c>
      <c r="U31" s="1560">
        <f t="shared" si="13"/>
        <v>100</v>
      </c>
      <c r="V31" s="1559" t="s">
        <v>11</v>
      </c>
      <c r="W31" s="1560">
        <f t="shared" si="14"/>
        <v>100</v>
      </c>
      <c r="X31" s="1553"/>
      <c r="Y31" s="3493"/>
      <c r="Z31" s="1561">
        <f t="shared" si="15"/>
        <v>0</v>
      </c>
      <c r="AA31" s="1562">
        <f t="shared" si="3"/>
        <v>1</v>
      </c>
      <c r="AB31" s="1562">
        <f t="shared" si="4"/>
        <v>1</v>
      </c>
      <c r="AC31" s="1562">
        <f t="shared" si="5"/>
        <v>1</v>
      </c>
    </row>
    <row r="32" spans="1:29" ht="15">
      <c r="A32" s="2862" t="s">
        <v>2751</v>
      </c>
      <c r="B32" s="172" t="s">
        <v>725</v>
      </c>
      <c r="C32" s="878" t="s">
        <v>3197</v>
      </c>
      <c r="D32" s="597">
        <v>100</v>
      </c>
      <c r="E32" s="878" t="s">
        <v>3197</v>
      </c>
      <c r="F32" s="575">
        <f>SUMIF(100:100,E32,101:101)-SUMIF(100:100,C32,101:101)+100</f>
        <v>100</v>
      </c>
      <c r="G32" s="878" t="s">
        <v>3197</v>
      </c>
      <c r="H32" s="597">
        <f>SUMIF(100:100,G32,101:101)-SUMIF(100:100,C32,101:101)+100</f>
        <v>100</v>
      </c>
      <c r="I32" s="878" t="s">
        <v>3197</v>
      </c>
      <c r="J32" s="540">
        <f>SUMIF(100:100,I32,101:101)-SUMIF(100:100,C32,101:101)+100</f>
        <v>100</v>
      </c>
      <c r="K32" s="864">
        <v>5</v>
      </c>
      <c r="L32" s="2127"/>
      <c r="M32" s="2119"/>
      <c r="N32" s="2119"/>
      <c r="O32" s="2126"/>
      <c r="P32" s="3494" t="s">
        <v>550</v>
      </c>
      <c r="Q32" s="1558" t="str">
        <f t="shared" si="11"/>
        <v>建筑类型</v>
      </c>
      <c r="R32" s="1559" t="s">
        <v>11</v>
      </c>
      <c r="S32" s="1560">
        <f t="shared" si="12"/>
        <v>100</v>
      </c>
      <c r="T32" s="1559" t="s">
        <v>11</v>
      </c>
      <c r="U32" s="1560">
        <f t="shared" si="13"/>
        <v>100</v>
      </c>
      <c r="V32" s="1559" t="s">
        <v>11</v>
      </c>
      <c r="W32" s="1560">
        <f t="shared" si="14"/>
        <v>100</v>
      </c>
      <c r="X32" s="1553"/>
      <c r="Y32" s="3495" t="s">
        <v>550</v>
      </c>
      <c r="Z32" s="1561" t="str">
        <f t="shared" si="15"/>
        <v>建筑类型</v>
      </c>
      <c r="AA32" s="1562">
        <f t="shared" si="3"/>
        <v>1</v>
      </c>
      <c r="AB32" s="1562">
        <f t="shared" si="4"/>
        <v>1</v>
      </c>
      <c r="AC32" s="1562">
        <f t="shared" si="5"/>
        <v>1</v>
      </c>
    </row>
    <row r="33" spans="1:29" s="1334" customFormat="1" ht="15">
      <c r="A33" s="603"/>
      <c r="B33" s="527" t="s">
        <v>726</v>
      </c>
      <c r="C33" s="879">
        <f>'数据-汇总表'!E3</f>
        <v>760592.91999999993</v>
      </c>
      <c r="D33" s="255">
        <v>100</v>
      </c>
      <c r="E33" s="879">
        <v>1960000</v>
      </c>
      <c r="F33" s="863">
        <f>LOOKUP(E33,103:103,104:104)-LOOKUP(C33,103:103,104:104)+100</f>
        <v>100</v>
      </c>
      <c r="G33" s="879">
        <v>1000000</v>
      </c>
      <c r="H33" s="255">
        <f>LOOKUP(G33,103:103,104:104)-LOOKUP(C33,103:103,104:104)+100</f>
        <v>100</v>
      </c>
      <c r="I33" s="879">
        <v>68911.58</v>
      </c>
      <c r="J33" s="255">
        <f>LOOKUP(I33,103:103,104:104)-LOOKUP(C33,103:103,104:104)+100</f>
        <v>100</v>
      </c>
      <c r="K33" s="865"/>
      <c r="L33" s="2125"/>
      <c r="M33" s="2156"/>
      <c r="N33" s="2156"/>
      <c r="O33" s="2128"/>
      <c r="P33" s="3495"/>
      <c r="Q33" s="1590" t="str">
        <f t="shared" si="11"/>
        <v>项目建筑规模</v>
      </c>
      <c r="R33" s="1563" t="s">
        <v>11</v>
      </c>
      <c r="S33" s="1564">
        <f t="shared" si="12"/>
        <v>100</v>
      </c>
      <c r="T33" s="1563" t="s">
        <v>11</v>
      </c>
      <c r="U33" s="1564">
        <f t="shared" si="13"/>
        <v>100</v>
      </c>
      <c r="V33" s="1563" t="s">
        <v>11</v>
      </c>
      <c r="W33" s="1564">
        <f t="shared" si="14"/>
        <v>100</v>
      </c>
      <c r="X33" s="1565"/>
      <c r="Y33" s="3495"/>
      <c r="Z33" s="1566" t="str">
        <f t="shared" si="15"/>
        <v>项目建筑规模</v>
      </c>
      <c r="AA33" s="1562">
        <f t="shared" si="3"/>
        <v>1</v>
      </c>
      <c r="AB33" s="1562">
        <f t="shared" si="4"/>
        <v>1</v>
      </c>
      <c r="AC33" s="1562">
        <f t="shared" si="5"/>
        <v>1</v>
      </c>
    </row>
    <row r="34" spans="1:29" ht="15">
      <c r="A34" s="594"/>
      <c r="B34" s="527" t="s">
        <v>727</v>
      </c>
      <c r="C34" s="880" t="s">
        <v>3287</v>
      </c>
      <c r="D34" s="540">
        <v>100</v>
      </c>
      <c r="E34" s="880" t="s">
        <v>3287</v>
      </c>
      <c r="F34" s="575">
        <f>SUMIF(105:105,E34,106:106)-SUMIF(105:105,C34,106:106)+100</f>
        <v>100</v>
      </c>
      <c r="G34" s="880" t="s">
        <v>3287</v>
      </c>
      <c r="H34" s="540">
        <f>SUMIF(105:105,G34,106:106)-SUMIF(105:105,C34,106:106)+100</f>
        <v>100</v>
      </c>
      <c r="I34" s="880" t="s">
        <v>3287</v>
      </c>
      <c r="J34" s="540">
        <f>SUMIF(105:105,I34,106:106)-SUMIF(105:105,C34,106:106)+100</f>
        <v>100</v>
      </c>
      <c r="K34" s="864">
        <v>2</v>
      </c>
      <c r="L34" s="2127"/>
      <c r="M34" s="2119"/>
      <c r="N34" s="2119"/>
      <c r="O34" s="2126"/>
      <c r="P34" s="3495"/>
      <c r="Q34" s="1558" t="str">
        <f t="shared" si="11"/>
        <v>建筑结构</v>
      </c>
      <c r="R34" s="1559" t="s">
        <v>11</v>
      </c>
      <c r="S34" s="1560">
        <f t="shared" si="12"/>
        <v>100</v>
      </c>
      <c r="T34" s="1559" t="s">
        <v>11</v>
      </c>
      <c r="U34" s="1560">
        <f t="shared" si="13"/>
        <v>100</v>
      </c>
      <c r="V34" s="1559" t="s">
        <v>11</v>
      </c>
      <c r="W34" s="1560">
        <f t="shared" si="14"/>
        <v>100</v>
      </c>
      <c r="X34" s="1553"/>
      <c r="Y34" s="3495"/>
      <c r="Z34" s="1561" t="str">
        <f t="shared" si="15"/>
        <v>建筑结构</v>
      </c>
      <c r="AA34" s="1562">
        <f t="shared" si="3"/>
        <v>1</v>
      </c>
      <c r="AB34" s="1562">
        <f t="shared" si="4"/>
        <v>1</v>
      </c>
      <c r="AC34" s="1562">
        <f t="shared" si="5"/>
        <v>1</v>
      </c>
    </row>
    <row r="35" spans="1:29" ht="15">
      <c r="A35" s="594"/>
      <c r="B35" s="527" t="s">
        <v>728</v>
      </c>
      <c r="C35" s="599" t="s">
        <v>3305</v>
      </c>
      <c r="D35" s="540">
        <v>100</v>
      </c>
      <c r="E35" s="599" t="s">
        <v>3305</v>
      </c>
      <c r="F35" s="575">
        <f>SUMIF(107:107,E35,108:108)-SUMIF(107:107,C35,108:108)+100</f>
        <v>100</v>
      </c>
      <c r="G35" s="599" t="s">
        <v>3305</v>
      </c>
      <c r="H35" s="540">
        <f>SUMIF(107:107,G35,108:108)-SUMIF(107:107,C35,108:108)+100</f>
        <v>100</v>
      </c>
      <c r="I35" s="599" t="s">
        <v>3305</v>
      </c>
      <c r="J35" s="540">
        <f>SUMIF(107:107,I35,108:108)-SUMIF(107:107,C35,108:108)+100</f>
        <v>100</v>
      </c>
      <c r="K35" s="864">
        <v>2</v>
      </c>
      <c r="L35" s="2127"/>
      <c r="M35" s="2119"/>
      <c r="N35" s="2119"/>
      <c r="O35" s="2126"/>
      <c r="P35" s="3495"/>
      <c r="Q35" s="1558" t="str">
        <f t="shared" si="11"/>
        <v>建筑品质</v>
      </c>
      <c r="R35" s="1559" t="s">
        <v>11</v>
      </c>
      <c r="S35" s="1560">
        <f t="shared" si="12"/>
        <v>100</v>
      </c>
      <c r="T35" s="1559" t="s">
        <v>11</v>
      </c>
      <c r="U35" s="1560">
        <f t="shared" si="13"/>
        <v>100</v>
      </c>
      <c r="V35" s="1559" t="s">
        <v>11</v>
      </c>
      <c r="W35" s="1560">
        <f t="shared" si="14"/>
        <v>100</v>
      </c>
      <c r="X35" s="1553"/>
      <c r="Y35" s="3495"/>
      <c r="Z35" s="1561" t="str">
        <f t="shared" si="15"/>
        <v>建筑品质</v>
      </c>
      <c r="AA35" s="1562">
        <f t="shared" si="3"/>
        <v>1</v>
      </c>
      <c r="AB35" s="1562">
        <f t="shared" si="4"/>
        <v>1</v>
      </c>
      <c r="AC35" s="1562">
        <f t="shared" si="5"/>
        <v>1</v>
      </c>
    </row>
    <row r="36" spans="1:29" ht="15">
      <c r="A36" s="594"/>
      <c r="B36" s="527" t="s">
        <v>729</v>
      </c>
      <c r="C36" s="599" t="s">
        <v>3295</v>
      </c>
      <c r="D36" s="540">
        <v>100</v>
      </c>
      <c r="E36" s="599" t="s">
        <v>3295</v>
      </c>
      <c r="F36" s="575">
        <f>SUMIF(109:109,E36,110:110)-SUMIF(109:109,C36,110:110)+100</f>
        <v>100</v>
      </c>
      <c r="G36" s="599" t="s">
        <v>3295</v>
      </c>
      <c r="H36" s="540">
        <f>SUMIF(109:109,G36,110:110)-SUMIF(109:109,C36,110:110)+100</f>
        <v>100</v>
      </c>
      <c r="I36" s="599" t="s">
        <v>3295</v>
      </c>
      <c r="J36" s="540">
        <f>SUMIF(109:109,I36,110:110)-SUMIF(109:109,C36,110:110)+100</f>
        <v>100</v>
      </c>
      <c r="K36" s="864">
        <v>2</v>
      </c>
      <c r="L36" s="2127"/>
      <c r="M36" s="2119"/>
      <c r="N36" s="2119"/>
      <c r="O36" s="2126"/>
      <c r="P36" s="3495"/>
      <c r="Q36" s="1558" t="str">
        <f t="shared" si="11"/>
        <v>公共部分装修</v>
      </c>
      <c r="R36" s="1559" t="s">
        <v>11</v>
      </c>
      <c r="S36" s="1560">
        <f t="shared" si="12"/>
        <v>100</v>
      </c>
      <c r="T36" s="1559" t="s">
        <v>11</v>
      </c>
      <c r="U36" s="1560">
        <f t="shared" si="13"/>
        <v>100</v>
      </c>
      <c r="V36" s="1559" t="s">
        <v>11</v>
      </c>
      <c r="W36" s="1560">
        <f t="shared" si="14"/>
        <v>100</v>
      </c>
      <c r="X36" s="1553"/>
      <c r="Y36" s="3495"/>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20"/>
      <c r="M37" s="2121"/>
      <c r="N37" s="2121"/>
      <c r="O37" s="2122"/>
      <c r="P37" s="3495"/>
      <c r="Q37" s="1146" t="str">
        <f t="shared" si="11"/>
        <v>成新度</v>
      </c>
      <c r="R37" s="1554" t="s">
        <v>11</v>
      </c>
      <c r="S37" s="1555">
        <f t="shared" si="12"/>
        <v>100</v>
      </c>
      <c r="T37" s="1554" t="s">
        <v>11</v>
      </c>
      <c r="U37" s="1555">
        <f t="shared" si="13"/>
        <v>100</v>
      </c>
      <c r="V37" s="1554" t="s">
        <v>11</v>
      </c>
      <c r="W37" s="1555">
        <f t="shared" si="14"/>
        <v>100</v>
      </c>
      <c r="X37" s="1556"/>
      <c r="Y37" s="3495"/>
      <c r="Z37" s="1145" t="str">
        <f t="shared" si="15"/>
        <v>成新度</v>
      </c>
      <c r="AA37" s="1557">
        <f t="shared" si="3"/>
        <v>1</v>
      </c>
      <c r="AB37" s="1557">
        <f t="shared" si="4"/>
        <v>1</v>
      </c>
      <c r="AC37" s="1557">
        <f t="shared" si="5"/>
        <v>1</v>
      </c>
    </row>
    <row r="38" spans="1:29" ht="15">
      <c r="A38" s="594"/>
      <c r="B38" s="527" t="s">
        <v>731</v>
      </c>
      <c r="C38" s="599" t="s">
        <v>3302</v>
      </c>
      <c r="D38" s="540">
        <v>100</v>
      </c>
      <c r="E38" s="599" t="s">
        <v>3302</v>
      </c>
      <c r="F38" s="575">
        <f>SUMIF(114:114,E38,115:115)-SUMIF(114:114,C38,115:115)+100</f>
        <v>100</v>
      </c>
      <c r="G38" s="599" t="s">
        <v>3302</v>
      </c>
      <c r="H38" s="540">
        <f>SUMIF(114:114,G38,115:115)-SUMIF(114:114,C38,115:115)+100</f>
        <v>100</v>
      </c>
      <c r="I38" s="599" t="s">
        <v>3302</v>
      </c>
      <c r="J38" s="540">
        <f>SUMIF(114:114,I38,115:115)-SUMIF(114:114,C38,115:115)+100</f>
        <v>100</v>
      </c>
      <c r="K38" s="864">
        <v>2</v>
      </c>
      <c r="L38" s="2127"/>
      <c r="M38" s="2119"/>
      <c r="N38" s="2119"/>
      <c r="O38" s="2126"/>
      <c r="P38" s="3495" t="s">
        <v>550</v>
      </c>
      <c r="Q38" s="1558" t="str">
        <f t="shared" si="11"/>
        <v>物业管理</v>
      </c>
      <c r="R38" s="1559" t="s">
        <v>11</v>
      </c>
      <c r="S38" s="1560">
        <f t="shared" si="12"/>
        <v>100</v>
      </c>
      <c r="T38" s="1559" t="s">
        <v>11</v>
      </c>
      <c r="U38" s="1560">
        <f t="shared" si="13"/>
        <v>100</v>
      </c>
      <c r="V38" s="1559" t="s">
        <v>11</v>
      </c>
      <c r="W38" s="1560">
        <f t="shared" si="14"/>
        <v>100</v>
      </c>
      <c r="X38" s="1553"/>
      <c r="Y38" s="3495" t="s">
        <v>550</v>
      </c>
      <c r="Z38" s="1561" t="str">
        <f t="shared" si="15"/>
        <v>物业管理</v>
      </c>
      <c r="AA38" s="1562">
        <f t="shared" si="3"/>
        <v>1</v>
      </c>
      <c r="AB38" s="1562">
        <f t="shared" si="4"/>
        <v>1</v>
      </c>
      <c r="AC38" s="1562">
        <f t="shared" si="5"/>
        <v>1</v>
      </c>
    </row>
    <row r="39" spans="1:29" ht="15">
      <c r="A39" s="594"/>
      <c r="B39" s="1880" t="s">
        <v>2561</v>
      </c>
      <c r="C39" s="599" t="s">
        <v>3293</v>
      </c>
      <c r="D39" s="540">
        <v>100</v>
      </c>
      <c r="E39" s="599" t="s">
        <v>3293</v>
      </c>
      <c r="F39" s="575">
        <f>SUMIF(116:116,E39,117:117)-SUMIF(116:116,C39,117:117)+100</f>
        <v>100</v>
      </c>
      <c r="G39" s="599" t="s">
        <v>3293</v>
      </c>
      <c r="H39" s="540">
        <f>SUMIF(116:116,G39,117:117)-SUMIF(116:116,C39,117:117)+100</f>
        <v>100</v>
      </c>
      <c r="I39" s="599" t="s">
        <v>3293</v>
      </c>
      <c r="J39" s="540">
        <f>SUMIF(116:116,I39,117:117)-SUMIF(116:116,C39,117:117)+100</f>
        <v>100</v>
      </c>
      <c r="K39" s="864">
        <v>2</v>
      </c>
      <c r="L39" s="2127"/>
      <c r="M39" s="2119"/>
      <c r="N39" s="2119"/>
      <c r="O39" s="2126"/>
      <c r="P39" s="3495"/>
      <c r="Q39" s="1558" t="str">
        <f t="shared" si="11"/>
        <v>市政基础设施</v>
      </c>
      <c r="R39" s="1559" t="s">
        <v>11</v>
      </c>
      <c r="S39" s="1560">
        <f t="shared" si="12"/>
        <v>100</v>
      </c>
      <c r="T39" s="1559" t="s">
        <v>11</v>
      </c>
      <c r="U39" s="1560">
        <f t="shared" si="13"/>
        <v>100</v>
      </c>
      <c r="V39" s="1559" t="s">
        <v>11</v>
      </c>
      <c r="W39" s="1560">
        <f t="shared" si="14"/>
        <v>100</v>
      </c>
      <c r="X39" s="1553"/>
      <c r="Y39" s="3495"/>
      <c r="Z39" s="1561" t="str">
        <f t="shared" si="15"/>
        <v>市政基础设施</v>
      </c>
      <c r="AA39" s="1562">
        <f t="shared" si="3"/>
        <v>1</v>
      </c>
      <c r="AB39" s="1562">
        <f t="shared" si="4"/>
        <v>1</v>
      </c>
      <c r="AC39" s="1562">
        <f t="shared" si="5"/>
        <v>1</v>
      </c>
    </row>
    <row r="40" spans="1:29" ht="15">
      <c r="A40" s="594"/>
      <c r="B40" s="527" t="s">
        <v>732</v>
      </c>
      <c r="C40" s="599" t="s">
        <v>3299</v>
      </c>
      <c r="D40" s="540">
        <v>100</v>
      </c>
      <c r="E40" s="599" t="s">
        <v>3299</v>
      </c>
      <c r="F40" s="575">
        <f>SUMIF(118:118,E40,119:119)-SUMIF(118:118,C40,119:119)+100</f>
        <v>100</v>
      </c>
      <c r="G40" s="599" t="s">
        <v>3299</v>
      </c>
      <c r="H40" s="540">
        <f>SUMIF(118:118,G40,119:119)-SUMIF(118:118,C40,119:119)+100</f>
        <v>100</v>
      </c>
      <c r="I40" s="599" t="s">
        <v>3299</v>
      </c>
      <c r="J40" s="540">
        <f>SUMIF(118:118,I40,119:119)-SUMIF(118:118,C40,119:119)+100</f>
        <v>100</v>
      </c>
      <c r="K40" s="864">
        <v>2</v>
      </c>
      <c r="L40" s="2127"/>
      <c r="M40" s="2119"/>
      <c r="N40" s="2119"/>
      <c r="O40" s="2126"/>
      <c r="P40" s="3495"/>
      <c r="Q40" s="1558" t="str">
        <f t="shared" si="11"/>
        <v>房型</v>
      </c>
      <c r="R40" s="1559" t="s">
        <v>11</v>
      </c>
      <c r="S40" s="1560">
        <f t="shared" si="12"/>
        <v>100</v>
      </c>
      <c r="T40" s="1559" t="s">
        <v>11</v>
      </c>
      <c r="U40" s="1560">
        <f t="shared" si="13"/>
        <v>100</v>
      </c>
      <c r="V40" s="1559" t="s">
        <v>11</v>
      </c>
      <c r="W40" s="1560">
        <f t="shared" si="14"/>
        <v>100</v>
      </c>
      <c r="X40" s="1553"/>
      <c r="Y40" s="3495"/>
      <c r="Z40" s="1561" t="str">
        <f t="shared" si="15"/>
        <v>房型</v>
      </c>
      <c r="AA40" s="1562">
        <f t="shared" si="3"/>
        <v>1</v>
      </c>
      <c r="AB40" s="1562">
        <f t="shared" si="4"/>
        <v>1</v>
      </c>
      <c r="AC40" s="1562">
        <f t="shared" si="5"/>
        <v>1</v>
      </c>
    </row>
    <row r="41" spans="1:29" s="1334"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495"/>
      <c r="Q41" s="1590" t="str">
        <f t="shared" si="11"/>
        <v>单套/主力户型建筑面积</v>
      </c>
      <c r="R41" s="1563" t="s">
        <v>11</v>
      </c>
      <c r="S41" s="1564">
        <f t="shared" si="12"/>
        <v>100</v>
      </c>
      <c r="T41" s="1563" t="s">
        <v>11</v>
      </c>
      <c r="U41" s="1564">
        <f t="shared" si="13"/>
        <v>100</v>
      </c>
      <c r="V41" s="1563" t="s">
        <v>11</v>
      </c>
      <c r="W41" s="1564">
        <f t="shared" si="14"/>
        <v>100</v>
      </c>
      <c r="X41" s="1565"/>
      <c r="Y41" s="3495"/>
      <c r="Z41" s="1566" t="str">
        <f t="shared" si="15"/>
        <v>单套/主力户型建筑面积</v>
      </c>
      <c r="AA41" s="1562">
        <f t="shared" si="3"/>
        <v>1</v>
      </c>
      <c r="AB41" s="1562">
        <f t="shared" si="4"/>
        <v>1</v>
      </c>
      <c r="AC41" s="1562">
        <f t="shared" si="5"/>
        <v>1</v>
      </c>
    </row>
    <row r="42" spans="1:29" ht="15">
      <c r="A42" s="594"/>
      <c r="B42" s="527" t="s">
        <v>734</v>
      </c>
      <c r="C42" s="599" t="s">
        <v>3295</v>
      </c>
      <c r="D42" s="540">
        <v>100</v>
      </c>
      <c r="E42" s="599" t="s">
        <v>3295</v>
      </c>
      <c r="F42" s="575">
        <f>SUMIF(122:122,E42,123:123)-SUMIF(122:122,C42,123:123)+100</f>
        <v>100</v>
      </c>
      <c r="G42" s="599" t="s">
        <v>3295</v>
      </c>
      <c r="H42" s="540">
        <f>SUMIF(122:122,G42,123:123)-SUMIF(122:122,C42,123:123)+100</f>
        <v>100</v>
      </c>
      <c r="I42" s="599" t="s">
        <v>3295</v>
      </c>
      <c r="J42" s="540">
        <f>SUMIF(122:122,I42,123:123)-SUMIF(122:122,C42,123:123)+100</f>
        <v>100</v>
      </c>
      <c r="K42" s="864">
        <v>5</v>
      </c>
      <c r="L42" s="2127"/>
      <c r="M42" s="2119"/>
      <c r="N42" s="2119"/>
      <c r="O42" s="2126"/>
      <c r="P42" s="3495"/>
      <c r="Q42" s="1558" t="str">
        <f t="shared" si="11"/>
        <v>内部装修</v>
      </c>
      <c r="R42" s="1559" t="s">
        <v>11</v>
      </c>
      <c r="S42" s="1560">
        <f t="shared" si="12"/>
        <v>100</v>
      </c>
      <c r="T42" s="1559" t="s">
        <v>11</v>
      </c>
      <c r="U42" s="1560">
        <f t="shared" si="13"/>
        <v>100</v>
      </c>
      <c r="V42" s="1559" t="s">
        <v>11</v>
      </c>
      <c r="W42" s="1560">
        <f t="shared" si="14"/>
        <v>100</v>
      </c>
      <c r="X42" s="1553"/>
      <c r="Y42" s="3495"/>
      <c r="Z42" s="1561" t="str">
        <f t="shared" si="15"/>
        <v>内部装修</v>
      </c>
      <c r="AA42" s="1562">
        <f t="shared" si="3"/>
        <v>1</v>
      </c>
      <c r="AB42" s="1562">
        <f t="shared" si="4"/>
        <v>1</v>
      </c>
      <c r="AC42" s="1562">
        <f t="shared" si="5"/>
        <v>1</v>
      </c>
    </row>
    <row r="43" spans="1:29" ht="27.75" thickBot="1">
      <c r="A43" s="594"/>
      <c r="B43" s="527" t="s">
        <v>735</v>
      </c>
      <c r="C43" s="599" t="s">
        <v>3249</v>
      </c>
      <c r="D43" s="540">
        <v>100</v>
      </c>
      <c r="E43" s="599" t="s">
        <v>3249</v>
      </c>
      <c r="F43" s="575">
        <f>SUMIF(124:124,E43,125:125)-SUMIF(124:124,C43,125:125)+100</f>
        <v>100</v>
      </c>
      <c r="G43" s="599" t="s">
        <v>3249</v>
      </c>
      <c r="H43" s="540">
        <f>SUMIF(124:124,G43,125:125)-SUMIF(124:124,C43,125:125)+100</f>
        <v>100</v>
      </c>
      <c r="I43" s="599" t="s">
        <v>3249</v>
      </c>
      <c r="J43" s="540">
        <f>SUMIF(124:124,I43,125:125)-SUMIF(124:124,C43,125:125)+100</f>
        <v>100</v>
      </c>
      <c r="K43" s="864">
        <v>2</v>
      </c>
      <c r="L43" s="2127"/>
      <c r="M43" s="2119"/>
      <c r="N43" s="2119"/>
      <c r="O43" s="2126"/>
      <c r="P43" s="3495"/>
      <c r="Q43" s="1558" t="str">
        <f t="shared" si="11"/>
        <v>内部装修维护情况</v>
      </c>
      <c r="R43" s="1559" t="s">
        <v>11</v>
      </c>
      <c r="S43" s="1560">
        <f t="shared" si="12"/>
        <v>100</v>
      </c>
      <c r="T43" s="1559" t="s">
        <v>11</v>
      </c>
      <c r="U43" s="1560">
        <f t="shared" si="13"/>
        <v>100</v>
      </c>
      <c r="V43" s="1559" t="s">
        <v>11</v>
      </c>
      <c r="W43" s="1560">
        <f t="shared" si="14"/>
        <v>100</v>
      </c>
      <c r="X43" s="1553"/>
      <c r="Y43" s="3495"/>
      <c r="Z43" s="1561" t="str">
        <f t="shared" si="15"/>
        <v>内部装修维护情况</v>
      </c>
      <c r="AA43" s="1562">
        <f t="shared" si="3"/>
        <v>1</v>
      </c>
      <c r="AB43" s="1562">
        <f t="shared" si="4"/>
        <v>1</v>
      </c>
      <c r="AC43" s="1562">
        <f t="shared" si="5"/>
        <v>1</v>
      </c>
    </row>
    <row r="44" spans="1:29" s="1215"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95"/>
      <c r="Q44" s="1146">
        <f t="shared" si="11"/>
        <v>0</v>
      </c>
      <c r="R44" s="1554" t="s">
        <v>11</v>
      </c>
      <c r="S44" s="1555">
        <f t="shared" si="12"/>
        <v>100</v>
      </c>
      <c r="T44" s="1554" t="s">
        <v>11</v>
      </c>
      <c r="U44" s="1555">
        <f t="shared" si="13"/>
        <v>100</v>
      </c>
      <c r="V44" s="1554" t="s">
        <v>11</v>
      </c>
      <c r="W44" s="1555">
        <f t="shared" si="14"/>
        <v>100</v>
      </c>
      <c r="X44" s="1556"/>
      <c r="Y44" s="3495"/>
      <c r="Z44" s="1145">
        <f t="shared" si="15"/>
        <v>0</v>
      </c>
      <c r="AA44" s="1557">
        <f t="shared" si="3"/>
        <v>1</v>
      </c>
      <c r="AB44" s="1557">
        <f t="shared" si="4"/>
        <v>1</v>
      </c>
      <c r="AC44" s="1557">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95"/>
      <c r="Q45" s="1558">
        <f t="shared" si="11"/>
        <v>0</v>
      </c>
      <c r="R45" s="1559" t="s">
        <v>11</v>
      </c>
      <c r="S45" s="1560">
        <f t="shared" si="12"/>
        <v>100</v>
      </c>
      <c r="T45" s="1559" t="s">
        <v>11</v>
      </c>
      <c r="U45" s="1560">
        <f t="shared" si="13"/>
        <v>100</v>
      </c>
      <c r="V45" s="1559" t="s">
        <v>11</v>
      </c>
      <c r="W45" s="1560">
        <f t="shared" si="14"/>
        <v>100</v>
      </c>
      <c r="X45" s="1553"/>
      <c r="Y45" s="3495"/>
      <c r="Z45" s="1561">
        <f t="shared" si="15"/>
        <v>0</v>
      </c>
      <c r="AA45" s="1562">
        <f t="shared" si="3"/>
        <v>1</v>
      </c>
      <c r="AB45" s="1562">
        <f t="shared" si="4"/>
        <v>1</v>
      </c>
      <c r="AC45" s="1562">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74"/>
      <c r="Q46" s="1558">
        <f t="shared" si="11"/>
        <v>0</v>
      </c>
      <c r="R46" s="1559" t="s">
        <v>10</v>
      </c>
      <c r="S46" s="1560">
        <f t="shared" si="12"/>
        <v>100</v>
      </c>
      <c r="T46" s="1559" t="s">
        <v>10</v>
      </c>
      <c r="U46" s="1560">
        <f t="shared" si="13"/>
        <v>100</v>
      </c>
      <c r="V46" s="1559" t="s">
        <v>10</v>
      </c>
      <c r="W46" s="1560">
        <f t="shared" si="14"/>
        <v>100</v>
      </c>
      <c r="X46" s="1553"/>
      <c r="Y46" s="3574"/>
      <c r="Z46" s="1561">
        <f t="shared" si="15"/>
        <v>0</v>
      </c>
      <c r="AA46" s="1562">
        <f t="shared" si="3"/>
        <v>1</v>
      </c>
      <c r="AB46" s="1562">
        <f t="shared" si="4"/>
        <v>1</v>
      </c>
      <c r="AC46" s="1562">
        <f t="shared" si="5"/>
        <v>1</v>
      </c>
    </row>
    <row r="47" spans="1:29" ht="15">
      <c r="A47" s="607" t="s">
        <v>736</v>
      </c>
      <c r="B47" s="886"/>
      <c r="C47" s="2591" t="s">
        <v>9</v>
      </c>
      <c r="D47" s="2592"/>
      <c r="E47" s="2593">
        <f>ROUND(11000*$F$50,0)</f>
        <v>10780</v>
      </c>
      <c r="F47" s="2594"/>
      <c r="G47" s="2593">
        <f>ROUND(12000*$F$50,0)</f>
        <v>11760</v>
      </c>
      <c r="H47" s="2596"/>
      <c r="I47" s="2593">
        <f>ROUND(11000*$F$50,0)</f>
        <v>10780</v>
      </c>
      <c r="J47" s="2596"/>
      <c r="K47" s="1591"/>
      <c r="L47" s="2129"/>
      <c r="M47" s="2130"/>
      <c r="N47" s="2119"/>
      <c r="O47" s="2130"/>
      <c r="P47" s="3458" t="str">
        <f>A47</f>
        <v>成交单价（元/平方米）</v>
      </c>
      <c r="Q47" s="3458"/>
      <c r="R47" s="3573">
        <f>E47</f>
        <v>10780</v>
      </c>
      <c r="S47" s="3573"/>
      <c r="T47" s="3573">
        <f>G47</f>
        <v>11760</v>
      </c>
      <c r="U47" s="3573"/>
      <c r="V47" s="3573">
        <f>I47</f>
        <v>10780</v>
      </c>
      <c r="W47" s="3573"/>
      <c r="X47" s="1545"/>
      <c r="Y47" s="1567"/>
      <c r="Z47" s="1545"/>
      <c r="AA47" s="1545"/>
      <c r="AB47" s="1545"/>
      <c r="AC47" s="1545"/>
    </row>
    <row r="48" spans="1:29" ht="15.75" thickBot="1">
      <c r="A48" s="615" t="s">
        <v>2756</v>
      </c>
      <c r="B48" s="887"/>
      <c r="C48" s="2597">
        <f>R49</f>
        <v>10098</v>
      </c>
      <c r="D48" s="2598"/>
      <c r="E48" s="2599">
        <f>R48</f>
        <v>10780</v>
      </c>
      <c r="F48" s="2599"/>
      <c r="G48" s="2597">
        <f>T48</f>
        <v>10182</v>
      </c>
      <c r="H48" s="2598"/>
      <c r="I48" s="2599">
        <f>V48</f>
        <v>9333</v>
      </c>
      <c r="J48" s="2598"/>
      <c r="K48" s="1592"/>
      <c r="L48" s="2129"/>
      <c r="M48" s="2130"/>
      <c r="N48" s="2130"/>
      <c r="O48" s="2130"/>
      <c r="P48" s="3458" t="str">
        <f>A48</f>
        <v>比较价格（元/平方米）</v>
      </c>
      <c r="Q48" s="3458"/>
      <c r="R48" s="3573">
        <f>IF(F1="售价",ROUND(PRODUCT(R47,AA7:AA46),0),ROUND(PRODUCT(R47,AA7:AA46),1))</f>
        <v>10780</v>
      </c>
      <c r="S48" s="3573"/>
      <c r="T48" s="3573">
        <f>IF(F1="售价",ROUND(PRODUCT(T47,AB7:AB46),0),ROUND(PRODUCT(T47,AB7:AB46),1))</f>
        <v>10182</v>
      </c>
      <c r="U48" s="3573"/>
      <c r="V48" s="3573">
        <f>IF(F1="售价",ROUND(PRODUCT(V47,AC7:AC46),0),ROUND(PRODUCT(V47,AC7:AC46),1))</f>
        <v>9333</v>
      </c>
      <c r="W48" s="3573"/>
      <c r="X48" s="1545"/>
      <c r="Y48" s="1545"/>
      <c r="Z48" s="1545"/>
      <c r="AA48" s="1545"/>
      <c r="AB48" s="1545"/>
      <c r="AC48" s="1545"/>
    </row>
    <row r="49" spans="1:29" ht="15.75" thickBot="1">
      <c r="A49" s="621" t="s">
        <v>2931</v>
      </c>
      <c r="B49" s="622"/>
      <c r="C49" s="2600">
        <f>R49</f>
        <v>10098</v>
      </c>
      <c r="D49" s="2600"/>
      <c r="E49" s="2600"/>
      <c r="F49" s="2600"/>
      <c r="G49" s="2600"/>
      <c r="H49" s="2600"/>
      <c r="I49" s="2600"/>
      <c r="J49" s="2600"/>
      <c r="K49" s="1593"/>
      <c r="L49" s="2129"/>
      <c r="M49" s="2130"/>
      <c r="N49" s="2130"/>
      <c r="O49" s="2130"/>
      <c r="P49" s="3455" t="str">
        <f>A49</f>
        <v>估价对象XX用房的比较价格（楼面单价，元/平方米）</v>
      </c>
      <c r="Q49" s="3456"/>
      <c r="R49" s="3572">
        <f>IF(F1="售价",ROUND(AVERAGE(R48:V48),0),ROUND(AVERAGE(R48:V48),1))</f>
        <v>10098</v>
      </c>
      <c r="S49" s="3572"/>
      <c r="T49" s="3572"/>
      <c r="U49" s="3572"/>
      <c r="V49" s="3572"/>
      <c r="W49" s="3572"/>
      <c r="X49" s="1545"/>
      <c r="Y49" s="1545"/>
      <c r="Z49" s="1545"/>
      <c r="AA49" s="1545"/>
      <c r="AB49" s="1545"/>
      <c r="AC49" s="1545"/>
    </row>
    <row r="50" spans="1:29">
      <c r="A50" s="2130"/>
      <c r="B50" s="2130"/>
      <c r="C50" s="2130"/>
      <c r="D50" s="2130"/>
      <c r="E50" s="3230" t="s">
        <v>3294</v>
      </c>
      <c r="F50" s="3230">
        <v>0.98</v>
      </c>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v>
      </c>
      <c r="F52" s="627" t="str">
        <f>IF(OR(E52&gt;=0.3,E52&lt;=-0.3),"超过30%","")</f>
        <v/>
      </c>
      <c r="G52" s="626">
        <f>IF(G47&lt;G48,G48/G47-1,G47/G48-1)</f>
        <v>0.15497937536829709</v>
      </c>
      <c r="H52" s="627" t="str">
        <f>IF(OR(G52&gt;=0.3,G52&lt;=-0.3),"超过30%","")</f>
        <v/>
      </c>
      <c r="I52" s="626">
        <f>IF(I47&lt;I48,I48/I47-1,I47/I48-1)</f>
        <v>0.15504125147326686</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5.8731094087605573E-2</v>
      </c>
      <c r="F53" s="627" t="str">
        <f>IF(OR(E53&gt;=0.2,E53&lt;=-0.2),"超过20%","")</f>
        <v/>
      </c>
      <c r="G53" s="626">
        <f>IF(G48&lt;I48,I48/G48-1,G48/I48-1)</f>
        <v>9.0967534554805551E-2</v>
      </c>
      <c r="H53" s="627" t="str">
        <f>IF(OR(G53&gt;=0.2,G53&lt;=-0.2),"超过20%","")</f>
        <v/>
      </c>
      <c r="I53" s="626">
        <f>IF(I48&lt;E48,E48/I48-1,I48/E48-1)</f>
        <v>0.15504125147326686</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9.0909090909090828E-2</v>
      </c>
      <c r="F54" s="627" t="str">
        <f>IF(OR(E54&gt;=0.3,E54&lt;=-0.3),"超过30%","")</f>
        <v/>
      </c>
      <c r="G54" s="626">
        <f>IF(G47&lt;I47,I47/G47-1,G47/I47-1)</f>
        <v>9.0909090909090828E-2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2（含）-3</v>
      </c>
      <c r="D67" s="682" t="str">
        <f t="shared" ref="D67:L67" si="18">D68&amp;"（含）"&amp;"-"&amp;E68</f>
        <v>3（含）-4</v>
      </c>
      <c r="E67" s="682" t="str">
        <f t="shared" si="18"/>
        <v>4（含）-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2</v>
      </c>
      <c r="D68" s="541">
        <v>3</v>
      </c>
      <c r="E68" s="541">
        <v>4</v>
      </c>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0</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0</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0</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95</v>
      </c>
      <c r="E77" s="679">
        <f>D77-$K15</f>
        <v>90</v>
      </c>
      <c r="F77" s="679">
        <f>E77-$K15</f>
        <v>85</v>
      </c>
      <c r="G77" s="679">
        <f>F77-$K15</f>
        <v>80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95</v>
      </c>
      <c r="E81" s="679">
        <f>D81-$K19</f>
        <v>90</v>
      </c>
      <c r="F81" s="679">
        <f>E81-$K19</f>
        <v>85</v>
      </c>
      <c r="G81" s="679">
        <f>F81-$K19</f>
        <v>80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2255</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0</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0</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0</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0</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33" t="s">
        <v>3308</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31" t="s">
        <v>3307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232" t="s">
        <v>3306</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31" t="s">
        <v>3304</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31" t="s">
        <v>3303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231" t="s">
        <v>3301</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3232" t="s">
        <v>3300</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31" t="s">
        <v>3296</v>
      </c>
      <c r="D122" s="3231" t="s">
        <v>3297</v>
      </c>
      <c r="E122" s="3231" t="s">
        <v>3298</v>
      </c>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0</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0</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0</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64" t="s">
        <v>522</v>
      </c>
      <c r="D4" s="3465"/>
      <c r="E4" s="3498" t="s">
        <v>523</v>
      </c>
      <c r="F4" s="3499"/>
      <c r="G4" s="3464" t="s">
        <v>524</v>
      </c>
      <c r="H4" s="3465"/>
      <c r="I4" s="3464" t="s">
        <v>525</v>
      </c>
      <c r="J4" s="3465"/>
      <c r="K4" s="514" t="s">
        <v>526</v>
      </c>
      <c r="L4" s="2118"/>
      <c r="M4" s="2119"/>
      <c r="N4" s="2119"/>
      <c r="O4" s="2119"/>
      <c r="P4" s="3466" t="s">
        <v>527</v>
      </c>
      <c r="Q4" s="3467"/>
      <c r="R4" s="3472" t="s">
        <v>523</v>
      </c>
      <c r="S4" s="3473"/>
      <c r="T4" s="3472" t="s">
        <v>524</v>
      </c>
      <c r="U4" s="3473"/>
      <c r="V4" s="3459" t="s">
        <v>525</v>
      </c>
      <c r="W4" s="3459"/>
      <c r="X4" s="1553"/>
      <c r="Y4" s="3472" t="s">
        <v>527</v>
      </c>
      <c r="Z4" s="3473"/>
      <c r="AA4" s="3461" t="s">
        <v>523</v>
      </c>
      <c r="AB4" s="3459" t="s">
        <v>524</v>
      </c>
      <c r="AC4" s="3461" t="s">
        <v>525</v>
      </c>
    </row>
    <row r="5" spans="1:29" ht="15">
      <c r="A5" s="515"/>
      <c r="B5" s="516"/>
      <c r="C5" s="3480" t="s">
        <v>2925</v>
      </c>
      <c r="D5" s="3481"/>
      <c r="E5" s="3500" t="s">
        <v>2926</v>
      </c>
      <c r="F5" s="3501"/>
      <c r="G5" s="3480" t="s">
        <v>2927</v>
      </c>
      <c r="H5" s="3481"/>
      <c r="I5" s="3480" t="s">
        <v>2928</v>
      </c>
      <c r="J5" s="3481"/>
      <c r="K5" s="514"/>
      <c r="L5" s="2118"/>
      <c r="M5" s="2119"/>
      <c r="N5" s="2119"/>
      <c r="O5" s="2119"/>
      <c r="P5" s="3468"/>
      <c r="Q5" s="3469"/>
      <c r="R5" s="3474"/>
      <c r="S5" s="3475"/>
      <c r="T5" s="3474"/>
      <c r="U5" s="3475"/>
      <c r="V5" s="3459"/>
      <c r="W5" s="3459"/>
      <c r="X5" s="1553"/>
      <c r="Y5" s="3474"/>
      <c r="Z5" s="3475"/>
      <c r="AA5" s="3462"/>
      <c r="AB5" s="3459"/>
      <c r="AC5" s="3462"/>
    </row>
    <row r="6" spans="1:29" ht="15.75" thickBot="1">
      <c r="A6" s="517"/>
      <c r="B6" s="518"/>
      <c r="C6" s="3478" t="s">
        <v>2929</v>
      </c>
      <c r="D6" s="3479"/>
      <c r="E6" s="3496" t="s">
        <v>2929</v>
      </c>
      <c r="F6" s="3497"/>
      <c r="G6" s="3478" t="s">
        <v>2929</v>
      </c>
      <c r="H6" s="3479"/>
      <c r="I6" s="3478" t="s">
        <v>2929</v>
      </c>
      <c r="J6" s="3479"/>
      <c r="K6" s="514" t="s">
        <v>528</v>
      </c>
      <c r="L6" s="2118"/>
      <c r="M6" s="2119"/>
      <c r="N6" s="2119"/>
      <c r="O6" s="2119"/>
      <c r="P6" s="3470"/>
      <c r="Q6" s="3471"/>
      <c r="R6" s="3474"/>
      <c r="S6" s="3475"/>
      <c r="T6" s="3476"/>
      <c r="U6" s="3477"/>
      <c r="V6" s="3459"/>
      <c r="W6" s="3459"/>
      <c r="X6" s="1553"/>
      <c r="Y6" s="3476"/>
      <c r="Z6" s="3477"/>
      <c r="AA6" s="3463"/>
      <c r="AB6" s="3459"/>
      <c r="AC6" s="3463"/>
    </row>
    <row r="7" spans="1:29" s="1215" customFormat="1" ht="15.75" thickBot="1">
      <c r="A7" s="2867"/>
      <c r="B7" s="2874" t="s">
        <v>529</v>
      </c>
      <c r="C7" s="519">
        <f>'数据-取费表'!B2</f>
        <v>43621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89" t="s">
        <v>530</v>
      </c>
      <c r="Q7" s="3491"/>
      <c r="R7" s="1554" t="s">
        <v>8</v>
      </c>
      <c r="S7" s="1555">
        <f t="shared" ref="S7:S15" si="0">F7</f>
        <v>0</v>
      </c>
      <c r="T7" s="1554" t="s">
        <v>8</v>
      </c>
      <c r="U7" s="1555">
        <f t="shared" ref="U7:U15" si="1">H7</f>
        <v>0</v>
      </c>
      <c r="V7" s="1554" t="s">
        <v>8</v>
      </c>
      <c r="W7" s="1555">
        <f t="shared" ref="W7:W15" si="2">J7</f>
        <v>0</v>
      </c>
      <c r="X7" s="1556"/>
      <c r="Y7" s="3489" t="s">
        <v>530</v>
      </c>
      <c r="Z7" s="3490"/>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89" t="s">
        <v>533</v>
      </c>
      <c r="Q8" s="3490"/>
      <c r="R8" s="1554" t="s">
        <v>8</v>
      </c>
      <c r="S8" s="1555">
        <f t="shared" si="0"/>
        <v>0</v>
      </c>
      <c r="T8" s="1554" t="s">
        <v>8</v>
      </c>
      <c r="U8" s="1555">
        <f t="shared" si="1"/>
        <v>0</v>
      </c>
      <c r="V8" s="1554" t="s">
        <v>8</v>
      </c>
      <c r="W8" s="1555">
        <f t="shared" si="2"/>
        <v>0</v>
      </c>
      <c r="X8" s="1556"/>
      <c r="Y8" s="3489" t="s">
        <v>533</v>
      </c>
      <c r="Z8" s="3490"/>
      <c r="AA8" s="1557" t="e">
        <f t="shared" ref="AA8:AA46" si="3">D8/F8</f>
        <v>#DIV/0!</v>
      </c>
      <c r="AB8" s="1557" t="e">
        <f t="shared" ref="AB8:AB46" si="4">D8/H8</f>
        <v>#DIV/0!</v>
      </c>
      <c r="AC8" s="1557" t="e">
        <f t="shared" ref="AC8:AC46" si="5">D8/J8</f>
        <v>#DIV/0!</v>
      </c>
    </row>
    <row r="9" spans="1:29" s="1215" customFormat="1" ht="15">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58" t="s">
        <v>535</v>
      </c>
      <c r="Q9" s="1146" t="str">
        <f t="shared" ref="Q9:Q15" si="6">B9</f>
        <v>用途</v>
      </c>
      <c r="R9" s="1554" t="s">
        <v>8</v>
      </c>
      <c r="S9" s="1555">
        <f t="shared" si="0"/>
        <v>100</v>
      </c>
      <c r="T9" s="1554" t="s">
        <v>8</v>
      </c>
      <c r="U9" s="1555">
        <f t="shared" si="1"/>
        <v>100</v>
      </c>
      <c r="V9" s="1554" t="s">
        <v>8</v>
      </c>
      <c r="W9" s="1555">
        <f t="shared" si="2"/>
        <v>100</v>
      </c>
      <c r="X9" s="1556"/>
      <c r="Y9" s="3404"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58"/>
      <c r="Q10" s="1146" t="str">
        <f t="shared" si="6"/>
        <v>土地使用年限（年）</v>
      </c>
      <c r="R10" s="1554" t="s">
        <v>8</v>
      </c>
      <c r="S10" s="1555">
        <f t="shared" si="0"/>
        <v>100</v>
      </c>
      <c r="T10" s="1554" t="s">
        <v>8</v>
      </c>
      <c r="U10" s="1555">
        <f t="shared" si="1"/>
        <v>100</v>
      </c>
      <c r="V10" s="1554" t="s">
        <v>8</v>
      </c>
      <c r="W10" s="1555">
        <f t="shared" si="2"/>
        <v>100</v>
      </c>
      <c r="X10" s="1556"/>
      <c r="Y10" s="3404"/>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58"/>
      <c r="Q11" s="1146" t="str">
        <f t="shared" si="6"/>
        <v>容积率</v>
      </c>
      <c r="R11" s="1554" t="s">
        <v>8</v>
      </c>
      <c r="S11" s="1555" t="e">
        <f t="shared" si="0"/>
        <v>#N/A</v>
      </c>
      <c r="T11" s="1554" t="s">
        <v>8</v>
      </c>
      <c r="U11" s="1555" t="e">
        <f t="shared" si="1"/>
        <v>#N/A</v>
      </c>
      <c r="V11" s="1554" t="s">
        <v>8</v>
      </c>
      <c r="W11" s="1555" t="e">
        <f t="shared" si="2"/>
        <v>#N/A</v>
      </c>
      <c r="X11" s="1556"/>
      <c r="Y11" s="340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58"/>
      <c r="Q12" s="1146">
        <f t="shared" si="6"/>
        <v>111</v>
      </c>
      <c r="R12" s="1554" t="s">
        <v>8</v>
      </c>
      <c r="S12" s="1555">
        <f t="shared" si="0"/>
        <v>100</v>
      </c>
      <c r="T12" s="1554" t="s">
        <v>8</v>
      </c>
      <c r="U12" s="1555">
        <f t="shared" si="1"/>
        <v>100</v>
      </c>
      <c r="V12" s="1554" t="s">
        <v>8</v>
      </c>
      <c r="W12" s="1555">
        <f t="shared" si="2"/>
        <v>100</v>
      </c>
      <c r="X12" s="1556"/>
      <c r="Y12" s="3404"/>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58"/>
      <c r="Q13" s="1146">
        <f t="shared" si="6"/>
        <v>111</v>
      </c>
      <c r="R13" s="1554" t="s">
        <v>8</v>
      </c>
      <c r="S13" s="1555">
        <f t="shared" si="0"/>
        <v>100</v>
      </c>
      <c r="T13" s="1554" t="s">
        <v>8</v>
      </c>
      <c r="U13" s="1555">
        <f t="shared" si="1"/>
        <v>100</v>
      </c>
      <c r="V13" s="1554" t="s">
        <v>8</v>
      </c>
      <c r="W13" s="1555">
        <f t="shared" si="2"/>
        <v>100</v>
      </c>
      <c r="X13" s="1556"/>
      <c r="Y13" s="3404"/>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58"/>
      <c r="Q14" s="1146">
        <f t="shared" si="6"/>
        <v>111</v>
      </c>
      <c r="R14" s="1554" t="s">
        <v>8</v>
      </c>
      <c r="S14" s="1555">
        <f t="shared" si="0"/>
        <v>100</v>
      </c>
      <c r="T14" s="1554" t="s">
        <v>8</v>
      </c>
      <c r="U14" s="1555">
        <f t="shared" si="1"/>
        <v>100</v>
      </c>
      <c r="V14" s="1554" t="s">
        <v>8</v>
      </c>
      <c r="W14" s="1555">
        <f t="shared" si="2"/>
        <v>100</v>
      </c>
      <c r="X14" s="1556"/>
      <c r="Y14" s="3404"/>
      <c r="Z14" s="1145">
        <f t="shared" si="7"/>
        <v>111</v>
      </c>
      <c r="AA14" s="1557">
        <f t="shared" si="3"/>
        <v>1</v>
      </c>
      <c r="AB14" s="1557">
        <f t="shared" si="4"/>
        <v>1</v>
      </c>
      <c r="AC14" s="1557">
        <f t="shared" si="5"/>
        <v>1</v>
      </c>
    </row>
    <row r="15" spans="1:29" ht="71.25">
      <c r="A15" s="2865"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92" t="s">
        <v>540</v>
      </c>
      <c r="Q15" s="1558" t="str">
        <f t="shared" si="6"/>
        <v>商业繁华度</v>
      </c>
      <c r="R15" s="1559" t="s">
        <v>8</v>
      </c>
      <c r="S15" s="1560">
        <f t="shared" si="0"/>
        <v>100</v>
      </c>
      <c r="T15" s="1559" t="s">
        <v>8</v>
      </c>
      <c r="U15" s="1560">
        <f t="shared" si="1"/>
        <v>100</v>
      </c>
      <c r="V15" s="1559" t="s">
        <v>8</v>
      </c>
      <c r="W15" s="1560">
        <f t="shared" si="2"/>
        <v>100</v>
      </c>
      <c r="X15" s="1553"/>
      <c r="Y15" s="349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93"/>
      <c r="Q16" s="1558"/>
      <c r="R16" s="1559"/>
      <c r="S16" s="1560"/>
      <c r="T16" s="1559"/>
      <c r="U16" s="1560"/>
      <c r="V16" s="1559"/>
      <c r="W16" s="1560"/>
      <c r="X16" s="1553"/>
      <c r="Y16" s="349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93"/>
      <c r="Q17" s="1558" t="str">
        <f>B17</f>
        <v>交通便捷度</v>
      </c>
      <c r="R17" s="1559" t="s">
        <v>8</v>
      </c>
      <c r="S17" s="1560">
        <f>F17</f>
        <v>100</v>
      </c>
      <c r="T17" s="1559" t="s">
        <v>8</v>
      </c>
      <c r="U17" s="1560">
        <f>H17</f>
        <v>100</v>
      </c>
      <c r="V17" s="1559" t="s">
        <v>8</v>
      </c>
      <c r="W17" s="1560">
        <f>J17</f>
        <v>100</v>
      </c>
      <c r="X17" s="1553"/>
      <c r="Y17" s="349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93"/>
      <c r="Q18" s="1558"/>
      <c r="R18" s="1559"/>
      <c r="S18" s="1560"/>
      <c r="T18" s="1559"/>
      <c r="U18" s="1560"/>
      <c r="V18" s="1559"/>
      <c r="W18" s="1560"/>
      <c r="X18" s="1553"/>
      <c r="Y18" s="3493"/>
      <c r="Z18" s="1561"/>
      <c r="AA18" s="1562">
        <v>1</v>
      </c>
      <c r="AB18" s="1562">
        <v>1</v>
      </c>
      <c r="AC18" s="1562">
        <v>1</v>
      </c>
    </row>
    <row r="19" spans="1:29" ht="42.75">
      <c r="A19" s="532"/>
      <c r="B19" s="2564"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93"/>
      <c r="Q19" s="1558" t="str">
        <f>B19</f>
        <v>公共配套设施</v>
      </c>
      <c r="R19" s="1559" t="s">
        <v>8</v>
      </c>
      <c r="S19" s="1560">
        <f>F19</f>
        <v>100</v>
      </c>
      <c r="T19" s="1559" t="s">
        <v>8</v>
      </c>
      <c r="U19" s="1560">
        <f>H19</f>
        <v>100</v>
      </c>
      <c r="V19" s="1559" t="s">
        <v>8</v>
      </c>
      <c r="W19" s="1560">
        <f>J19</f>
        <v>100</v>
      </c>
      <c r="X19" s="1553"/>
      <c r="Y19" s="349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93"/>
      <c r="Q20" s="1558"/>
      <c r="R20" s="1559"/>
      <c r="S20" s="1560"/>
      <c r="T20" s="1559"/>
      <c r="U20" s="1560"/>
      <c r="V20" s="1559"/>
      <c r="W20" s="1560"/>
      <c r="X20" s="1553"/>
      <c r="Y20" s="3493"/>
      <c r="Z20" s="1561"/>
      <c r="AA20" s="1562">
        <v>1</v>
      </c>
      <c r="AB20" s="1562">
        <v>1</v>
      </c>
      <c r="AC20" s="1562">
        <v>1</v>
      </c>
    </row>
    <row r="21" spans="1:29" ht="28.5">
      <c r="A21" s="532"/>
      <c r="B21" s="2557"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93"/>
      <c r="Q21" s="2543" t="str">
        <f>B21</f>
        <v>基础设施水平</v>
      </c>
      <c r="R21" s="1559" t="s">
        <v>8</v>
      </c>
      <c r="S21" s="1560">
        <f>F21</f>
        <v>100</v>
      </c>
      <c r="T21" s="1559" t="s">
        <v>8</v>
      </c>
      <c r="U21" s="1560">
        <f>H21</f>
        <v>100</v>
      </c>
      <c r="V21" s="1559" t="s">
        <v>8</v>
      </c>
      <c r="W21" s="1560">
        <f>J21</f>
        <v>100</v>
      </c>
      <c r="X21" s="2545"/>
      <c r="Y21" s="3493"/>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93"/>
      <c r="Q22" s="2543"/>
      <c r="R22" s="1559"/>
      <c r="S22" s="1560"/>
      <c r="T22" s="1559"/>
      <c r="U22" s="1560"/>
      <c r="V22" s="1559"/>
      <c r="W22" s="1560"/>
      <c r="X22" s="2545"/>
      <c r="Y22" s="3493"/>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93"/>
      <c r="Q23" s="1558" t="str">
        <f>B23</f>
        <v>自然及人文环境</v>
      </c>
      <c r="R23" s="1559" t="s">
        <v>8</v>
      </c>
      <c r="S23" s="1560">
        <f>F23</f>
        <v>100</v>
      </c>
      <c r="T23" s="1559" t="s">
        <v>8</v>
      </c>
      <c r="U23" s="1560">
        <f>H23</f>
        <v>100</v>
      </c>
      <c r="V23" s="1559" t="s">
        <v>8</v>
      </c>
      <c r="W23" s="1560">
        <f>J23</f>
        <v>100</v>
      </c>
      <c r="X23" s="1553"/>
      <c r="Y23" s="349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93"/>
      <c r="Q24" s="1558"/>
      <c r="R24" s="1559"/>
      <c r="S24" s="1560"/>
      <c r="T24" s="1559"/>
      <c r="U24" s="1560"/>
      <c r="V24" s="1559"/>
      <c r="W24" s="1560"/>
      <c r="X24" s="1553"/>
      <c r="Y24" s="349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93"/>
      <c r="Q25" s="1558" t="str">
        <f t="shared" ref="Q25:Q46" si="11">B25</f>
        <v>临街状况</v>
      </c>
      <c r="R25" s="1559" t="s">
        <v>8</v>
      </c>
      <c r="S25" s="1560">
        <f>F25</f>
        <v>100</v>
      </c>
      <c r="T25" s="1559" t="s">
        <v>8</v>
      </c>
      <c r="U25" s="1560">
        <f>H25</f>
        <v>100</v>
      </c>
      <c r="V25" s="1559" t="s">
        <v>8</v>
      </c>
      <c r="W25" s="1560">
        <f>J25</f>
        <v>100</v>
      </c>
      <c r="X25" s="1553"/>
      <c r="Y25" s="349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93"/>
      <c r="Q26" s="1558" t="str">
        <f t="shared" si="11"/>
        <v>平面位置/可视性</v>
      </c>
      <c r="R26" s="1559" t="s">
        <v>8</v>
      </c>
      <c r="S26" s="1560">
        <f>F26</f>
        <v>100</v>
      </c>
      <c r="T26" s="1559" t="s">
        <v>8</v>
      </c>
      <c r="U26" s="1560">
        <f>H26</f>
        <v>100</v>
      </c>
      <c r="V26" s="1559" t="s">
        <v>8</v>
      </c>
      <c r="W26" s="1560">
        <f>J26</f>
        <v>100</v>
      </c>
      <c r="X26" s="1553"/>
      <c r="Y26" s="3493"/>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93"/>
      <c r="Q27" s="1146" t="str">
        <f t="shared" si="11"/>
        <v>人流量</v>
      </c>
      <c r="R27" s="1554" t="s">
        <v>8</v>
      </c>
      <c r="S27" s="1555">
        <f>F27</f>
        <v>100</v>
      </c>
      <c r="T27" s="1554" t="s">
        <v>8</v>
      </c>
      <c r="U27" s="1555">
        <f>H27</f>
        <v>100</v>
      </c>
      <c r="V27" s="1554" t="s">
        <v>8</v>
      </c>
      <c r="W27" s="1555">
        <f>J27</f>
        <v>100</v>
      </c>
      <c r="X27" s="1556"/>
      <c r="Y27" s="3493"/>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9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9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93"/>
      <c r="Q29" s="1558">
        <f t="shared" si="11"/>
        <v>111</v>
      </c>
      <c r="R29" s="1559" t="s">
        <v>8</v>
      </c>
      <c r="S29" s="1560">
        <f t="shared" si="12"/>
        <v>100</v>
      </c>
      <c r="T29" s="1559" t="s">
        <v>8</v>
      </c>
      <c r="U29" s="1560">
        <f t="shared" si="13"/>
        <v>100</v>
      </c>
      <c r="V29" s="1559" t="s">
        <v>8</v>
      </c>
      <c r="W29" s="1560">
        <f t="shared" si="14"/>
        <v>100</v>
      </c>
      <c r="X29" s="1553"/>
      <c r="Y29" s="349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93"/>
      <c r="Q30" s="1558">
        <f t="shared" si="11"/>
        <v>111</v>
      </c>
      <c r="R30" s="1559" t="s">
        <v>8</v>
      </c>
      <c r="S30" s="1560">
        <f t="shared" si="12"/>
        <v>100</v>
      </c>
      <c r="T30" s="1559" t="s">
        <v>8</v>
      </c>
      <c r="U30" s="1560">
        <f t="shared" si="13"/>
        <v>100</v>
      </c>
      <c r="V30" s="1559" t="s">
        <v>8</v>
      </c>
      <c r="W30" s="1560">
        <f t="shared" si="14"/>
        <v>100</v>
      </c>
      <c r="X30" s="1553"/>
      <c r="Y30" s="349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93"/>
      <c r="Q31" s="1558">
        <f t="shared" si="11"/>
        <v>111</v>
      </c>
      <c r="R31" s="1559" t="s">
        <v>8</v>
      </c>
      <c r="S31" s="1560">
        <f t="shared" si="12"/>
        <v>100</v>
      </c>
      <c r="T31" s="1559" t="s">
        <v>8</v>
      </c>
      <c r="U31" s="1560">
        <f t="shared" si="13"/>
        <v>100</v>
      </c>
      <c r="V31" s="1559" t="s">
        <v>8</v>
      </c>
      <c r="W31" s="1560">
        <f t="shared" si="14"/>
        <v>100</v>
      </c>
      <c r="X31" s="1553"/>
      <c r="Y31" s="3493"/>
      <c r="Z31" s="1561">
        <f t="shared" si="15"/>
        <v>111</v>
      </c>
      <c r="AA31" s="1562">
        <f t="shared" si="3"/>
        <v>1</v>
      </c>
      <c r="AB31" s="1562">
        <f t="shared" si="4"/>
        <v>1</v>
      </c>
      <c r="AC31" s="1562">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94" t="s">
        <v>550</v>
      </c>
      <c r="Q32" s="1558" t="str">
        <f t="shared" si="11"/>
        <v>商业类型</v>
      </c>
      <c r="R32" s="1559" t="s">
        <v>8</v>
      </c>
      <c r="S32" s="1560">
        <f t="shared" si="12"/>
        <v>100</v>
      </c>
      <c r="T32" s="1559" t="s">
        <v>8</v>
      </c>
      <c r="U32" s="1560">
        <f t="shared" si="13"/>
        <v>100</v>
      </c>
      <c r="V32" s="1559" t="s">
        <v>8</v>
      </c>
      <c r="W32" s="1560">
        <f t="shared" si="14"/>
        <v>100</v>
      </c>
      <c r="X32" s="1553"/>
      <c r="Y32" s="3495"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95"/>
      <c r="Q33" s="1590" t="str">
        <f t="shared" si="11"/>
        <v>项目建筑规模</v>
      </c>
      <c r="R33" s="1563" t="s">
        <v>8</v>
      </c>
      <c r="S33" s="1564" t="e">
        <f t="shared" si="12"/>
        <v>#N/A</v>
      </c>
      <c r="T33" s="1563" t="s">
        <v>8</v>
      </c>
      <c r="U33" s="1564" t="e">
        <f t="shared" si="13"/>
        <v>#N/A</v>
      </c>
      <c r="V33" s="1563" t="s">
        <v>8</v>
      </c>
      <c r="W33" s="1564" t="e">
        <f t="shared" si="14"/>
        <v>#N/A</v>
      </c>
      <c r="X33" s="1565"/>
      <c r="Y33" s="3495"/>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95"/>
      <c r="Q34" s="1558" t="str">
        <f t="shared" si="11"/>
        <v>建筑结构</v>
      </c>
      <c r="R34" s="1559" t="s">
        <v>8</v>
      </c>
      <c r="S34" s="1560">
        <f t="shared" si="12"/>
        <v>100</v>
      </c>
      <c r="T34" s="1559" t="s">
        <v>8</v>
      </c>
      <c r="U34" s="1560">
        <f t="shared" si="13"/>
        <v>100</v>
      </c>
      <c r="V34" s="1559" t="s">
        <v>8</v>
      </c>
      <c r="W34" s="1560">
        <f t="shared" si="14"/>
        <v>100</v>
      </c>
      <c r="X34" s="1553"/>
      <c r="Y34" s="349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95"/>
      <c r="Q35" s="1558" t="str">
        <f t="shared" si="11"/>
        <v>公共部分装修</v>
      </c>
      <c r="R35" s="1559" t="s">
        <v>8</v>
      </c>
      <c r="S35" s="1560">
        <f t="shared" si="12"/>
        <v>100</v>
      </c>
      <c r="T35" s="1559" t="s">
        <v>8</v>
      </c>
      <c r="U35" s="1560">
        <f t="shared" si="13"/>
        <v>100</v>
      </c>
      <c r="V35" s="1559" t="s">
        <v>8</v>
      </c>
      <c r="W35" s="1560">
        <f t="shared" si="14"/>
        <v>100</v>
      </c>
      <c r="X35" s="1553"/>
      <c r="Y35" s="3495"/>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95"/>
      <c r="Q36" s="1558" t="str">
        <f t="shared" si="11"/>
        <v>成新度</v>
      </c>
      <c r="R36" s="1559" t="s">
        <v>8</v>
      </c>
      <c r="S36" s="1560" t="e">
        <f t="shared" si="12"/>
        <v>#N/A</v>
      </c>
      <c r="T36" s="1559" t="s">
        <v>8</v>
      </c>
      <c r="U36" s="1560" t="e">
        <f t="shared" si="13"/>
        <v>#N/A</v>
      </c>
      <c r="V36" s="1559" t="s">
        <v>8</v>
      </c>
      <c r="W36" s="1560" t="e">
        <f t="shared" si="14"/>
        <v>#N/A</v>
      </c>
      <c r="X36" s="1553"/>
      <c r="Y36" s="3495"/>
      <c r="Z36" s="1561" t="str">
        <f t="shared" si="15"/>
        <v>成新度</v>
      </c>
      <c r="AA36" s="1562" t="e">
        <f t="shared" si="3"/>
        <v>#N/A</v>
      </c>
      <c r="AB36" s="1562" t="e">
        <f t="shared" si="4"/>
        <v>#N/A</v>
      </c>
      <c r="AC36" s="1562" t="e">
        <f t="shared" si="5"/>
        <v>#N/A</v>
      </c>
    </row>
    <row r="37" spans="1:29" s="1215"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95"/>
      <c r="Q37" s="1146" t="str">
        <f t="shared" si="11"/>
        <v>市政基础设施</v>
      </c>
      <c r="R37" s="1554" t="s">
        <v>8</v>
      </c>
      <c r="S37" s="1555">
        <f t="shared" si="12"/>
        <v>100</v>
      </c>
      <c r="T37" s="1554" t="s">
        <v>8</v>
      </c>
      <c r="U37" s="1555">
        <f t="shared" si="13"/>
        <v>100</v>
      </c>
      <c r="V37" s="1554" t="s">
        <v>8</v>
      </c>
      <c r="W37" s="1555">
        <f t="shared" si="14"/>
        <v>100</v>
      </c>
      <c r="X37" s="1556"/>
      <c r="Y37" s="3495"/>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95" t="s">
        <v>766</v>
      </c>
      <c r="Q38" s="1558" t="str">
        <f t="shared" si="11"/>
        <v>业态</v>
      </c>
      <c r="R38" s="1559" t="s">
        <v>8</v>
      </c>
      <c r="S38" s="1560">
        <f t="shared" si="12"/>
        <v>100</v>
      </c>
      <c r="T38" s="1559" t="s">
        <v>8</v>
      </c>
      <c r="U38" s="1560">
        <f t="shared" si="13"/>
        <v>100</v>
      </c>
      <c r="V38" s="1559" t="s">
        <v>8</v>
      </c>
      <c r="W38" s="1560">
        <f t="shared" si="14"/>
        <v>100</v>
      </c>
      <c r="X38" s="1553"/>
      <c r="Y38" s="349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95"/>
      <c r="Q39" s="1558" t="str">
        <f t="shared" si="11"/>
        <v>层高</v>
      </c>
      <c r="R39" s="1559" t="s">
        <v>8</v>
      </c>
      <c r="S39" s="1560">
        <f t="shared" si="12"/>
        <v>100</v>
      </c>
      <c r="T39" s="1559" t="s">
        <v>8</v>
      </c>
      <c r="U39" s="1560">
        <f t="shared" si="13"/>
        <v>100</v>
      </c>
      <c r="V39" s="1559" t="s">
        <v>8</v>
      </c>
      <c r="W39" s="1560">
        <f t="shared" si="14"/>
        <v>100</v>
      </c>
      <c r="X39" s="1553"/>
      <c r="Y39" s="3495"/>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95"/>
      <c r="Q40" s="1558" t="str">
        <f t="shared" si="11"/>
        <v>单套建筑面积</v>
      </c>
      <c r="R40" s="1559" t="s">
        <v>8</v>
      </c>
      <c r="S40" s="1560">
        <f t="shared" si="12"/>
        <v>100</v>
      </c>
      <c r="T40" s="1559" t="s">
        <v>8</v>
      </c>
      <c r="U40" s="1560">
        <f t="shared" si="13"/>
        <v>100</v>
      </c>
      <c r="V40" s="1559" t="s">
        <v>8</v>
      </c>
      <c r="W40" s="1560">
        <f t="shared" si="14"/>
        <v>100</v>
      </c>
      <c r="X40" s="1553"/>
      <c r="Y40" s="3495"/>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95"/>
      <c r="Q41" s="1590" t="str">
        <f t="shared" si="11"/>
        <v>进深比</v>
      </c>
      <c r="R41" s="1563" t="s">
        <v>8</v>
      </c>
      <c r="S41" s="1564">
        <f t="shared" si="12"/>
        <v>100</v>
      </c>
      <c r="T41" s="1563" t="s">
        <v>8</v>
      </c>
      <c r="U41" s="1564">
        <f t="shared" si="13"/>
        <v>100</v>
      </c>
      <c r="V41" s="1563" t="s">
        <v>8</v>
      </c>
      <c r="W41" s="1564">
        <f t="shared" si="14"/>
        <v>100</v>
      </c>
      <c r="X41" s="1565"/>
      <c r="Y41" s="349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95"/>
      <c r="Q42" s="1558" t="str">
        <f t="shared" si="11"/>
        <v>内部装修</v>
      </c>
      <c r="R42" s="1559" t="s">
        <v>8</v>
      </c>
      <c r="S42" s="1560">
        <f t="shared" si="12"/>
        <v>100</v>
      </c>
      <c r="T42" s="1559" t="s">
        <v>8</v>
      </c>
      <c r="U42" s="1560">
        <f t="shared" si="13"/>
        <v>100</v>
      </c>
      <c r="V42" s="1559" t="s">
        <v>8</v>
      </c>
      <c r="W42" s="1560">
        <f t="shared" si="14"/>
        <v>100</v>
      </c>
      <c r="X42" s="1553"/>
      <c r="Y42" s="3495"/>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95"/>
      <c r="Q43" s="1558" t="str">
        <f t="shared" si="11"/>
        <v>内部装修维护情况</v>
      </c>
      <c r="R43" s="1559" t="s">
        <v>8</v>
      </c>
      <c r="S43" s="1560">
        <f t="shared" si="12"/>
        <v>100</v>
      </c>
      <c r="T43" s="1559" t="s">
        <v>8</v>
      </c>
      <c r="U43" s="1560">
        <f t="shared" si="13"/>
        <v>100</v>
      </c>
      <c r="V43" s="1559" t="s">
        <v>8</v>
      </c>
      <c r="W43" s="1560">
        <f t="shared" si="14"/>
        <v>100</v>
      </c>
      <c r="X43" s="1553"/>
      <c r="Y43" s="349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95"/>
      <c r="Q44" s="1146">
        <f t="shared" si="11"/>
        <v>111</v>
      </c>
      <c r="R44" s="1554" t="s">
        <v>8</v>
      </c>
      <c r="S44" s="1555">
        <f t="shared" si="12"/>
        <v>100</v>
      </c>
      <c r="T44" s="1554" t="s">
        <v>8</v>
      </c>
      <c r="U44" s="1555">
        <f t="shared" si="13"/>
        <v>100</v>
      </c>
      <c r="V44" s="1554" t="s">
        <v>8</v>
      </c>
      <c r="W44" s="1555">
        <f t="shared" si="14"/>
        <v>100</v>
      </c>
      <c r="X44" s="1556"/>
      <c r="Y44" s="349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95"/>
      <c r="Q45" s="1558">
        <f t="shared" si="11"/>
        <v>111</v>
      </c>
      <c r="R45" s="1559" t="s">
        <v>8</v>
      </c>
      <c r="S45" s="1560">
        <f t="shared" si="12"/>
        <v>100</v>
      </c>
      <c r="T45" s="1559" t="s">
        <v>8</v>
      </c>
      <c r="U45" s="1560">
        <f t="shared" si="13"/>
        <v>100</v>
      </c>
      <c r="V45" s="1559" t="s">
        <v>8</v>
      </c>
      <c r="W45" s="1560">
        <f t="shared" si="14"/>
        <v>100</v>
      </c>
      <c r="X45" s="1553"/>
      <c r="Y45" s="3495"/>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74"/>
      <c r="Q46" s="1558">
        <f t="shared" si="11"/>
        <v>111</v>
      </c>
      <c r="R46" s="1559" t="s">
        <v>8</v>
      </c>
      <c r="S46" s="1560">
        <f t="shared" si="12"/>
        <v>100</v>
      </c>
      <c r="T46" s="1559" t="s">
        <v>8</v>
      </c>
      <c r="U46" s="1560">
        <f t="shared" si="13"/>
        <v>100</v>
      </c>
      <c r="V46" s="1559" t="s">
        <v>8</v>
      </c>
      <c r="W46" s="1560">
        <f t="shared" si="14"/>
        <v>100</v>
      </c>
      <c r="X46" s="1553"/>
      <c r="Y46" s="3574"/>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458" t="str">
        <f>A47</f>
        <v>成交单价（元/平方米）</v>
      </c>
      <c r="Q47" s="3458"/>
      <c r="R47" s="3573">
        <f>E47</f>
        <v>0</v>
      </c>
      <c r="S47" s="3573"/>
      <c r="T47" s="3573">
        <f>G47</f>
        <v>0</v>
      </c>
      <c r="U47" s="3573"/>
      <c r="V47" s="3573">
        <f>I47</f>
        <v>0</v>
      </c>
      <c r="W47" s="3573"/>
      <c r="X47" s="1545"/>
      <c r="Y47" s="1567"/>
      <c r="Z47" s="1545"/>
      <c r="AA47" s="1545"/>
      <c r="AB47" s="1545"/>
      <c r="AC47" s="1545"/>
    </row>
    <row r="48" spans="1:29" ht="15.75" thickBot="1">
      <c r="A48" s="615" t="s">
        <v>2756</v>
      </c>
      <c r="B48" s="887"/>
      <c r="C48" s="2597" t="e">
        <f>R49</f>
        <v>#DIV/0!</v>
      </c>
      <c r="D48" s="2598"/>
      <c r="E48" s="2599" t="e">
        <f>R48</f>
        <v>#DIV/0!</v>
      </c>
      <c r="F48" s="2599"/>
      <c r="G48" s="2597" t="e">
        <f>T48</f>
        <v>#DIV/0!</v>
      </c>
      <c r="H48" s="2598"/>
      <c r="I48" s="2599" t="e">
        <f>V48</f>
        <v>#DIV/0!</v>
      </c>
      <c r="J48" s="2598"/>
      <c r="K48" s="1597"/>
      <c r="L48" s="2129"/>
      <c r="M48" s="2130"/>
      <c r="N48" s="2119"/>
      <c r="O48" s="2130"/>
      <c r="P48" s="3458" t="str">
        <f>A48</f>
        <v>比较价格（元/平方米）</v>
      </c>
      <c r="Q48" s="3458"/>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545"/>
      <c r="Y48" s="1545"/>
      <c r="Z48" s="1545"/>
      <c r="AA48" s="1545"/>
      <c r="AB48" s="1545"/>
      <c r="AC48" s="1545"/>
    </row>
    <row r="49" spans="1:29" ht="15.75" thickBot="1">
      <c r="A49" s="621" t="s">
        <v>2931</v>
      </c>
      <c r="B49" s="622"/>
      <c r="C49" s="2600" t="e">
        <f>R49</f>
        <v>#DIV/0!</v>
      </c>
      <c r="D49" s="2600"/>
      <c r="E49" s="2600"/>
      <c r="F49" s="2600"/>
      <c r="G49" s="2600"/>
      <c r="H49" s="2600"/>
      <c r="I49" s="2600"/>
      <c r="J49" s="2600"/>
      <c r="K49" s="1598"/>
      <c r="L49" s="2129"/>
      <c r="M49" s="2130"/>
      <c r="N49" s="2119"/>
      <c r="O49" s="2130"/>
      <c r="P49" s="3455" t="str">
        <f>A49</f>
        <v>估价对象XX用房的比较价格（楼面单价，元/平方米）</v>
      </c>
      <c r="Q49" s="3456"/>
      <c r="R49" s="3572" t="e">
        <f>IF(F1="售价",ROUND(AVERAGE(R48:V48),0),ROUND(AVERAGE(R48:V48),1))</f>
        <v>#DIV/0!</v>
      </c>
      <c r="S49" s="3572"/>
      <c r="T49" s="3572"/>
      <c r="U49" s="3572"/>
      <c r="V49" s="3572"/>
      <c r="W49" s="357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2206"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64" t="s">
        <v>522</v>
      </c>
      <c r="D4" s="3465"/>
      <c r="E4" s="3498" t="s">
        <v>523</v>
      </c>
      <c r="F4" s="3499"/>
      <c r="G4" s="3464" t="s">
        <v>524</v>
      </c>
      <c r="H4" s="3465"/>
      <c r="I4" s="3464" t="s">
        <v>525</v>
      </c>
      <c r="J4" s="3465"/>
      <c r="K4" s="514" t="s">
        <v>526</v>
      </c>
      <c r="L4" s="2118"/>
      <c r="M4" s="2119"/>
      <c r="N4" s="2119"/>
      <c r="O4" s="2119"/>
      <c r="P4" s="3580" t="s">
        <v>527</v>
      </c>
      <c r="Q4" s="3467"/>
      <c r="R4" s="3472" t="s">
        <v>523</v>
      </c>
      <c r="S4" s="3473"/>
      <c r="T4" s="3472" t="s">
        <v>524</v>
      </c>
      <c r="U4" s="3473"/>
      <c r="V4" s="3459" t="s">
        <v>525</v>
      </c>
      <c r="W4" s="3459"/>
      <c r="X4" s="1553"/>
      <c r="Y4" s="3472" t="s">
        <v>527</v>
      </c>
      <c r="Z4" s="3473"/>
      <c r="AA4" s="3461" t="s">
        <v>523</v>
      </c>
      <c r="AB4" s="3461" t="s">
        <v>524</v>
      </c>
      <c r="AC4" s="3461" t="s">
        <v>525</v>
      </c>
    </row>
    <row r="5" spans="1:29" ht="15">
      <c r="A5" s="515"/>
      <c r="B5" s="516"/>
      <c r="C5" s="3480" t="s">
        <v>2925</v>
      </c>
      <c r="D5" s="3481"/>
      <c r="E5" s="3500" t="s">
        <v>2926</v>
      </c>
      <c r="F5" s="3501"/>
      <c r="G5" s="3480" t="s">
        <v>2927</v>
      </c>
      <c r="H5" s="3481"/>
      <c r="I5" s="3480" t="s">
        <v>2928</v>
      </c>
      <c r="J5" s="3481"/>
      <c r="K5" s="514"/>
      <c r="L5" s="2118"/>
      <c r="M5" s="2119"/>
      <c r="N5" s="2119"/>
      <c r="O5" s="2119"/>
      <c r="P5" s="3581"/>
      <c r="Q5" s="3469"/>
      <c r="R5" s="3474"/>
      <c r="S5" s="3475"/>
      <c r="T5" s="3474"/>
      <c r="U5" s="3475"/>
      <c r="V5" s="3459"/>
      <c r="W5" s="3459"/>
      <c r="X5" s="1553"/>
      <c r="Y5" s="3474"/>
      <c r="Z5" s="3475"/>
      <c r="AA5" s="3462"/>
      <c r="AB5" s="3462"/>
      <c r="AC5" s="3462"/>
    </row>
    <row r="6" spans="1:29" ht="15.75" thickBot="1">
      <c r="A6" s="517"/>
      <c r="B6" s="518"/>
      <c r="C6" s="3478" t="s">
        <v>2929</v>
      </c>
      <c r="D6" s="3479"/>
      <c r="E6" s="3496" t="s">
        <v>2929</v>
      </c>
      <c r="F6" s="3497"/>
      <c r="G6" s="3478" t="s">
        <v>2929</v>
      </c>
      <c r="H6" s="3479"/>
      <c r="I6" s="3478" t="s">
        <v>2929</v>
      </c>
      <c r="J6" s="3479"/>
      <c r="K6" s="514" t="s">
        <v>528</v>
      </c>
      <c r="L6" s="2118"/>
      <c r="M6" s="2119"/>
      <c r="N6" s="2119"/>
      <c r="O6" s="2119"/>
      <c r="P6" s="3582"/>
      <c r="Q6" s="3471"/>
      <c r="R6" s="3474"/>
      <c r="S6" s="3475"/>
      <c r="T6" s="3476"/>
      <c r="U6" s="3477"/>
      <c r="V6" s="3459"/>
      <c r="W6" s="3459"/>
      <c r="X6" s="1553"/>
      <c r="Y6" s="3476"/>
      <c r="Z6" s="3477"/>
      <c r="AA6" s="3463"/>
      <c r="AB6" s="3463"/>
      <c r="AC6" s="3463"/>
    </row>
    <row r="7" spans="1:29" s="1215" customFormat="1" ht="15.75" thickBot="1">
      <c r="A7" s="2867"/>
      <c r="B7" s="2874" t="s">
        <v>529</v>
      </c>
      <c r="C7" s="519">
        <f>'数据-取费表'!B2</f>
        <v>43621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91" t="s">
        <v>530</v>
      </c>
      <c r="Q7" s="3491"/>
      <c r="R7" s="1554" t="s">
        <v>8</v>
      </c>
      <c r="S7" s="1555">
        <f t="shared" ref="S7:S15" si="0">F7</f>
        <v>0</v>
      </c>
      <c r="T7" s="1554" t="s">
        <v>8</v>
      </c>
      <c r="U7" s="1555">
        <f t="shared" ref="U7:U15" si="1">H7</f>
        <v>0</v>
      </c>
      <c r="V7" s="1554" t="s">
        <v>8</v>
      </c>
      <c r="W7" s="1555">
        <f t="shared" ref="W7:W15" si="2">J7</f>
        <v>0</v>
      </c>
      <c r="X7" s="1556"/>
      <c r="Y7" s="3489" t="s">
        <v>530</v>
      </c>
      <c r="Z7" s="3490"/>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91" t="s">
        <v>533</v>
      </c>
      <c r="Q8" s="3490"/>
      <c r="R8" s="1554" t="s">
        <v>8</v>
      </c>
      <c r="S8" s="1555">
        <f t="shared" si="0"/>
        <v>0</v>
      </c>
      <c r="T8" s="1554" t="s">
        <v>8</v>
      </c>
      <c r="U8" s="1555">
        <f t="shared" si="1"/>
        <v>0</v>
      </c>
      <c r="V8" s="1554" t="s">
        <v>8</v>
      </c>
      <c r="W8" s="1555">
        <f t="shared" si="2"/>
        <v>0</v>
      </c>
      <c r="X8" s="1556"/>
      <c r="Y8" s="3489" t="s">
        <v>533</v>
      </c>
      <c r="Z8" s="3490"/>
      <c r="AA8" s="1557" t="e">
        <f t="shared" ref="AA8:AA47" si="3">D8/F8</f>
        <v>#DIV/0!</v>
      </c>
      <c r="AB8" s="1557" t="e">
        <f t="shared" ref="AB8:AB47" si="4">D8/H8</f>
        <v>#DIV/0!</v>
      </c>
      <c r="AC8" s="1557" t="e">
        <f t="shared" ref="AC8:AC47" si="5">D8/J8</f>
        <v>#DIV/0!</v>
      </c>
    </row>
    <row r="9" spans="1:29" s="1215" customFormat="1" ht="15">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58" t="s">
        <v>535</v>
      </c>
      <c r="Q9" s="1146" t="str">
        <f t="shared" ref="Q9:Q15" si="6">B9</f>
        <v>用途</v>
      </c>
      <c r="R9" s="1554" t="s">
        <v>8</v>
      </c>
      <c r="S9" s="1555">
        <f t="shared" si="0"/>
        <v>100</v>
      </c>
      <c r="T9" s="1554" t="s">
        <v>8</v>
      </c>
      <c r="U9" s="1555">
        <f t="shared" si="1"/>
        <v>100</v>
      </c>
      <c r="V9" s="1554" t="s">
        <v>8</v>
      </c>
      <c r="W9" s="1555">
        <f t="shared" si="2"/>
        <v>100</v>
      </c>
      <c r="X9" s="1556"/>
      <c r="Y9" s="3404"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58"/>
      <c r="Q10" s="1146" t="str">
        <f t="shared" si="6"/>
        <v>土地使用年限（年）</v>
      </c>
      <c r="R10" s="1554" t="s">
        <v>8</v>
      </c>
      <c r="S10" s="1555">
        <f t="shared" si="0"/>
        <v>100</v>
      </c>
      <c r="T10" s="1554" t="s">
        <v>8</v>
      </c>
      <c r="U10" s="1555">
        <f t="shared" si="1"/>
        <v>100</v>
      </c>
      <c r="V10" s="1554" t="s">
        <v>8</v>
      </c>
      <c r="W10" s="1555">
        <f t="shared" si="2"/>
        <v>100</v>
      </c>
      <c r="X10" s="1556"/>
      <c r="Y10" s="3404"/>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58"/>
      <c r="Q11" s="1146" t="str">
        <f t="shared" si="6"/>
        <v>容积率</v>
      </c>
      <c r="R11" s="1554" t="s">
        <v>8</v>
      </c>
      <c r="S11" s="1555" t="e">
        <f t="shared" si="0"/>
        <v>#N/A</v>
      </c>
      <c r="T11" s="1554" t="s">
        <v>8</v>
      </c>
      <c r="U11" s="1555" t="e">
        <f t="shared" si="1"/>
        <v>#N/A</v>
      </c>
      <c r="V11" s="1554" t="s">
        <v>8</v>
      </c>
      <c r="W11" s="1555" t="e">
        <f t="shared" si="2"/>
        <v>#N/A</v>
      </c>
      <c r="X11" s="1556"/>
      <c r="Y11" s="340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58"/>
      <c r="Q12" s="1146">
        <f t="shared" si="6"/>
        <v>111</v>
      </c>
      <c r="R12" s="1554" t="s">
        <v>8</v>
      </c>
      <c r="S12" s="1555">
        <f t="shared" si="0"/>
        <v>100</v>
      </c>
      <c r="T12" s="1554" t="s">
        <v>8</v>
      </c>
      <c r="U12" s="1555">
        <f t="shared" si="1"/>
        <v>100</v>
      </c>
      <c r="V12" s="1554" t="s">
        <v>8</v>
      </c>
      <c r="W12" s="1555">
        <f t="shared" si="2"/>
        <v>100</v>
      </c>
      <c r="X12" s="1556"/>
      <c r="Y12" s="3404"/>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58"/>
      <c r="Q13" s="1146">
        <f t="shared" si="6"/>
        <v>111</v>
      </c>
      <c r="R13" s="1554" t="s">
        <v>8</v>
      </c>
      <c r="S13" s="1555">
        <f t="shared" si="0"/>
        <v>100</v>
      </c>
      <c r="T13" s="1554" t="s">
        <v>8</v>
      </c>
      <c r="U13" s="1555">
        <f t="shared" si="1"/>
        <v>100</v>
      </c>
      <c r="V13" s="1554" t="s">
        <v>8</v>
      </c>
      <c r="W13" s="1555">
        <f t="shared" si="2"/>
        <v>100</v>
      </c>
      <c r="X13" s="1556"/>
      <c r="Y13" s="3404"/>
      <c r="Z13" s="1145">
        <f t="shared" si="7"/>
        <v>111</v>
      </c>
      <c r="AA13" s="1557">
        <f t="shared" si="3"/>
        <v>1</v>
      </c>
      <c r="AB13" s="1557">
        <f t="shared" si="4"/>
        <v>1</v>
      </c>
      <c r="AC13" s="1557">
        <f t="shared" si="5"/>
        <v>1</v>
      </c>
    </row>
    <row r="14" spans="1:29" ht="15.75"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58"/>
      <c r="Q14" s="1146">
        <f t="shared" si="6"/>
        <v>111</v>
      </c>
      <c r="R14" s="1554" t="s">
        <v>8</v>
      </c>
      <c r="S14" s="1555">
        <f t="shared" si="0"/>
        <v>100</v>
      </c>
      <c r="T14" s="1554" t="s">
        <v>8</v>
      </c>
      <c r="U14" s="1555">
        <f t="shared" si="1"/>
        <v>100</v>
      </c>
      <c r="V14" s="1554" t="s">
        <v>8</v>
      </c>
      <c r="W14" s="1555">
        <f t="shared" si="2"/>
        <v>100</v>
      </c>
      <c r="X14" s="1556"/>
      <c r="Y14" s="3404"/>
      <c r="Z14" s="1145">
        <f t="shared" si="7"/>
        <v>111</v>
      </c>
      <c r="AA14" s="1557">
        <f t="shared" si="3"/>
        <v>1</v>
      </c>
      <c r="AB14" s="1557">
        <f t="shared" si="4"/>
        <v>1</v>
      </c>
      <c r="AC14" s="1557">
        <f t="shared" si="5"/>
        <v>1</v>
      </c>
    </row>
    <row r="15" spans="1:29" ht="71.25">
      <c r="A15" s="2865"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92" t="s">
        <v>540</v>
      </c>
      <c r="Q15" s="1558" t="str">
        <f t="shared" si="6"/>
        <v>办公集聚程度</v>
      </c>
      <c r="R15" s="1559" t="s">
        <v>8</v>
      </c>
      <c r="S15" s="1560">
        <f t="shared" si="0"/>
        <v>100</v>
      </c>
      <c r="T15" s="1559" t="s">
        <v>8</v>
      </c>
      <c r="U15" s="1560">
        <f t="shared" si="1"/>
        <v>100</v>
      </c>
      <c r="V15" s="1559" t="s">
        <v>8</v>
      </c>
      <c r="W15" s="1560">
        <f t="shared" si="2"/>
        <v>100</v>
      </c>
      <c r="X15" s="1553"/>
      <c r="Y15" s="349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93"/>
      <c r="Q16" s="1558"/>
      <c r="R16" s="1559"/>
      <c r="S16" s="1560"/>
      <c r="T16" s="1559"/>
      <c r="U16" s="1560"/>
      <c r="V16" s="1559"/>
      <c r="W16" s="1560"/>
      <c r="X16" s="1553"/>
      <c r="Y16" s="349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93"/>
      <c r="Q17" s="1558" t="str">
        <f>B17</f>
        <v>交通便捷度</v>
      </c>
      <c r="R17" s="1559" t="s">
        <v>8</v>
      </c>
      <c r="S17" s="1560">
        <f>F17</f>
        <v>100</v>
      </c>
      <c r="T17" s="1559" t="s">
        <v>8</v>
      </c>
      <c r="U17" s="1560">
        <f>H17</f>
        <v>100</v>
      </c>
      <c r="V17" s="1559" t="s">
        <v>8</v>
      </c>
      <c r="W17" s="1560">
        <f>J17</f>
        <v>100</v>
      </c>
      <c r="X17" s="1553"/>
      <c r="Y17" s="349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93"/>
      <c r="Q18" s="1558"/>
      <c r="R18" s="1559"/>
      <c r="S18" s="1560"/>
      <c r="T18" s="1559"/>
      <c r="U18" s="1560"/>
      <c r="V18" s="1559"/>
      <c r="W18" s="1560"/>
      <c r="X18" s="1553"/>
      <c r="Y18" s="3493"/>
      <c r="Z18" s="1561"/>
      <c r="AA18" s="1562">
        <v>1</v>
      </c>
      <c r="AB18" s="1562">
        <v>1</v>
      </c>
      <c r="AC18" s="1562">
        <v>1</v>
      </c>
    </row>
    <row r="19" spans="1:29" ht="42.75">
      <c r="A19" s="532"/>
      <c r="B19" s="2567"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93"/>
      <c r="Q19" s="1558" t="str">
        <f>B19</f>
        <v>公共配套设施</v>
      </c>
      <c r="R19" s="1559" t="s">
        <v>8</v>
      </c>
      <c r="S19" s="1560">
        <f>F19</f>
        <v>100</v>
      </c>
      <c r="T19" s="1559" t="s">
        <v>8</v>
      </c>
      <c r="U19" s="1560">
        <f>H19</f>
        <v>100</v>
      </c>
      <c r="V19" s="1559" t="s">
        <v>8</v>
      </c>
      <c r="W19" s="1560">
        <f>J19</f>
        <v>100</v>
      </c>
      <c r="X19" s="1553"/>
      <c r="Y19" s="349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93"/>
      <c r="Q20" s="1558"/>
      <c r="R20" s="1559"/>
      <c r="S20" s="1560"/>
      <c r="T20" s="1559"/>
      <c r="U20" s="1560"/>
      <c r="V20" s="1559"/>
      <c r="W20" s="1560"/>
      <c r="X20" s="1553"/>
      <c r="Y20" s="3493"/>
      <c r="Z20" s="1561"/>
      <c r="AA20" s="1562">
        <v>1</v>
      </c>
      <c r="AB20" s="1562">
        <v>1</v>
      </c>
      <c r="AC20" s="1562">
        <v>1</v>
      </c>
    </row>
    <row r="21" spans="1:29" ht="28.5">
      <c r="A21" s="532"/>
      <c r="B21" s="2555"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93"/>
      <c r="Q21" s="2543" t="str">
        <f>B21</f>
        <v>基础设施水平</v>
      </c>
      <c r="R21" s="1559" t="s">
        <v>8</v>
      </c>
      <c r="S21" s="1560">
        <f>F21</f>
        <v>100</v>
      </c>
      <c r="T21" s="1559" t="s">
        <v>8</v>
      </c>
      <c r="U21" s="1560">
        <f>H21</f>
        <v>100</v>
      </c>
      <c r="V21" s="1559" t="s">
        <v>8</v>
      </c>
      <c r="W21" s="1560">
        <f>J21</f>
        <v>100</v>
      </c>
      <c r="X21" s="2545"/>
      <c r="Y21" s="349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93"/>
      <c r="Q22" s="2543"/>
      <c r="R22" s="1559"/>
      <c r="S22" s="1560"/>
      <c r="T22" s="1559"/>
      <c r="U22" s="1560"/>
      <c r="V22" s="1559"/>
      <c r="W22" s="1560"/>
      <c r="X22" s="2545"/>
      <c r="Y22" s="3493"/>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93"/>
      <c r="Q23" s="1558" t="str">
        <f>B23</f>
        <v>环境质量</v>
      </c>
      <c r="R23" s="1559" t="s">
        <v>8</v>
      </c>
      <c r="S23" s="1560">
        <f>F23</f>
        <v>100</v>
      </c>
      <c r="T23" s="1559" t="s">
        <v>8</v>
      </c>
      <c r="U23" s="1560">
        <f>H23</f>
        <v>100</v>
      </c>
      <c r="V23" s="1559" t="s">
        <v>8</v>
      </c>
      <c r="W23" s="1560">
        <f>J23</f>
        <v>100</v>
      </c>
      <c r="X23" s="1553"/>
      <c r="Y23" s="349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93"/>
      <c r="Q24" s="1558"/>
      <c r="R24" s="1559"/>
      <c r="S24" s="1560"/>
      <c r="T24" s="1559"/>
      <c r="U24" s="1560"/>
      <c r="V24" s="1559"/>
      <c r="W24" s="1560"/>
      <c r="X24" s="1553"/>
      <c r="Y24" s="3493"/>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93"/>
      <c r="Q25" s="1558" t="str">
        <f>B25</f>
        <v>毗邻道路的类型与等级</v>
      </c>
      <c r="R25" s="1559" t="s">
        <v>8</v>
      </c>
      <c r="S25" s="1560">
        <f>F25</f>
        <v>100</v>
      </c>
      <c r="T25" s="1559" t="s">
        <v>8</v>
      </c>
      <c r="U25" s="1560">
        <f>H25</f>
        <v>100</v>
      </c>
      <c r="V25" s="1559" t="s">
        <v>8</v>
      </c>
      <c r="W25" s="1560">
        <f>J25</f>
        <v>100</v>
      </c>
      <c r="X25" s="1553"/>
      <c r="Y25" s="349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93"/>
      <c r="Q26" s="1558"/>
      <c r="R26" s="1559"/>
      <c r="S26" s="1560"/>
      <c r="T26" s="1559"/>
      <c r="U26" s="1560"/>
      <c r="V26" s="1559"/>
      <c r="W26" s="1560"/>
      <c r="X26" s="1553"/>
      <c r="Y26" s="349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93"/>
      <c r="Q27" s="1558" t="str">
        <f t="shared" ref="Q27:Q47" si="11">B27</f>
        <v>楼层</v>
      </c>
      <c r="R27" s="1559" t="s">
        <v>8</v>
      </c>
      <c r="S27" s="1560">
        <f>F27</f>
        <v>100</v>
      </c>
      <c r="T27" s="1559" t="s">
        <v>8</v>
      </c>
      <c r="U27" s="1560">
        <f>H27</f>
        <v>100</v>
      </c>
      <c r="V27" s="1559" t="s">
        <v>8</v>
      </c>
      <c r="W27" s="1560">
        <f>J27</f>
        <v>100</v>
      </c>
      <c r="X27" s="1553"/>
      <c r="Y27" s="3493"/>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93"/>
      <c r="Q28" s="1146" t="str">
        <f t="shared" si="11"/>
        <v>朝向</v>
      </c>
      <c r="R28" s="1554" t="s">
        <v>8</v>
      </c>
      <c r="S28" s="1555">
        <f>F28</f>
        <v>100</v>
      </c>
      <c r="T28" s="1554" t="s">
        <v>8</v>
      </c>
      <c r="U28" s="1555">
        <f>H28</f>
        <v>100</v>
      </c>
      <c r="V28" s="1554" t="s">
        <v>8</v>
      </c>
      <c r="W28" s="1555">
        <f>J28</f>
        <v>100</v>
      </c>
      <c r="X28" s="1556"/>
      <c r="Y28" s="349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93"/>
      <c r="Q29" s="1558">
        <f t="shared" si="11"/>
        <v>111</v>
      </c>
      <c r="R29" s="1559" t="s">
        <v>8</v>
      </c>
      <c r="S29" s="1560">
        <f t="shared" ref="S29:S47" si="12">F29</f>
        <v>100</v>
      </c>
      <c r="T29" s="1559" t="s">
        <v>8</v>
      </c>
      <c r="U29" s="1560">
        <f t="shared" ref="U29:U47" si="13">H29</f>
        <v>100</v>
      </c>
      <c r="V29" s="1559" t="s">
        <v>8</v>
      </c>
      <c r="W29" s="1560">
        <f t="shared" ref="W29:W47" si="14">J29</f>
        <v>100</v>
      </c>
      <c r="X29" s="1553"/>
      <c r="Y29" s="3493"/>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93"/>
      <c r="Q30" s="1558">
        <f t="shared" si="11"/>
        <v>111</v>
      </c>
      <c r="R30" s="1559" t="s">
        <v>8</v>
      </c>
      <c r="S30" s="1560">
        <f t="shared" si="12"/>
        <v>100</v>
      </c>
      <c r="T30" s="1559" t="s">
        <v>8</v>
      </c>
      <c r="U30" s="1560">
        <f t="shared" si="13"/>
        <v>100</v>
      </c>
      <c r="V30" s="1559" t="s">
        <v>8</v>
      </c>
      <c r="W30" s="1560">
        <f t="shared" si="14"/>
        <v>100</v>
      </c>
      <c r="X30" s="1553"/>
      <c r="Y30" s="3493"/>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93"/>
      <c r="Q31" s="1558">
        <f t="shared" si="11"/>
        <v>111</v>
      </c>
      <c r="R31" s="1559" t="s">
        <v>8</v>
      </c>
      <c r="S31" s="1560">
        <f t="shared" si="12"/>
        <v>100</v>
      </c>
      <c r="T31" s="1559" t="s">
        <v>8</v>
      </c>
      <c r="U31" s="1560">
        <f t="shared" si="13"/>
        <v>100</v>
      </c>
      <c r="V31" s="1559" t="s">
        <v>8</v>
      </c>
      <c r="W31" s="1560">
        <f t="shared" si="14"/>
        <v>100</v>
      </c>
      <c r="X31" s="1553"/>
      <c r="Y31" s="3493"/>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93"/>
      <c r="Q32" s="1558">
        <f t="shared" si="11"/>
        <v>111</v>
      </c>
      <c r="R32" s="1559" t="s">
        <v>8</v>
      </c>
      <c r="S32" s="1560">
        <f t="shared" si="12"/>
        <v>100</v>
      </c>
      <c r="T32" s="1559" t="s">
        <v>8</v>
      </c>
      <c r="U32" s="1560">
        <f t="shared" si="13"/>
        <v>100</v>
      </c>
      <c r="V32" s="1559" t="s">
        <v>8</v>
      </c>
      <c r="W32" s="1560">
        <f t="shared" si="14"/>
        <v>100</v>
      </c>
      <c r="X32" s="1553"/>
      <c r="Y32" s="3493"/>
      <c r="Z32" s="1561">
        <f t="shared" si="15"/>
        <v>111</v>
      </c>
      <c r="AA32" s="1562">
        <f t="shared" si="3"/>
        <v>1</v>
      </c>
      <c r="AB32" s="1562">
        <f t="shared" si="4"/>
        <v>1</v>
      </c>
      <c r="AC32" s="1562">
        <f t="shared" si="5"/>
        <v>1</v>
      </c>
    </row>
    <row r="33" spans="1:29" ht="15">
      <c r="A33" s="2862"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94" t="s">
        <v>550</v>
      </c>
      <c r="Q33" s="1558" t="str">
        <f t="shared" si="11"/>
        <v>建筑类型</v>
      </c>
      <c r="R33" s="1559" t="s">
        <v>8</v>
      </c>
      <c r="S33" s="1560">
        <f t="shared" si="12"/>
        <v>100</v>
      </c>
      <c r="T33" s="1559" t="s">
        <v>8</v>
      </c>
      <c r="U33" s="1560">
        <f t="shared" si="13"/>
        <v>100</v>
      </c>
      <c r="V33" s="1559" t="s">
        <v>8</v>
      </c>
      <c r="W33" s="1560">
        <f t="shared" si="14"/>
        <v>100</v>
      </c>
      <c r="X33" s="1553"/>
      <c r="Y33" s="3495"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95"/>
      <c r="Q34" s="1590" t="str">
        <f t="shared" si="11"/>
        <v>项目建筑规模</v>
      </c>
      <c r="R34" s="1563" t="s">
        <v>8</v>
      </c>
      <c r="S34" s="1564" t="e">
        <f t="shared" si="12"/>
        <v>#N/A</v>
      </c>
      <c r="T34" s="1563" t="s">
        <v>8</v>
      </c>
      <c r="U34" s="1564" t="e">
        <f t="shared" si="13"/>
        <v>#N/A</v>
      </c>
      <c r="V34" s="1563" t="s">
        <v>8</v>
      </c>
      <c r="W34" s="1564" t="e">
        <f t="shared" si="14"/>
        <v>#N/A</v>
      </c>
      <c r="X34" s="1565"/>
      <c r="Y34" s="349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95"/>
      <c r="Q35" s="1558" t="str">
        <f t="shared" si="11"/>
        <v>建筑结构</v>
      </c>
      <c r="R35" s="1559" t="s">
        <v>8</v>
      </c>
      <c r="S35" s="1560">
        <f t="shared" si="12"/>
        <v>100</v>
      </c>
      <c r="T35" s="1559" t="s">
        <v>8</v>
      </c>
      <c r="U35" s="1560">
        <f t="shared" si="13"/>
        <v>100</v>
      </c>
      <c r="V35" s="1559" t="s">
        <v>8</v>
      </c>
      <c r="W35" s="1560">
        <f t="shared" si="14"/>
        <v>100</v>
      </c>
      <c r="X35" s="1553"/>
      <c r="Y35" s="349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95"/>
      <c r="Q36" s="1558" t="str">
        <f t="shared" si="11"/>
        <v>公共部分装修</v>
      </c>
      <c r="R36" s="1559" t="s">
        <v>8</v>
      </c>
      <c r="S36" s="1560">
        <f t="shared" si="12"/>
        <v>100</v>
      </c>
      <c r="T36" s="1559" t="s">
        <v>8</v>
      </c>
      <c r="U36" s="1560">
        <f t="shared" si="13"/>
        <v>100</v>
      </c>
      <c r="V36" s="1559" t="s">
        <v>8</v>
      </c>
      <c r="W36" s="1560">
        <f t="shared" si="14"/>
        <v>100</v>
      </c>
      <c r="X36" s="1553"/>
      <c r="Y36" s="3495"/>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95"/>
      <c r="Q37" s="1558" t="str">
        <f t="shared" si="11"/>
        <v>成新度</v>
      </c>
      <c r="R37" s="1559" t="s">
        <v>8</v>
      </c>
      <c r="S37" s="1560" t="e">
        <f t="shared" si="12"/>
        <v>#N/A</v>
      </c>
      <c r="T37" s="1559" t="s">
        <v>8</v>
      </c>
      <c r="U37" s="1560" t="e">
        <f t="shared" si="13"/>
        <v>#N/A</v>
      </c>
      <c r="V37" s="1559" t="s">
        <v>8</v>
      </c>
      <c r="W37" s="1560" t="e">
        <f t="shared" si="14"/>
        <v>#N/A</v>
      </c>
      <c r="X37" s="1553"/>
      <c r="Y37" s="3495"/>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95"/>
      <c r="Q38" s="1146" t="str">
        <f t="shared" si="11"/>
        <v>写字楼等级</v>
      </c>
      <c r="R38" s="1554" t="s">
        <v>8</v>
      </c>
      <c r="S38" s="1555">
        <f t="shared" si="12"/>
        <v>100</v>
      </c>
      <c r="T38" s="1554" t="s">
        <v>8</v>
      </c>
      <c r="U38" s="1555">
        <f t="shared" si="13"/>
        <v>100</v>
      </c>
      <c r="V38" s="1554" t="s">
        <v>8</v>
      </c>
      <c r="W38" s="1555">
        <f t="shared" si="14"/>
        <v>100</v>
      </c>
      <c r="X38" s="1556"/>
      <c r="Y38" s="3495"/>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95" t="s">
        <v>550</v>
      </c>
      <c r="Q39" s="1558" t="str">
        <f t="shared" si="11"/>
        <v>物业管理</v>
      </c>
      <c r="R39" s="1559" t="s">
        <v>8</v>
      </c>
      <c r="S39" s="1560">
        <f t="shared" si="12"/>
        <v>100</v>
      </c>
      <c r="T39" s="1559" t="s">
        <v>8</v>
      </c>
      <c r="U39" s="1560">
        <f t="shared" si="13"/>
        <v>100</v>
      </c>
      <c r="V39" s="1559" t="s">
        <v>8</v>
      </c>
      <c r="W39" s="1560">
        <f t="shared" si="14"/>
        <v>100</v>
      </c>
      <c r="X39" s="1553"/>
      <c r="Y39" s="3495" t="s">
        <v>550</v>
      </c>
      <c r="Z39" s="1561" t="str">
        <f t="shared" si="15"/>
        <v>物业管理</v>
      </c>
      <c r="AA39" s="1562">
        <f t="shared" si="3"/>
        <v>1</v>
      </c>
      <c r="AB39" s="1562">
        <f t="shared" si="4"/>
        <v>1</v>
      </c>
      <c r="AC39" s="1562">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95"/>
      <c r="Q40" s="1558" t="str">
        <f t="shared" si="11"/>
        <v>市政基础设施</v>
      </c>
      <c r="R40" s="1559" t="s">
        <v>8</v>
      </c>
      <c r="S40" s="1560">
        <f t="shared" si="12"/>
        <v>100</v>
      </c>
      <c r="T40" s="1559" t="s">
        <v>8</v>
      </c>
      <c r="U40" s="1560">
        <f t="shared" si="13"/>
        <v>100</v>
      </c>
      <c r="V40" s="1559" t="s">
        <v>8</v>
      </c>
      <c r="W40" s="1560">
        <f t="shared" si="14"/>
        <v>100</v>
      </c>
      <c r="X40" s="1553"/>
      <c r="Y40" s="349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95"/>
      <c r="Q41" s="1558" t="str">
        <f t="shared" si="11"/>
        <v>层高</v>
      </c>
      <c r="R41" s="1559" t="s">
        <v>8</v>
      </c>
      <c r="S41" s="1560">
        <f t="shared" si="12"/>
        <v>100</v>
      </c>
      <c r="T41" s="1559" t="s">
        <v>8</v>
      </c>
      <c r="U41" s="1560">
        <f t="shared" si="13"/>
        <v>100</v>
      </c>
      <c r="V41" s="1559" t="s">
        <v>8</v>
      </c>
      <c r="W41" s="1560">
        <f t="shared" si="14"/>
        <v>100</v>
      </c>
      <c r="X41" s="1553"/>
      <c r="Y41" s="3495"/>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95"/>
      <c r="Q42" s="1590" t="str">
        <f t="shared" si="11"/>
        <v>单套建筑面积</v>
      </c>
      <c r="R42" s="1563" t="s">
        <v>8</v>
      </c>
      <c r="S42" s="1564">
        <f t="shared" si="12"/>
        <v>100</v>
      </c>
      <c r="T42" s="1563" t="s">
        <v>8</v>
      </c>
      <c r="U42" s="1564">
        <f t="shared" si="13"/>
        <v>100</v>
      </c>
      <c r="V42" s="1563" t="s">
        <v>8</v>
      </c>
      <c r="W42" s="1564">
        <f t="shared" si="14"/>
        <v>100</v>
      </c>
      <c r="X42" s="1565"/>
      <c r="Y42" s="349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95"/>
      <c r="Q43" s="1558" t="str">
        <f t="shared" si="11"/>
        <v>内部装修</v>
      </c>
      <c r="R43" s="1559" t="s">
        <v>8</v>
      </c>
      <c r="S43" s="1560">
        <f t="shared" si="12"/>
        <v>100</v>
      </c>
      <c r="T43" s="1559" t="s">
        <v>8</v>
      </c>
      <c r="U43" s="1560">
        <f t="shared" si="13"/>
        <v>100</v>
      </c>
      <c r="V43" s="1559" t="s">
        <v>8</v>
      </c>
      <c r="W43" s="1560">
        <f t="shared" si="14"/>
        <v>100</v>
      </c>
      <c r="X43" s="1553"/>
      <c r="Y43" s="349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95"/>
      <c r="Q44" s="1558" t="str">
        <f t="shared" si="11"/>
        <v>内部装修维护情况</v>
      </c>
      <c r="R44" s="1559" t="s">
        <v>8</v>
      </c>
      <c r="S44" s="1560">
        <f t="shared" si="12"/>
        <v>100</v>
      </c>
      <c r="T44" s="1559" t="s">
        <v>8</v>
      </c>
      <c r="U44" s="1560">
        <f t="shared" si="13"/>
        <v>100</v>
      </c>
      <c r="V44" s="1559" t="s">
        <v>8</v>
      </c>
      <c r="W44" s="1560">
        <f t="shared" si="14"/>
        <v>100</v>
      </c>
      <c r="X44" s="1553"/>
      <c r="Y44" s="3495"/>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95"/>
      <c r="Q45" s="1146">
        <f t="shared" si="11"/>
        <v>111</v>
      </c>
      <c r="R45" s="1554" t="s">
        <v>8</v>
      </c>
      <c r="S45" s="1555">
        <f t="shared" si="12"/>
        <v>100</v>
      </c>
      <c r="T45" s="1554" t="s">
        <v>8</v>
      </c>
      <c r="U45" s="1555">
        <f t="shared" si="13"/>
        <v>100</v>
      </c>
      <c r="V45" s="1554" t="s">
        <v>8</v>
      </c>
      <c r="W45" s="1555">
        <f t="shared" si="14"/>
        <v>100</v>
      </c>
      <c r="X45" s="1556"/>
      <c r="Y45" s="349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95"/>
      <c r="Q46" s="1558">
        <f t="shared" si="11"/>
        <v>111</v>
      </c>
      <c r="R46" s="1559" t="s">
        <v>8</v>
      </c>
      <c r="S46" s="1560">
        <f t="shared" si="12"/>
        <v>100</v>
      </c>
      <c r="T46" s="1559" t="s">
        <v>8</v>
      </c>
      <c r="U46" s="1560">
        <f t="shared" si="13"/>
        <v>100</v>
      </c>
      <c r="V46" s="1559" t="s">
        <v>8</v>
      </c>
      <c r="W46" s="1560">
        <f t="shared" si="14"/>
        <v>100</v>
      </c>
      <c r="X46" s="1553"/>
      <c r="Y46" s="3495"/>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74"/>
      <c r="Q47" s="1558">
        <f t="shared" si="11"/>
        <v>111</v>
      </c>
      <c r="R47" s="1559" t="s">
        <v>8</v>
      </c>
      <c r="S47" s="1560">
        <f t="shared" si="12"/>
        <v>100</v>
      </c>
      <c r="T47" s="1559" t="s">
        <v>8</v>
      </c>
      <c r="U47" s="1560">
        <f t="shared" si="13"/>
        <v>100</v>
      </c>
      <c r="V47" s="1559" t="s">
        <v>8</v>
      </c>
      <c r="W47" s="1560">
        <f t="shared" si="14"/>
        <v>100</v>
      </c>
      <c r="X47" s="1553"/>
      <c r="Y47" s="3574"/>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456" t="str">
        <f>A48</f>
        <v>成交单价（元/平方米）</v>
      </c>
      <c r="Q48" s="3458"/>
      <c r="R48" s="3573">
        <f>E48</f>
        <v>0</v>
      </c>
      <c r="S48" s="3573"/>
      <c r="T48" s="3573">
        <f>G48</f>
        <v>0</v>
      </c>
      <c r="U48" s="3573"/>
      <c r="V48" s="3573">
        <f>I48</f>
        <v>0</v>
      </c>
      <c r="W48" s="3573"/>
      <c r="X48" s="1545"/>
      <c r="Y48" s="1567"/>
      <c r="Z48" s="1545"/>
      <c r="AA48" s="1545"/>
      <c r="AB48" s="1545"/>
      <c r="AC48" s="1545"/>
    </row>
    <row r="49" spans="1:29" ht="15.75" thickBot="1">
      <c r="A49" s="615" t="s">
        <v>2756</v>
      </c>
      <c r="B49" s="887"/>
      <c r="C49" s="2597" t="e">
        <f>R50</f>
        <v>#DIV/0!</v>
      </c>
      <c r="D49" s="2598"/>
      <c r="E49" s="2599" t="e">
        <f>R49</f>
        <v>#DIV/0!</v>
      </c>
      <c r="F49" s="2599"/>
      <c r="G49" s="2597" t="e">
        <f>T49</f>
        <v>#DIV/0!</v>
      </c>
      <c r="H49" s="2598"/>
      <c r="I49" s="2599" t="e">
        <f>V49</f>
        <v>#DIV/0!</v>
      </c>
      <c r="J49" s="2598"/>
      <c r="K49" s="1597"/>
      <c r="L49" s="2129"/>
      <c r="M49" s="2119"/>
      <c r="N49" s="2119"/>
      <c r="O49" s="2119"/>
      <c r="P49" s="3456" t="str">
        <f>A49</f>
        <v>比较价格（元/平方米）</v>
      </c>
      <c r="Q49" s="3458"/>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1545"/>
      <c r="Y49" s="1545"/>
      <c r="Z49" s="1545"/>
      <c r="AA49" s="1545"/>
      <c r="AB49" s="1545"/>
      <c r="AC49" s="1545"/>
    </row>
    <row r="50" spans="1:29" ht="15.75" thickBot="1">
      <c r="A50" s="621" t="s">
        <v>2931</v>
      </c>
      <c r="B50" s="622"/>
      <c r="C50" s="2600" t="e">
        <f>R50</f>
        <v>#DIV/0!</v>
      </c>
      <c r="D50" s="2600"/>
      <c r="E50" s="2600"/>
      <c r="F50" s="2600"/>
      <c r="G50" s="2600"/>
      <c r="H50" s="2600"/>
      <c r="I50" s="2600"/>
      <c r="J50" s="2600"/>
      <c r="K50" s="1598"/>
      <c r="L50" s="2129"/>
      <c r="M50" s="2119"/>
      <c r="N50" s="2119"/>
      <c r="O50" s="2119"/>
      <c r="P50" s="3579" t="str">
        <f>A50</f>
        <v>估价对象XX用房的比较价格（楼面单价，元/平方米）</v>
      </c>
      <c r="Q50" s="3456"/>
      <c r="R50" s="3572" t="e">
        <f>IF(F1="售价",ROUND(AVERAGE(R49:V49),0),ROUND(AVERAGE(R49:V49),1))</f>
        <v>#DIV/0!</v>
      </c>
      <c r="S50" s="3572"/>
      <c r="T50" s="3572"/>
      <c r="U50" s="3572"/>
      <c r="V50" s="3572"/>
      <c r="W50" s="357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64" t="s">
        <v>522</v>
      </c>
      <c r="D4" s="3465"/>
      <c r="E4" s="3498" t="s">
        <v>523</v>
      </c>
      <c r="F4" s="3499"/>
      <c r="G4" s="3464" t="s">
        <v>524</v>
      </c>
      <c r="H4" s="3465"/>
      <c r="I4" s="3464" t="s">
        <v>525</v>
      </c>
      <c r="J4" s="3465"/>
      <c r="K4" s="514" t="s">
        <v>526</v>
      </c>
      <c r="L4" s="2118"/>
      <c r="M4" s="2119"/>
      <c r="N4" s="2119"/>
      <c r="O4" s="2119"/>
      <c r="P4" s="3466" t="s">
        <v>527</v>
      </c>
      <c r="Q4" s="3467"/>
      <c r="R4" s="3472" t="s">
        <v>523</v>
      </c>
      <c r="S4" s="3473"/>
      <c r="T4" s="3472" t="s">
        <v>524</v>
      </c>
      <c r="U4" s="3473"/>
      <c r="V4" s="3459" t="s">
        <v>525</v>
      </c>
      <c r="W4" s="3459"/>
      <c r="X4" s="1553"/>
      <c r="Y4" s="3472" t="s">
        <v>527</v>
      </c>
      <c r="Z4" s="3473"/>
      <c r="AA4" s="3461" t="s">
        <v>523</v>
      </c>
      <c r="AB4" s="3462" t="s">
        <v>524</v>
      </c>
      <c r="AC4" s="3461" t="s">
        <v>525</v>
      </c>
    </row>
    <row r="5" spans="1:29" ht="15">
      <c r="A5" s="515"/>
      <c r="B5" s="516"/>
      <c r="C5" s="3480" t="s">
        <v>2925</v>
      </c>
      <c r="D5" s="3481"/>
      <c r="E5" s="3500" t="s">
        <v>2926</v>
      </c>
      <c r="F5" s="3501"/>
      <c r="G5" s="3480" t="s">
        <v>2927</v>
      </c>
      <c r="H5" s="3481"/>
      <c r="I5" s="3480" t="s">
        <v>2928</v>
      </c>
      <c r="J5" s="3481"/>
      <c r="K5" s="514"/>
      <c r="L5" s="2118"/>
      <c r="M5" s="2119"/>
      <c r="N5" s="2119"/>
      <c r="O5" s="2119"/>
      <c r="P5" s="3468"/>
      <c r="Q5" s="3469"/>
      <c r="R5" s="3474"/>
      <c r="S5" s="3475"/>
      <c r="T5" s="3474"/>
      <c r="U5" s="3475"/>
      <c r="V5" s="3459"/>
      <c r="W5" s="3459"/>
      <c r="X5" s="1553"/>
      <c r="Y5" s="3474"/>
      <c r="Z5" s="3475"/>
      <c r="AA5" s="3462"/>
      <c r="AB5" s="3462"/>
      <c r="AC5" s="3462"/>
    </row>
    <row r="6" spans="1:29" ht="15.75" thickBot="1">
      <c r="A6" s="517"/>
      <c r="B6" s="518"/>
      <c r="C6" s="3478" t="s">
        <v>2929</v>
      </c>
      <c r="D6" s="3479"/>
      <c r="E6" s="3496" t="s">
        <v>2929</v>
      </c>
      <c r="F6" s="3497"/>
      <c r="G6" s="3478" t="s">
        <v>2929</v>
      </c>
      <c r="H6" s="3479"/>
      <c r="I6" s="3478" t="s">
        <v>2929</v>
      </c>
      <c r="J6" s="3479"/>
      <c r="K6" s="514" t="s">
        <v>528</v>
      </c>
      <c r="L6" s="2118"/>
      <c r="M6" s="2119"/>
      <c r="N6" s="2119"/>
      <c r="O6" s="2119"/>
      <c r="P6" s="3470"/>
      <c r="Q6" s="3471"/>
      <c r="R6" s="3474"/>
      <c r="S6" s="3475"/>
      <c r="T6" s="3476"/>
      <c r="U6" s="3477"/>
      <c r="V6" s="3459"/>
      <c r="W6" s="3459"/>
      <c r="X6" s="1553"/>
      <c r="Y6" s="3476"/>
      <c r="Z6" s="3477"/>
      <c r="AA6" s="3463"/>
      <c r="AB6" s="3463"/>
      <c r="AC6" s="3463"/>
    </row>
    <row r="7" spans="1:29" s="1215" customFormat="1" ht="15.75" thickBot="1">
      <c r="A7" s="2867"/>
      <c r="B7" s="2874" t="s">
        <v>529</v>
      </c>
      <c r="C7" s="519">
        <f>'数据-取费表'!B2</f>
        <v>43621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89" t="s">
        <v>530</v>
      </c>
      <c r="Q7" s="3491"/>
      <c r="R7" s="1554" t="s">
        <v>8</v>
      </c>
      <c r="S7" s="1555">
        <f t="shared" ref="S7:S15" si="0">F7</f>
        <v>0</v>
      </c>
      <c r="T7" s="1554" t="s">
        <v>8</v>
      </c>
      <c r="U7" s="1555">
        <f t="shared" ref="U7:U15" si="1">H7</f>
        <v>0</v>
      </c>
      <c r="V7" s="1554" t="s">
        <v>8</v>
      </c>
      <c r="W7" s="1555">
        <f t="shared" ref="W7:W15" si="2">J7</f>
        <v>0</v>
      </c>
      <c r="X7" s="1556"/>
      <c r="Y7" s="3489" t="s">
        <v>530</v>
      </c>
      <c r="Z7" s="3490"/>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89" t="s">
        <v>533</v>
      </c>
      <c r="Q8" s="3490"/>
      <c r="R8" s="1554" t="s">
        <v>8</v>
      </c>
      <c r="S8" s="1555">
        <f t="shared" si="0"/>
        <v>0</v>
      </c>
      <c r="T8" s="1554" t="s">
        <v>8</v>
      </c>
      <c r="U8" s="1555">
        <f t="shared" si="1"/>
        <v>0</v>
      </c>
      <c r="V8" s="1554" t="s">
        <v>8</v>
      </c>
      <c r="W8" s="1555">
        <f t="shared" si="2"/>
        <v>0</v>
      </c>
      <c r="X8" s="1556"/>
      <c r="Y8" s="3489" t="s">
        <v>533</v>
      </c>
      <c r="Z8" s="3490"/>
      <c r="AA8" s="1557" t="e">
        <f t="shared" ref="AA8:AA40" si="3">D8/F8</f>
        <v>#DIV/0!</v>
      </c>
      <c r="AB8" s="1557" t="e">
        <f t="shared" ref="AB8:AB40" si="4">D8/H8</f>
        <v>#DIV/0!</v>
      </c>
      <c r="AC8" s="1557" t="e">
        <f t="shared" ref="AC8:AC40" si="5">D8/J8</f>
        <v>#DIV/0!</v>
      </c>
    </row>
    <row r="9" spans="1:29" s="1215" customFormat="1" ht="15">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58" t="s">
        <v>535</v>
      </c>
      <c r="Q9" s="1146" t="str">
        <f t="shared" ref="Q9:Q15" si="6">B9</f>
        <v>用途</v>
      </c>
      <c r="R9" s="1554" t="s">
        <v>8</v>
      </c>
      <c r="S9" s="1555">
        <f t="shared" si="0"/>
        <v>100</v>
      </c>
      <c r="T9" s="1554" t="s">
        <v>8</v>
      </c>
      <c r="U9" s="1555">
        <f t="shared" si="1"/>
        <v>100</v>
      </c>
      <c r="V9" s="1554" t="s">
        <v>8</v>
      </c>
      <c r="W9" s="1555">
        <f t="shared" si="2"/>
        <v>100</v>
      </c>
      <c r="X9" s="1556"/>
      <c r="Y9" s="3404" t="s">
        <v>536</v>
      </c>
      <c r="Z9" s="1145" t="str">
        <f t="shared" ref="Z9:Z15" si="7">Q9</f>
        <v>用途</v>
      </c>
      <c r="AA9" s="1557">
        <f t="shared" si="3"/>
        <v>1</v>
      </c>
      <c r="AB9" s="1557">
        <f t="shared" si="4"/>
        <v>1</v>
      </c>
      <c r="AC9" s="1557">
        <f t="shared" si="5"/>
        <v>1</v>
      </c>
    </row>
    <row r="10" spans="1:29" s="1333" customFormat="1" ht="27">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58"/>
      <c r="Q10" s="1146" t="str">
        <f t="shared" si="6"/>
        <v>土地使用年限（年）</v>
      </c>
      <c r="R10" s="1554" t="s">
        <v>8</v>
      </c>
      <c r="S10" s="1555">
        <f t="shared" si="0"/>
        <v>100</v>
      </c>
      <c r="T10" s="1554" t="s">
        <v>8</v>
      </c>
      <c r="U10" s="1555">
        <f t="shared" si="1"/>
        <v>100</v>
      </c>
      <c r="V10" s="1554" t="s">
        <v>8</v>
      </c>
      <c r="W10" s="1555">
        <f t="shared" si="2"/>
        <v>100</v>
      </c>
      <c r="X10" s="1556"/>
      <c r="Y10" s="3404"/>
      <c r="Z10" s="1145" t="str">
        <f t="shared" si="7"/>
        <v>土地使用年限（年）</v>
      </c>
      <c r="AA10" s="1557">
        <f t="shared" si="3"/>
        <v>1</v>
      </c>
      <c r="AB10" s="1557">
        <f t="shared" si="4"/>
        <v>1</v>
      </c>
      <c r="AC10" s="1557">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58"/>
      <c r="Q11" s="1146" t="str">
        <f t="shared" si="6"/>
        <v>容积率</v>
      </c>
      <c r="R11" s="1554" t="s">
        <v>8</v>
      </c>
      <c r="S11" s="1555" t="e">
        <f t="shared" si="0"/>
        <v>#N/A</v>
      </c>
      <c r="T11" s="1554" t="s">
        <v>8</v>
      </c>
      <c r="U11" s="1555" t="e">
        <f t="shared" si="1"/>
        <v>#N/A</v>
      </c>
      <c r="V11" s="1554" t="s">
        <v>8</v>
      </c>
      <c r="W11" s="1555" t="e">
        <f t="shared" si="2"/>
        <v>#N/A</v>
      </c>
      <c r="X11" s="1556"/>
      <c r="Y11" s="340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58"/>
      <c r="Q12" s="1146">
        <f t="shared" si="6"/>
        <v>111</v>
      </c>
      <c r="R12" s="1554" t="s">
        <v>8</v>
      </c>
      <c r="S12" s="1555">
        <f t="shared" si="0"/>
        <v>100</v>
      </c>
      <c r="T12" s="1554" t="s">
        <v>8</v>
      </c>
      <c r="U12" s="1555">
        <f t="shared" si="1"/>
        <v>100</v>
      </c>
      <c r="V12" s="1554" t="s">
        <v>8</v>
      </c>
      <c r="W12" s="1555">
        <f t="shared" si="2"/>
        <v>100</v>
      </c>
      <c r="X12" s="1556"/>
      <c r="Y12" s="3404"/>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58"/>
      <c r="Q13" s="1146">
        <f t="shared" si="6"/>
        <v>111</v>
      </c>
      <c r="R13" s="1554" t="s">
        <v>8</v>
      </c>
      <c r="S13" s="1555">
        <f t="shared" si="0"/>
        <v>100</v>
      </c>
      <c r="T13" s="1554" t="s">
        <v>8</v>
      </c>
      <c r="U13" s="1555">
        <f t="shared" si="1"/>
        <v>100</v>
      </c>
      <c r="V13" s="1554" t="s">
        <v>8</v>
      </c>
      <c r="W13" s="1555">
        <f t="shared" si="2"/>
        <v>100</v>
      </c>
      <c r="X13" s="1556"/>
      <c r="Y13" s="3404"/>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58"/>
      <c r="Q14" s="1146">
        <f t="shared" si="6"/>
        <v>111</v>
      </c>
      <c r="R14" s="1554" t="s">
        <v>8</v>
      </c>
      <c r="S14" s="1555">
        <f t="shared" si="0"/>
        <v>100</v>
      </c>
      <c r="T14" s="1554" t="s">
        <v>8</v>
      </c>
      <c r="U14" s="1555">
        <f t="shared" si="1"/>
        <v>100</v>
      </c>
      <c r="V14" s="1554" t="s">
        <v>8</v>
      </c>
      <c r="W14" s="1555">
        <f t="shared" si="2"/>
        <v>100</v>
      </c>
      <c r="X14" s="1556"/>
      <c r="Y14" s="3404"/>
      <c r="Z14" s="1145">
        <f t="shared" si="7"/>
        <v>111</v>
      </c>
      <c r="AA14" s="1557">
        <f t="shared" si="3"/>
        <v>1</v>
      </c>
      <c r="AB14" s="1557">
        <f t="shared" si="4"/>
        <v>1</v>
      </c>
      <c r="AC14" s="1557">
        <f t="shared" si="5"/>
        <v>1</v>
      </c>
    </row>
    <row r="15" spans="1:29" ht="57">
      <c r="A15" s="2865"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92" t="s">
        <v>540</v>
      </c>
      <c r="Q15" s="1558" t="str">
        <f t="shared" si="6"/>
        <v>产业集聚程度</v>
      </c>
      <c r="R15" s="1559" t="s">
        <v>8</v>
      </c>
      <c r="S15" s="1560">
        <f t="shared" si="0"/>
        <v>100</v>
      </c>
      <c r="T15" s="1559" t="s">
        <v>8</v>
      </c>
      <c r="U15" s="1560">
        <f t="shared" si="1"/>
        <v>100</v>
      </c>
      <c r="V15" s="1559" t="s">
        <v>8</v>
      </c>
      <c r="W15" s="1560">
        <f t="shared" si="2"/>
        <v>100</v>
      </c>
      <c r="X15" s="1553"/>
      <c r="Y15" s="349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93"/>
      <c r="Q16" s="1558"/>
      <c r="R16" s="1559"/>
      <c r="S16" s="1560"/>
      <c r="T16" s="1559"/>
      <c r="U16" s="1560"/>
      <c r="V16" s="1559"/>
      <c r="W16" s="1560"/>
      <c r="X16" s="1553"/>
      <c r="Y16" s="349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93"/>
      <c r="Q17" s="1558" t="str">
        <f>B17</f>
        <v>交通便捷度</v>
      </c>
      <c r="R17" s="1559" t="s">
        <v>8</v>
      </c>
      <c r="S17" s="1560">
        <f>F17</f>
        <v>100</v>
      </c>
      <c r="T17" s="1559" t="s">
        <v>8</v>
      </c>
      <c r="U17" s="1560">
        <f>H17</f>
        <v>100</v>
      </c>
      <c r="V17" s="1559" t="s">
        <v>8</v>
      </c>
      <c r="W17" s="1560">
        <f>J17</f>
        <v>100</v>
      </c>
      <c r="X17" s="1553"/>
      <c r="Y17" s="349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93"/>
      <c r="Q18" s="1558"/>
      <c r="R18" s="1559"/>
      <c r="S18" s="1560"/>
      <c r="T18" s="1559"/>
      <c r="U18" s="1560"/>
      <c r="V18" s="1559"/>
      <c r="W18" s="1560"/>
      <c r="X18" s="1553"/>
      <c r="Y18" s="3493"/>
      <c r="Z18" s="1561"/>
      <c r="AA18" s="1562">
        <v>1</v>
      </c>
      <c r="AB18" s="1562">
        <v>1</v>
      </c>
      <c r="AC18" s="1562">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93"/>
      <c r="Q19" s="1558" t="str">
        <f>B19</f>
        <v>公共配套设施</v>
      </c>
      <c r="R19" s="1559" t="s">
        <v>8</v>
      </c>
      <c r="S19" s="1560">
        <f>F19</f>
        <v>100</v>
      </c>
      <c r="T19" s="1559" t="s">
        <v>8</v>
      </c>
      <c r="U19" s="1560">
        <f>H19</f>
        <v>100</v>
      </c>
      <c r="V19" s="1559" t="s">
        <v>8</v>
      </c>
      <c r="W19" s="1560">
        <f>J19</f>
        <v>100</v>
      </c>
      <c r="X19" s="1553"/>
      <c r="Y19" s="349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93"/>
      <c r="Q20" s="1558"/>
      <c r="R20" s="1559"/>
      <c r="S20" s="1560"/>
      <c r="T20" s="1559"/>
      <c r="U20" s="1560"/>
      <c r="V20" s="1559"/>
      <c r="W20" s="1560"/>
      <c r="X20" s="1553"/>
      <c r="Y20" s="3493"/>
      <c r="Z20" s="1561"/>
      <c r="AA20" s="1562">
        <v>1</v>
      </c>
      <c r="AB20" s="1562">
        <v>1</v>
      </c>
      <c r="AC20" s="1562">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93"/>
      <c r="Q21" s="2543" t="str">
        <f>B21</f>
        <v>基础设施水平</v>
      </c>
      <c r="R21" s="1559" t="s">
        <v>8</v>
      </c>
      <c r="S21" s="1560">
        <f>F21</f>
        <v>100</v>
      </c>
      <c r="T21" s="1559" t="s">
        <v>8</v>
      </c>
      <c r="U21" s="1560">
        <f>H21</f>
        <v>100</v>
      </c>
      <c r="V21" s="1559" t="s">
        <v>8</v>
      </c>
      <c r="W21" s="1560">
        <f>J21</f>
        <v>100</v>
      </c>
      <c r="X21" s="2545"/>
      <c r="Y21" s="349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93"/>
      <c r="Q22" s="2543"/>
      <c r="R22" s="1559"/>
      <c r="S22" s="1560"/>
      <c r="T22" s="1559"/>
      <c r="U22" s="1560"/>
      <c r="V22" s="1559"/>
      <c r="W22" s="1560"/>
      <c r="X22" s="2545"/>
      <c r="Y22" s="3493"/>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93"/>
      <c r="Q23" s="1558" t="str">
        <f>B23</f>
        <v>环境质量</v>
      </c>
      <c r="R23" s="1559" t="s">
        <v>8</v>
      </c>
      <c r="S23" s="1560">
        <f>F23</f>
        <v>100</v>
      </c>
      <c r="T23" s="1559" t="s">
        <v>8</v>
      </c>
      <c r="U23" s="1560">
        <f>H23</f>
        <v>100</v>
      </c>
      <c r="V23" s="1559" t="s">
        <v>8</v>
      </c>
      <c r="W23" s="1560">
        <f>J23</f>
        <v>100</v>
      </c>
      <c r="X23" s="1553"/>
      <c r="Y23" s="349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93"/>
      <c r="Q24" s="1558"/>
      <c r="R24" s="1559"/>
      <c r="S24" s="1560"/>
      <c r="T24" s="1559"/>
      <c r="U24" s="1560"/>
      <c r="V24" s="1559"/>
      <c r="W24" s="1560"/>
      <c r="X24" s="1553"/>
      <c r="Y24" s="349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93"/>
      <c r="Q25" s="1558">
        <f>B25</f>
        <v>111</v>
      </c>
      <c r="R25" s="1559" t="s">
        <v>8</v>
      </c>
      <c r="S25" s="1560">
        <f>F25</f>
        <v>100</v>
      </c>
      <c r="T25" s="1559" t="s">
        <v>8</v>
      </c>
      <c r="U25" s="1560">
        <f>H25</f>
        <v>100</v>
      </c>
      <c r="V25" s="1559" t="s">
        <v>8</v>
      </c>
      <c r="W25" s="1560">
        <f>J25</f>
        <v>100</v>
      </c>
      <c r="X25" s="1553"/>
      <c r="Y25" s="349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93"/>
      <c r="Q26" s="1558">
        <f t="shared" ref="Q26:Q40" si="11">B26</f>
        <v>111</v>
      </c>
      <c r="R26" s="1559" t="s">
        <v>8</v>
      </c>
      <c r="S26" s="1560">
        <f>F26</f>
        <v>100</v>
      </c>
      <c r="T26" s="1559" t="s">
        <v>8</v>
      </c>
      <c r="U26" s="1560">
        <f>H26</f>
        <v>100</v>
      </c>
      <c r="V26" s="1559" t="s">
        <v>8</v>
      </c>
      <c r="W26" s="1560">
        <f>J26</f>
        <v>100</v>
      </c>
      <c r="X26" s="1553"/>
      <c r="Y26" s="349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93"/>
      <c r="Q27" s="1146">
        <f t="shared" si="11"/>
        <v>111</v>
      </c>
      <c r="R27" s="1554" t="s">
        <v>8</v>
      </c>
      <c r="S27" s="1555">
        <f>F27</f>
        <v>100</v>
      </c>
      <c r="T27" s="1554" t="s">
        <v>8</v>
      </c>
      <c r="U27" s="1555">
        <f>H27</f>
        <v>100</v>
      </c>
      <c r="V27" s="1554" t="s">
        <v>8</v>
      </c>
      <c r="W27" s="1555">
        <f>J27</f>
        <v>100</v>
      </c>
      <c r="X27" s="1556"/>
      <c r="Y27" s="3493"/>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93"/>
      <c r="Q28" s="1558">
        <f t="shared" si="11"/>
        <v>111</v>
      </c>
      <c r="R28" s="1559" t="s">
        <v>8</v>
      </c>
      <c r="S28" s="1560">
        <f t="shared" ref="S28:S40" si="12">F28</f>
        <v>100</v>
      </c>
      <c r="T28" s="1559" t="s">
        <v>8</v>
      </c>
      <c r="U28" s="1560">
        <f t="shared" ref="U28:U40" si="13">H28</f>
        <v>100</v>
      </c>
      <c r="V28" s="1559" t="s">
        <v>8</v>
      </c>
      <c r="W28" s="1560">
        <f t="shared" ref="W28:W40" si="14">J28</f>
        <v>100</v>
      </c>
      <c r="X28" s="1553"/>
      <c r="Y28" s="3493"/>
      <c r="Z28" s="1561">
        <f t="shared" ref="Z28:Z40" si="15">Q28</f>
        <v>111</v>
      </c>
      <c r="AA28" s="1562">
        <f t="shared" si="3"/>
        <v>1</v>
      </c>
      <c r="AB28" s="1562">
        <f t="shared" si="4"/>
        <v>1</v>
      </c>
      <c r="AC28" s="1562">
        <f t="shared" si="5"/>
        <v>1</v>
      </c>
    </row>
    <row r="29" spans="1:29" ht="15">
      <c r="A29" s="2862"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94" t="s">
        <v>550</v>
      </c>
      <c r="Q29" s="1558" t="str">
        <f t="shared" si="11"/>
        <v>建筑类型</v>
      </c>
      <c r="R29" s="1559" t="s">
        <v>8</v>
      </c>
      <c r="S29" s="1560">
        <f t="shared" si="12"/>
        <v>100</v>
      </c>
      <c r="T29" s="1559" t="s">
        <v>8</v>
      </c>
      <c r="U29" s="1560">
        <f t="shared" si="13"/>
        <v>100</v>
      </c>
      <c r="V29" s="1559" t="s">
        <v>8</v>
      </c>
      <c r="W29" s="1560">
        <f t="shared" si="14"/>
        <v>100</v>
      </c>
      <c r="X29" s="1553"/>
      <c r="Y29" s="3495"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95"/>
      <c r="Q30" s="1590" t="str">
        <f t="shared" si="11"/>
        <v>项目建筑规模</v>
      </c>
      <c r="R30" s="1563" t="s">
        <v>8</v>
      </c>
      <c r="S30" s="1564" t="e">
        <f t="shared" si="12"/>
        <v>#N/A</v>
      </c>
      <c r="T30" s="1563" t="s">
        <v>8</v>
      </c>
      <c r="U30" s="1564" t="e">
        <f t="shared" si="13"/>
        <v>#N/A</v>
      </c>
      <c r="V30" s="1563" t="s">
        <v>8</v>
      </c>
      <c r="W30" s="1564" t="e">
        <f t="shared" si="14"/>
        <v>#N/A</v>
      </c>
      <c r="X30" s="1565"/>
      <c r="Y30" s="349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95"/>
      <c r="Q31" s="1558" t="str">
        <f t="shared" si="11"/>
        <v>建筑结构</v>
      </c>
      <c r="R31" s="1559" t="s">
        <v>8</v>
      </c>
      <c r="S31" s="1560">
        <f t="shared" si="12"/>
        <v>100</v>
      </c>
      <c r="T31" s="1559" t="s">
        <v>8</v>
      </c>
      <c r="U31" s="1560">
        <f t="shared" si="13"/>
        <v>100</v>
      </c>
      <c r="V31" s="1559" t="s">
        <v>8</v>
      </c>
      <c r="W31" s="1560">
        <f t="shared" si="14"/>
        <v>100</v>
      </c>
      <c r="X31" s="1553"/>
      <c r="Y31" s="349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95"/>
      <c r="Q32" s="1558" t="str">
        <f t="shared" si="11"/>
        <v>公共部分装修</v>
      </c>
      <c r="R32" s="1559" t="s">
        <v>8</v>
      </c>
      <c r="S32" s="1560">
        <f t="shared" si="12"/>
        <v>100</v>
      </c>
      <c r="T32" s="1559" t="s">
        <v>8</v>
      </c>
      <c r="U32" s="1560">
        <f t="shared" si="13"/>
        <v>100</v>
      </c>
      <c r="V32" s="1559" t="s">
        <v>8</v>
      </c>
      <c r="W32" s="1560">
        <f t="shared" si="14"/>
        <v>100</v>
      </c>
      <c r="X32" s="1553"/>
      <c r="Y32" s="3495"/>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95"/>
      <c r="Q33" s="1558" t="str">
        <f t="shared" si="11"/>
        <v>成新度</v>
      </c>
      <c r="R33" s="1559" t="s">
        <v>8</v>
      </c>
      <c r="S33" s="1560" t="e">
        <f t="shared" si="12"/>
        <v>#N/A</v>
      </c>
      <c r="T33" s="1559" t="s">
        <v>8</v>
      </c>
      <c r="U33" s="1560" t="e">
        <f t="shared" si="13"/>
        <v>#N/A</v>
      </c>
      <c r="V33" s="1559" t="s">
        <v>8</v>
      </c>
      <c r="W33" s="1560" t="e">
        <f t="shared" si="14"/>
        <v>#N/A</v>
      </c>
      <c r="X33" s="1553"/>
      <c r="Y33" s="3495"/>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95"/>
      <c r="Q34" s="1146" t="str">
        <f t="shared" si="11"/>
        <v>物业管理</v>
      </c>
      <c r="R34" s="1554" t="s">
        <v>8</v>
      </c>
      <c r="S34" s="1555">
        <f t="shared" si="12"/>
        <v>100</v>
      </c>
      <c r="T34" s="1554" t="s">
        <v>8</v>
      </c>
      <c r="U34" s="1555">
        <f t="shared" si="13"/>
        <v>100</v>
      </c>
      <c r="V34" s="1554" t="s">
        <v>8</v>
      </c>
      <c r="W34" s="1555">
        <f t="shared" si="14"/>
        <v>100</v>
      </c>
      <c r="X34" s="1556"/>
      <c r="Y34" s="3495"/>
      <c r="Z34" s="1145" t="str">
        <f t="shared" si="15"/>
        <v>物业管理</v>
      </c>
      <c r="AA34" s="1557">
        <f t="shared" si="3"/>
        <v>1</v>
      </c>
      <c r="AB34" s="1557">
        <f t="shared" si="4"/>
        <v>1</v>
      </c>
      <c r="AC34" s="1557">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95" t="s">
        <v>550</v>
      </c>
      <c r="Q35" s="1558" t="str">
        <f t="shared" si="11"/>
        <v>市政基础设施</v>
      </c>
      <c r="R35" s="1559" t="s">
        <v>8</v>
      </c>
      <c r="S35" s="1560">
        <f t="shared" si="12"/>
        <v>100</v>
      </c>
      <c r="T35" s="1559" t="s">
        <v>8</v>
      </c>
      <c r="U35" s="1560">
        <f t="shared" si="13"/>
        <v>100</v>
      </c>
      <c r="V35" s="1559" t="s">
        <v>8</v>
      </c>
      <c r="W35" s="1560">
        <f t="shared" si="14"/>
        <v>100</v>
      </c>
      <c r="X35" s="1553"/>
      <c r="Y35" s="349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95"/>
      <c r="Q36" s="1558" t="str">
        <f t="shared" si="11"/>
        <v>内部装修</v>
      </c>
      <c r="R36" s="1559" t="s">
        <v>8</v>
      </c>
      <c r="S36" s="1560">
        <f t="shared" si="12"/>
        <v>100</v>
      </c>
      <c r="T36" s="1559" t="s">
        <v>8</v>
      </c>
      <c r="U36" s="1560">
        <f t="shared" si="13"/>
        <v>100</v>
      </c>
      <c r="V36" s="1559" t="s">
        <v>8</v>
      </c>
      <c r="W36" s="1560">
        <f t="shared" si="14"/>
        <v>100</v>
      </c>
      <c r="X36" s="1553"/>
      <c r="Y36" s="349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95"/>
      <c r="Q37" s="1558" t="str">
        <f t="shared" si="11"/>
        <v>内部装修状况</v>
      </c>
      <c r="R37" s="1559" t="s">
        <v>8</v>
      </c>
      <c r="S37" s="1560">
        <f t="shared" si="12"/>
        <v>100</v>
      </c>
      <c r="T37" s="1559" t="s">
        <v>8</v>
      </c>
      <c r="U37" s="1560">
        <f t="shared" si="13"/>
        <v>100</v>
      </c>
      <c r="V37" s="1559" t="s">
        <v>8</v>
      </c>
      <c r="W37" s="1560">
        <f t="shared" si="14"/>
        <v>100</v>
      </c>
      <c r="X37" s="1553"/>
      <c r="Y37" s="3495"/>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95"/>
      <c r="Q38" s="1590">
        <f t="shared" si="11"/>
        <v>111</v>
      </c>
      <c r="R38" s="1563" t="s">
        <v>8</v>
      </c>
      <c r="S38" s="1564">
        <f t="shared" si="12"/>
        <v>100</v>
      </c>
      <c r="T38" s="1563" t="s">
        <v>8</v>
      </c>
      <c r="U38" s="1564">
        <f t="shared" si="13"/>
        <v>100</v>
      </c>
      <c r="V38" s="1563" t="s">
        <v>8</v>
      </c>
      <c r="W38" s="1564">
        <f t="shared" si="14"/>
        <v>100</v>
      </c>
      <c r="X38" s="1565"/>
      <c r="Y38" s="3495"/>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95"/>
      <c r="Q39" s="1558">
        <f t="shared" si="11"/>
        <v>111</v>
      </c>
      <c r="R39" s="1559" t="s">
        <v>8</v>
      </c>
      <c r="S39" s="1560">
        <f t="shared" si="12"/>
        <v>100</v>
      </c>
      <c r="T39" s="1559" t="s">
        <v>8</v>
      </c>
      <c r="U39" s="1560">
        <f t="shared" si="13"/>
        <v>100</v>
      </c>
      <c r="V39" s="1559" t="s">
        <v>8</v>
      </c>
      <c r="W39" s="1560">
        <f t="shared" si="14"/>
        <v>100</v>
      </c>
      <c r="X39" s="1553"/>
      <c r="Y39" s="3495"/>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74"/>
      <c r="Q40" s="1558">
        <f t="shared" si="11"/>
        <v>111</v>
      </c>
      <c r="R40" s="1559" t="s">
        <v>8</v>
      </c>
      <c r="S40" s="1560">
        <f t="shared" si="12"/>
        <v>100</v>
      </c>
      <c r="T40" s="1559" t="s">
        <v>8</v>
      </c>
      <c r="U40" s="1560">
        <f t="shared" si="13"/>
        <v>100</v>
      </c>
      <c r="V40" s="1559" t="s">
        <v>8</v>
      </c>
      <c r="W40" s="1560">
        <f t="shared" si="14"/>
        <v>100</v>
      </c>
      <c r="X40" s="1553"/>
      <c r="Y40" s="3574"/>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458" t="str">
        <f>A41</f>
        <v>成交单价（元/平方米）</v>
      </c>
      <c r="Q41" s="3458"/>
      <c r="R41" s="3573">
        <f>E41</f>
        <v>0</v>
      </c>
      <c r="S41" s="3573"/>
      <c r="T41" s="3573">
        <f>G41</f>
        <v>0</v>
      </c>
      <c r="U41" s="3573"/>
      <c r="V41" s="3573">
        <f>I41</f>
        <v>0</v>
      </c>
      <c r="W41" s="3573"/>
      <c r="X41" s="1545"/>
      <c r="Y41" s="1567"/>
      <c r="Z41" s="1545"/>
      <c r="AA41" s="1545"/>
      <c r="AB41" s="1545"/>
      <c r="AC41" s="1545"/>
    </row>
    <row r="42" spans="1:29" ht="15.75" thickBot="1">
      <c r="A42" s="615" t="s">
        <v>2756</v>
      </c>
      <c r="B42" s="887"/>
      <c r="C42" s="2597" t="e">
        <f>R43</f>
        <v>#DIV/0!</v>
      </c>
      <c r="D42" s="2598"/>
      <c r="E42" s="2599" t="e">
        <f>R42</f>
        <v>#DIV/0!</v>
      </c>
      <c r="F42" s="2599"/>
      <c r="G42" s="2597" t="e">
        <f>T42</f>
        <v>#DIV/0!</v>
      </c>
      <c r="H42" s="2598"/>
      <c r="I42" s="2599" t="e">
        <f>V42</f>
        <v>#DIV/0!</v>
      </c>
      <c r="J42" s="2598"/>
      <c r="K42" s="1597"/>
      <c r="L42" s="2129"/>
      <c r="M42" s="2130"/>
      <c r="N42" s="2119"/>
      <c r="O42" s="2130"/>
      <c r="P42" s="3458" t="str">
        <f>A42</f>
        <v>比较价格（元/平方米）</v>
      </c>
      <c r="Q42" s="3458"/>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1545"/>
      <c r="Y42" s="1545"/>
      <c r="Z42" s="1545"/>
      <c r="AA42" s="1545"/>
      <c r="AB42" s="1545"/>
      <c r="AC42" s="1545"/>
    </row>
    <row r="43" spans="1:29" ht="15.75" thickBot="1">
      <c r="A43" s="621" t="s">
        <v>2931</v>
      </c>
      <c r="B43" s="622"/>
      <c r="C43" s="2600" t="e">
        <f>R43</f>
        <v>#DIV/0!</v>
      </c>
      <c r="D43" s="2600"/>
      <c r="E43" s="2600"/>
      <c r="F43" s="2600"/>
      <c r="G43" s="2600"/>
      <c r="H43" s="2600"/>
      <c r="I43" s="2600"/>
      <c r="J43" s="2600"/>
      <c r="K43" s="1598"/>
      <c r="L43" s="2129"/>
      <c r="M43" s="2130"/>
      <c r="N43" s="2130"/>
      <c r="O43" s="2130"/>
      <c r="P43" s="3455" t="str">
        <f>A43</f>
        <v>估价对象XX用房的比较价格（楼面单价，元/平方米）</v>
      </c>
      <c r="Q43" s="3456"/>
      <c r="R43" s="3572" t="e">
        <f>IF(F1="售价",ROUND(AVERAGE(R42:V42),0),ROUND(AVERAGE(R42:V42),1))</f>
        <v>#DIV/0!</v>
      </c>
      <c r="S43" s="3572"/>
      <c r="T43" s="3572"/>
      <c r="U43" s="3572"/>
      <c r="V43" s="3572"/>
      <c r="W43" s="357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64" t="s">
        <v>798</v>
      </c>
      <c r="D4" s="3465"/>
      <c r="E4" s="3464" t="s">
        <v>799</v>
      </c>
      <c r="F4" s="3465"/>
      <c r="G4" s="3464" t="s">
        <v>800</v>
      </c>
      <c r="H4" s="3465"/>
      <c r="I4" s="3464" t="s">
        <v>801</v>
      </c>
      <c r="J4" s="3465"/>
      <c r="K4" s="514" t="s">
        <v>802</v>
      </c>
      <c r="L4" s="2118"/>
      <c r="M4" s="2119"/>
      <c r="N4" s="2119"/>
      <c r="O4" s="2119"/>
      <c r="P4" s="3466" t="s">
        <v>803</v>
      </c>
      <c r="Q4" s="3467"/>
      <c r="R4" s="3472" t="s">
        <v>799</v>
      </c>
      <c r="S4" s="3473"/>
      <c r="T4" s="3472" t="s">
        <v>800</v>
      </c>
      <c r="U4" s="3473"/>
      <c r="V4" s="3459" t="s">
        <v>801</v>
      </c>
      <c r="W4" s="3459"/>
      <c r="X4" s="1553"/>
      <c r="Y4" s="3472" t="s">
        <v>803</v>
      </c>
      <c r="Z4" s="3473"/>
      <c r="AA4" s="3461" t="s">
        <v>799</v>
      </c>
      <c r="AB4" s="3462" t="s">
        <v>800</v>
      </c>
      <c r="AC4" s="3461" t="s">
        <v>801</v>
      </c>
    </row>
    <row r="5" spans="1:29" ht="15">
      <c r="A5" s="515"/>
      <c r="B5" s="516"/>
      <c r="C5" s="3480" t="s">
        <v>2925</v>
      </c>
      <c r="D5" s="3481"/>
      <c r="E5" s="3480" t="s">
        <v>2926</v>
      </c>
      <c r="F5" s="3481"/>
      <c r="G5" s="3480" t="s">
        <v>2927</v>
      </c>
      <c r="H5" s="3481"/>
      <c r="I5" s="3480" t="s">
        <v>2928</v>
      </c>
      <c r="J5" s="3481"/>
      <c r="K5" s="514"/>
      <c r="L5" s="2118"/>
      <c r="M5" s="2119"/>
      <c r="N5" s="2119"/>
      <c r="O5" s="2119"/>
      <c r="P5" s="3468"/>
      <c r="Q5" s="3469"/>
      <c r="R5" s="3474"/>
      <c r="S5" s="3475"/>
      <c r="T5" s="3474"/>
      <c r="U5" s="3475"/>
      <c r="V5" s="3459"/>
      <c r="W5" s="3459"/>
      <c r="X5" s="1553"/>
      <c r="Y5" s="3474"/>
      <c r="Z5" s="3475"/>
      <c r="AA5" s="3462"/>
      <c r="AB5" s="3462"/>
      <c r="AC5" s="3462"/>
    </row>
    <row r="6" spans="1:29" ht="15.75" thickBot="1">
      <c r="A6" s="517"/>
      <c r="B6" s="518"/>
      <c r="C6" s="3478" t="s">
        <v>2929</v>
      </c>
      <c r="D6" s="3479"/>
      <c r="E6" s="3482" t="s">
        <v>2929</v>
      </c>
      <c r="F6" s="3483"/>
      <c r="G6" s="3478" t="s">
        <v>2929</v>
      </c>
      <c r="H6" s="3479"/>
      <c r="I6" s="3478" t="s">
        <v>2929</v>
      </c>
      <c r="J6" s="3479"/>
      <c r="K6" s="514" t="s">
        <v>528</v>
      </c>
      <c r="L6" s="2118"/>
      <c r="M6" s="2119"/>
      <c r="N6" s="2119"/>
      <c r="O6" s="2119"/>
      <c r="P6" s="3470"/>
      <c r="Q6" s="3471"/>
      <c r="R6" s="3474"/>
      <c r="S6" s="3475"/>
      <c r="T6" s="3476"/>
      <c r="U6" s="3477"/>
      <c r="V6" s="3459"/>
      <c r="W6" s="3459"/>
      <c r="X6" s="1553"/>
      <c r="Y6" s="3476"/>
      <c r="Z6" s="3477"/>
      <c r="AA6" s="3463"/>
      <c r="AB6" s="3463"/>
      <c r="AC6" s="3463"/>
    </row>
    <row r="7" spans="1:29" s="1215" customFormat="1" ht="15.75" thickBot="1">
      <c r="A7" s="2867"/>
      <c r="B7" s="2874" t="s">
        <v>529</v>
      </c>
      <c r="C7" s="519">
        <f>'数据-取费表'!B2</f>
        <v>43621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89" t="s">
        <v>530</v>
      </c>
      <c r="Q7" s="3491"/>
      <c r="R7" s="1554" t="s">
        <v>8</v>
      </c>
      <c r="S7" s="1555">
        <f t="shared" ref="S7:S14" si="0">F7</f>
        <v>0</v>
      </c>
      <c r="T7" s="1554" t="s">
        <v>8</v>
      </c>
      <c r="U7" s="1555">
        <f t="shared" ref="U7:U14" si="1">H7</f>
        <v>0</v>
      </c>
      <c r="V7" s="1554" t="s">
        <v>8</v>
      </c>
      <c r="W7" s="1555">
        <f t="shared" ref="W7:W14" si="2">J7</f>
        <v>0</v>
      </c>
      <c r="X7" s="1556"/>
      <c r="Y7" s="3489" t="s">
        <v>530</v>
      </c>
      <c r="Z7" s="3490"/>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89" t="s">
        <v>533</v>
      </c>
      <c r="Q8" s="3490"/>
      <c r="R8" s="1554" t="s">
        <v>8</v>
      </c>
      <c r="S8" s="1555">
        <f t="shared" si="0"/>
        <v>0</v>
      </c>
      <c r="T8" s="1554" t="s">
        <v>8</v>
      </c>
      <c r="U8" s="1555">
        <f t="shared" si="1"/>
        <v>0</v>
      </c>
      <c r="V8" s="1554" t="s">
        <v>8</v>
      </c>
      <c r="W8" s="1555">
        <f t="shared" si="2"/>
        <v>0</v>
      </c>
      <c r="X8" s="1556"/>
      <c r="Y8" s="3489" t="s">
        <v>533</v>
      </c>
      <c r="Z8" s="3490"/>
      <c r="AA8" s="1557" t="e">
        <f t="shared" ref="AA8:AA36" si="3">D8/F8</f>
        <v>#DIV/0!</v>
      </c>
      <c r="AB8" s="1557" t="e">
        <f t="shared" ref="AB8:AB36" si="4">D8/H8</f>
        <v>#DIV/0!</v>
      </c>
      <c r="AC8" s="1557" t="e">
        <f t="shared" ref="AC8:AC36" si="5">D8/J8</f>
        <v>#DIV/0!</v>
      </c>
    </row>
    <row r="9" spans="1:29" s="1215" customFormat="1" ht="15">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58" t="s">
        <v>535</v>
      </c>
      <c r="Q9" s="1146" t="str">
        <f t="shared" ref="Q9:Q14" si="6">B9</f>
        <v>用途</v>
      </c>
      <c r="R9" s="1554" t="s">
        <v>8</v>
      </c>
      <c r="S9" s="1555">
        <f t="shared" si="0"/>
        <v>100</v>
      </c>
      <c r="T9" s="1554" t="s">
        <v>8</v>
      </c>
      <c r="U9" s="1555">
        <f t="shared" si="1"/>
        <v>100</v>
      </c>
      <c r="V9" s="1554" t="s">
        <v>8</v>
      </c>
      <c r="W9" s="1555">
        <f t="shared" si="2"/>
        <v>100</v>
      </c>
      <c r="X9" s="1556"/>
      <c r="Y9" s="3404" t="s">
        <v>536</v>
      </c>
      <c r="Z9" s="1145" t="str">
        <f t="shared" ref="Z9:Z14" si="7">Q9</f>
        <v>用途</v>
      </c>
      <c r="AA9" s="1557">
        <f t="shared" si="3"/>
        <v>1</v>
      </c>
      <c r="AB9" s="1557">
        <f t="shared" si="4"/>
        <v>1</v>
      </c>
      <c r="AC9" s="1557">
        <f t="shared" si="5"/>
        <v>1</v>
      </c>
    </row>
    <row r="10" spans="1:29" s="1333" customFormat="1" ht="27">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58"/>
      <c r="Q10" s="1146" t="str">
        <f t="shared" si="6"/>
        <v>土地使用年限（年）</v>
      </c>
      <c r="R10" s="1554" t="s">
        <v>8</v>
      </c>
      <c r="S10" s="1555">
        <f t="shared" si="0"/>
        <v>100</v>
      </c>
      <c r="T10" s="1554" t="s">
        <v>8</v>
      </c>
      <c r="U10" s="1555">
        <f t="shared" si="1"/>
        <v>100</v>
      </c>
      <c r="V10" s="1554" t="s">
        <v>8</v>
      </c>
      <c r="W10" s="1555">
        <f t="shared" si="2"/>
        <v>100</v>
      </c>
      <c r="X10" s="1556"/>
      <c r="Y10" s="3404"/>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58"/>
      <c r="Q11" s="1146">
        <f t="shared" si="6"/>
        <v>111</v>
      </c>
      <c r="R11" s="1554" t="s">
        <v>8</v>
      </c>
      <c r="S11" s="1555">
        <f t="shared" si="0"/>
        <v>100</v>
      </c>
      <c r="T11" s="1554" t="s">
        <v>8</v>
      </c>
      <c r="U11" s="1555">
        <f t="shared" si="1"/>
        <v>100</v>
      </c>
      <c r="V11" s="1554" t="s">
        <v>8</v>
      </c>
      <c r="W11" s="1555">
        <f t="shared" si="2"/>
        <v>100</v>
      </c>
      <c r="X11" s="1556"/>
      <c r="Y11" s="3404"/>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58"/>
      <c r="Q12" s="1146">
        <f t="shared" si="6"/>
        <v>111</v>
      </c>
      <c r="R12" s="1554" t="s">
        <v>8</v>
      </c>
      <c r="S12" s="1555">
        <f t="shared" si="0"/>
        <v>100</v>
      </c>
      <c r="T12" s="1554" t="s">
        <v>8</v>
      </c>
      <c r="U12" s="1555">
        <f t="shared" si="1"/>
        <v>100</v>
      </c>
      <c r="V12" s="1554" t="s">
        <v>8</v>
      </c>
      <c r="W12" s="1555">
        <f t="shared" si="2"/>
        <v>100</v>
      </c>
      <c r="X12" s="1556"/>
      <c r="Y12" s="3404"/>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58"/>
      <c r="Q13" s="1146">
        <f t="shared" si="6"/>
        <v>111</v>
      </c>
      <c r="R13" s="1554" t="s">
        <v>8</v>
      </c>
      <c r="S13" s="1555">
        <f t="shared" si="0"/>
        <v>100</v>
      </c>
      <c r="T13" s="1554" t="s">
        <v>8</v>
      </c>
      <c r="U13" s="1555">
        <f t="shared" si="1"/>
        <v>100</v>
      </c>
      <c r="V13" s="1554" t="s">
        <v>8</v>
      </c>
      <c r="W13" s="1555">
        <f t="shared" si="2"/>
        <v>100</v>
      </c>
      <c r="X13" s="1556"/>
      <c r="Y13" s="3404"/>
      <c r="Z13" s="1145">
        <f t="shared" si="7"/>
        <v>111</v>
      </c>
      <c r="AA13" s="1557">
        <f t="shared" si="3"/>
        <v>1</v>
      </c>
      <c r="AB13" s="1557">
        <f t="shared" si="4"/>
        <v>1</v>
      </c>
      <c r="AC13" s="1557">
        <f t="shared" si="5"/>
        <v>1</v>
      </c>
    </row>
    <row r="14" spans="1:29" ht="85.5">
      <c r="A14" s="2865" t="s">
        <v>2750</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92" t="s">
        <v>540</v>
      </c>
      <c r="Q14" s="1558" t="str">
        <f t="shared" si="6"/>
        <v>交通便捷度</v>
      </c>
      <c r="R14" s="1559" t="s">
        <v>8</v>
      </c>
      <c r="S14" s="1560">
        <f t="shared" si="0"/>
        <v>100</v>
      </c>
      <c r="T14" s="1559" t="s">
        <v>8</v>
      </c>
      <c r="U14" s="1560">
        <f t="shared" si="1"/>
        <v>100</v>
      </c>
      <c r="V14" s="1559" t="s">
        <v>8</v>
      </c>
      <c r="W14" s="1560">
        <f t="shared" si="2"/>
        <v>100</v>
      </c>
      <c r="X14" s="1553"/>
      <c r="Y14" s="3492"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93"/>
      <c r="Q15" s="1558"/>
      <c r="R15" s="1559"/>
      <c r="S15" s="1560"/>
      <c r="T15" s="1559"/>
      <c r="U15" s="1560"/>
      <c r="V15" s="1559"/>
      <c r="W15" s="1560"/>
      <c r="X15" s="1553"/>
      <c r="Y15" s="3493"/>
      <c r="Z15" s="1561"/>
      <c r="AA15" s="1562">
        <v>1</v>
      </c>
      <c r="AB15" s="1562">
        <v>1</v>
      </c>
      <c r="AC15" s="1562">
        <v>1</v>
      </c>
    </row>
    <row r="16" spans="1:29" ht="42.75">
      <c r="A16" s="515"/>
      <c r="B16" s="2567"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93"/>
      <c r="Q16" s="1558" t="str">
        <f>B16</f>
        <v>公共配套设施</v>
      </c>
      <c r="R16" s="1559" t="s">
        <v>8</v>
      </c>
      <c r="S16" s="1560">
        <f>F16</f>
        <v>100</v>
      </c>
      <c r="T16" s="1559" t="s">
        <v>8</v>
      </c>
      <c r="U16" s="1560">
        <f>H16</f>
        <v>100</v>
      </c>
      <c r="V16" s="1559" t="s">
        <v>8</v>
      </c>
      <c r="W16" s="1560">
        <f>J16</f>
        <v>100</v>
      </c>
      <c r="X16" s="1553"/>
      <c r="Y16" s="349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93"/>
      <c r="Q17" s="1558"/>
      <c r="R17" s="1559"/>
      <c r="S17" s="1560"/>
      <c r="T17" s="1559"/>
      <c r="U17" s="1560"/>
      <c r="V17" s="1559"/>
      <c r="W17" s="1560"/>
      <c r="X17" s="1553"/>
      <c r="Y17" s="3493"/>
      <c r="Z17" s="1561"/>
      <c r="AA17" s="1562">
        <v>1</v>
      </c>
      <c r="AB17" s="1562">
        <v>1</v>
      </c>
      <c r="AC17" s="1562">
        <v>1</v>
      </c>
    </row>
    <row r="18" spans="1:29" ht="28.5">
      <c r="A18" s="515"/>
      <c r="B18" s="2555"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93"/>
      <c r="Q18" s="2543" t="str">
        <f>B18</f>
        <v>基础设施水平</v>
      </c>
      <c r="R18" s="1559" t="s">
        <v>8</v>
      </c>
      <c r="S18" s="1560">
        <f>F18</f>
        <v>100</v>
      </c>
      <c r="T18" s="1559" t="s">
        <v>8</v>
      </c>
      <c r="U18" s="1560">
        <f>H18</f>
        <v>100</v>
      </c>
      <c r="V18" s="1559" t="s">
        <v>8</v>
      </c>
      <c r="W18" s="1560">
        <f>J18</f>
        <v>100</v>
      </c>
      <c r="X18" s="2545"/>
      <c r="Y18" s="349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93"/>
      <c r="Q19" s="2543"/>
      <c r="R19" s="1559"/>
      <c r="S19" s="1560"/>
      <c r="T19" s="1559"/>
      <c r="U19" s="1560"/>
      <c r="V19" s="1559"/>
      <c r="W19" s="1560"/>
      <c r="X19" s="2545"/>
      <c r="Y19" s="3493"/>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93"/>
      <c r="Q20" s="1558" t="str">
        <f>B20</f>
        <v>自然及人文环境</v>
      </c>
      <c r="R20" s="1559" t="s">
        <v>8</v>
      </c>
      <c r="S20" s="1560">
        <f>F20</f>
        <v>100</v>
      </c>
      <c r="T20" s="1559" t="s">
        <v>8</v>
      </c>
      <c r="U20" s="1560">
        <f>H20</f>
        <v>100</v>
      </c>
      <c r="V20" s="1559" t="s">
        <v>8</v>
      </c>
      <c r="W20" s="1560">
        <f>J20</f>
        <v>100</v>
      </c>
      <c r="X20" s="1553"/>
      <c r="Y20" s="349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93"/>
      <c r="Q21" s="1558"/>
      <c r="R21" s="1559"/>
      <c r="S21" s="1560"/>
      <c r="T21" s="1559"/>
      <c r="U21" s="1560"/>
      <c r="V21" s="1559"/>
      <c r="W21" s="1560"/>
      <c r="X21" s="1553"/>
      <c r="Y21" s="349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93"/>
      <c r="Q22" s="1558" t="str">
        <f>B22</f>
        <v>楼层</v>
      </c>
      <c r="R22" s="1559" t="s">
        <v>8</v>
      </c>
      <c r="S22" s="1560">
        <f>F22</f>
        <v>100</v>
      </c>
      <c r="T22" s="1559" t="s">
        <v>8</v>
      </c>
      <c r="U22" s="1560">
        <f>H22</f>
        <v>100</v>
      </c>
      <c r="V22" s="1559" t="s">
        <v>8</v>
      </c>
      <c r="W22" s="1560">
        <f>J22</f>
        <v>100</v>
      </c>
      <c r="X22" s="1553"/>
      <c r="Y22" s="349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93"/>
      <c r="Q23" s="1558">
        <f>B23</f>
        <v>111</v>
      </c>
      <c r="R23" s="1559" t="s">
        <v>8</v>
      </c>
      <c r="S23" s="1560">
        <f>F23</f>
        <v>100</v>
      </c>
      <c r="T23" s="1559" t="s">
        <v>8</v>
      </c>
      <c r="U23" s="1560">
        <f>H23</f>
        <v>100</v>
      </c>
      <c r="V23" s="1559" t="s">
        <v>8</v>
      </c>
      <c r="W23" s="1560">
        <f>J23</f>
        <v>100</v>
      </c>
      <c r="X23" s="1553"/>
      <c r="Y23" s="349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93"/>
      <c r="Q24" s="1558">
        <f t="shared" ref="Q24:Q36" si="11">B24</f>
        <v>111</v>
      </c>
      <c r="R24" s="1559" t="s">
        <v>8</v>
      </c>
      <c r="S24" s="1560">
        <f>F24</f>
        <v>100</v>
      </c>
      <c r="T24" s="1559" t="s">
        <v>8</v>
      </c>
      <c r="U24" s="1560">
        <f>H24</f>
        <v>100</v>
      </c>
      <c r="V24" s="1559" t="s">
        <v>8</v>
      </c>
      <c r="W24" s="1560">
        <f>J24</f>
        <v>100</v>
      </c>
      <c r="X24" s="1553"/>
      <c r="Y24" s="3493"/>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93"/>
      <c r="Q25" s="1146">
        <f t="shared" si="11"/>
        <v>111</v>
      </c>
      <c r="R25" s="1554" t="s">
        <v>8</v>
      </c>
      <c r="S25" s="1555">
        <f>F25</f>
        <v>100</v>
      </c>
      <c r="T25" s="1554" t="s">
        <v>8</v>
      </c>
      <c r="U25" s="1555">
        <f>H25</f>
        <v>100</v>
      </c>
      <c r="V25" s="1554" t="s">
        <v>8</v>
      </c>
      <c r="W25" s="1555">
        <f>J25</f>
        <v>100</v>
      </c>
      <c r="X25" s="1556"/>
      <c r="Y25" s="3493"/>
      <c r="Z25" s="1145">
        <f>Q25</f>
        <v>111</v>
      </c>
      <c r="AA25" s="1562">
        <f>D25/F25</f>
        <v>1</v>
      </c>
      <c r="AB25" s="1562">
        <f>D25/H25</f>
        <v>1</v>
      </c>
      <c r="AC25" s="1562">
        <f>D25/J25</f>
        <v>1</v>
      </c>
    </row>
    <row r="26" spans="1:29" ht="15">
      <c r="A26" s="2862"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9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95"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95"/>
      <c r="Q27" s="1590" t="str">
        <f t="shared" si="11"/>
        <v>项目停车位配比</v>
      </c>
      <c r="R27" s="1563" t="s">
        <v>8</v>
      </c>
      <c r="S27" s="1564">
        <f t="shared" si="12"/>
        <v>100</v>
      </c>
      <c r="T27" s="1563" t="s">
        <v>8</v>
      </c>
      <c r="U27" s="1564">
        <f t="shared" si="13"/>
        <v>100</v>
      </c>
      <c r="V27" s="1563" t="s">
        <v>8</v>
      </c>
      <c r="W27" s="1564">
        <f t="shared" si="14"/>
        <v>100</v>
      </c>
      <c r="X27" s="1565"/>
      <c r="Y27" s="3495"/>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95"/>
      <c r="Q28" s="1558" t="str">
        <f t="shared" si="11"/>
        <v>公共部分装修</v>
      </c>
      <c r="R28" s="1559" t="s">
        <v>8</v>
      </c>
      <c r="S28" s="1560">
        <f t="shared" si="12"/>
        <v>100</v>
      </c>
      <c r="T28" s="1559" t="s">
        <v>8</v>
      </c>
      <c r="U28" s="1560">
        <f t="shared" si="13"/>
        <v>100</v>
      </c>
      <c r="V28" s="1559" t="s">
        <v>8</v>
      </c>
      <c r="W28" s="1560">
        <f t="shared" si="14"/>
        <v>100</v>
      </c>
      <c r="X28" s="1553"/>
      <c r="Y28" s="3495"/>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95"/>
      <c r="Q29" s="1558" t="str">
        <f t="shared" si="11"/>
        <v>成新率</v>
      </c>
      <c r="R29" s="1559" t="s">
        <v>8</v>
      </c>
      <c r="S29" s="1560" t="e">
        <f t="shared" si="12"/>
        <v>#N/A</v>
      </c>
      <c r="T29" s="1559" t="s">
        <v>8</v>
      </c>
      <c r="U29" s="1560" t="e">
        <f t="shared" si="13"/>
        <v>#N/A</v>
      </c>
      <c r="V29" s="1559" t="s">
        <v>8</v>
      </c>
      <c r="W29" s="1560" t="e">
        <f t="shared" si="14"/>
        <v>#N/A</v>
      </c>
      <c r="X29" s="1553"/>
      <c r="Y29" s="3495"/>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95"/>
      <c r="Q30" s="1558" t="str">
        <f t="shared" si="11"/>
        <v>物业等级</v>
      </c>
      <c r="R30" s="1559" t="s">
        <v>8</v>
      </c>
      <c r="S30" s="1560">
        <f t="shared" si="12"/>
        <v>100</v>
      </c>
      <c r="T30" s="1559" t="s">
        <v>8</v>
      </c>
      <c r="U30" s="1560">
        <f t="shared" si="13"/>
        <v>100</v>
      </c>
      <c r="V30" s="1559" t="s">
        <v>8</v>
      </c>
      <c r="W30" s="1560">
        <f t="shared" si="14"/>
        <v>100</v>
      </c>
      <c r="X30" s="1553"/>
      <c r="Y30" s="3495"/>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95"/>
      <c r="Q31" s="1146" t="str">
        <f t="shared" si="11"/>
        <v>停车位面积</v>
      </c>
      <c r="R31" s="1554" t="s">
        <v>8</v>
      </c>
      <c r="S31" s="1555" t="e">
        <f t="shared" si="12"/>
        <v>#N/A</v>
      </c>
      <c r="T31" s="1554" t="s">
        <v>8</v>
      </c>
      <c r="U31" s="1555" t="e">
        <f t="shared" si="13"/>
        <v>#N/A</v>
      </c>
      <c r="V31" s="1554" t="s">
        <v>8</v>
      </c>
      <c r="W31" s="1555" t="e">
        <f t="shared" si="14"/>
        <v>#N/A</v>
      </c>
      <c r="X31" s="1556"/>
      <c r="Y31" s="3495"/>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95" t="s">
        <v>550</v>
      </c>
      <c r="Q32" s="1558" t="str">
        <f t="shared" si="11"/>
        <v>车位类型</v>
      </c>
      <c r="R32" s="1559" t="s">
        <v>8</v>
      </c>
      <c r="S32" s="1560">
        <f t="shared" si="12"/>
        <v>100</v>
      </c>
      <c r="T32" s="1559" t="s">
        <v>8</v>
      </c>
      <c r="U32" s="1560">
        <f t="shared" si="13"/>
        <v>100</v>
      </c>
      <c r="V32" s="1559" t="s">
        <v>8</v>
      </c>
      <c r="W32" s="1560">
        <f t="shared" si="14"/>
        <v>100</v>
      </c>
      <c r="X32" s="1553"/>
      <c r="Y32" s="3495"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95"/>
      <c r="Q33" s="1558" t="str">
        <f t="shared" si="11"/>
        <v>是否直接入户</v>
      </c>
      <c r="R33" s="1559" t="s">
        <v>8</v>
      </c>
      <c r="S33" s="1560">
        <f t="shared" si="12"/>
        <v>100</v>
      </c>
      <c r="T33" s="1559" t="s">
        <v>8</v>
      </c>
      <c r="U33" s="1560">
        <f t="shared" si="13"/>
        <v>100</v>
      </c>
      <c r="V33" s="1559" t="s">
        <v>8</v>
      </c>
      <c r="W33" s="1560">
        <f t="shared" si="14"/>
        <v>100</v>
      </c>
      <c r="X33" s="1553"/>
      <c r="Y33" s="3495"/>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95"/>
      <c r="Q34" s="1558">
        <f t="shared" si="11"/>
        <v>111</v>
      </c>
      <c r="R34" s="1559" t="s">
        <v>8</v>
      </c>
      <c r="S34" s="1560">
        <f t="shared" si="12"/>
        <v>100</v>
      </c>
      <c r="T34" s="1559" t="s">
        <v>8</v>
      </c>
      <c r="U34" s="1560">
        <f t="shared" si="13"/>
        <v>100</v>
      </c>
      <c r="V34" s="1559" t="s">
        <v>8</v>
      </c>
      <c r="W34" s="1560">
        <f t="shared" si="14"/>
        <v>100</v>
      </c>
      <c r="X34" s="1553"/>
      <c r="Y34" s="3495"/>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95"/>
      <c r="Q35" s="1590">
        <f t="shared" si="11"/>
        <v>111</v>
      </c>
      <c r="R35" s="1563" t="s">
        <v>8</v>
      </c>
      <c r="S35" s="1564">
        <f t="shared" si="12"/>
        <v>100</v>
      </c>
      <c r="T35" s="1563" t="s">
        <v>8</v>
      </c>
      <c r="U35" s="1564">
        <f t="shared" si="13"/>
        <v>100</v>
      </c>
      <c r="V35" s="1563" t="s">
        <v>8</v>
      </c>
      <c r="W35" s="1564">
        <f t="shared" si="14"/>
        <v>100</v>
      </c>
      <c r="X35" s="1565"/>
      <c r="Y35" s="3495"/>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95"/>
      <c r="Q36" s="1558">
        <f t="shared" si="11"/>
        <v>111</v>
      </c>
      <c r="R36" s="1559" t="s">
        <v>8</v>
      </c>
      <c r="S36" s="1560">
        <f t="shared" si="12"/>
        <v>100</v>
      </c>
      <c r="T36" s="1559" t="s">
        <v>8</v>
      </c>
      <c r="U36" s="1560">
        <f t="shared" si="13"/>
        <v>100</v>
      </c>
      <c r="V36" s="1559" t="s">
        <v>8</v>
      </c>
      <c r="W36" s="1560">
        <f t="shared" si="14"/>
        <v>100</v>
      </c>
      <c r="X36" s="1553"/>
      <c r="Y36" s="3495"/>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458" t="str">
        <f>A37</f>
        <v>成交单价</v>
      </c>
      <c r="Q37" s="3458"/>
      <c r="R37" s="3573">
        <f>E37</f>
        <v>0</v>
      </c>
      <c r="S37" s="3573"/>
      <c r="T37" s="3573">
        <f>G37</f>
        <v>0</v>
      </c>
      <c r="U37" s="3573"/>
      <c r="V37" s="3573">
        <f>I37</f>
        <v>0</v>
      </c>
      <c r="W37" s="3573"/>
      <c r="X37" s="1545"/>
      <c r="Y37" s="1567"/>
      <c r="Z37" s="1545"/>
      <c r="AA37" s="1545"/>
      <c r="AB37" s="1545"/>
      <c r="AC37" s="1545"/>
    </row>
    <row r="38" spans="1:29" ht="15.75" thickBot="1">
      <c r="A38" s="615" t="s">
        <v>2756</v>
      </c>
      <c r="B38" s="887"/>
      <c r="C38" s="2597" t="e">
        <f>R39</f>
        <v>#DIV/0!</v>
      </c>
      <c r="D38" s="2598"/>
      <c r="E38" s="2599" t="e">
        <f>R38</f>
        <v>#DIV/0!</v>
      </c>
      <c r="F38" s="2599"/>
      <c r="G38" s="2597" t="e">
        <f>T38</f>
        <v>#DIV/0!</v>
      </c>
      <c r="H38" s="2598"/>
      <c r="I38" s="2599" t="e">
        <f>V38</f>
        <v>#DIV/0!</v>
      </c>
      <c r="J38" s="2598"/>
      <c r="K38" s="1597"/>
      <c r="L38" s="2129"/>
      <c r="M38" s="2130"/>
      <c r="N38" s="2130"/>
      <c r="O38" s="2130"/>
      <c r="P38" s="3458" t="str">
        <f>A38</f>
        <v>比较价格（元/平方米）</v>
      </c>
      <c r="Q38" s="3458"/>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1545"/>
      <c r="Y38" s="1545"/>
      <c r="Z38" s="1545"/>
      <c r="AA38" s="1545"/>
      <c r="AB38" s="1545"/>
      <c r="AC38" s="1545"/>
    </row>
    <row r="39" spans="1:29" ht="15.75" thickBot="1">
      <c r="A39" s="621" t="s">
        <v>2931</v>
      </c>
      <c r="B39" s="622"/>
      <c r="C39" s="2600" t="e">
        <f>R39</f>
        <v>#DIV/0!</v>
      </c>
      <c r="D39" s="2600"/>
      <c r="E39" s="2600"/>
      <c r="F39" s="2600"/>
      <c r="G39" s="2600"/>
      <c r="H39" s="2600"/>
      <c r="I39" s="2600"/>
      <c r="J39" s="2600"/>
      <c r="K39" s="1598"/>
      <c r="L39" s="2129"/>
      <c r="M39" s="2130"/>
      <c r="N39" s="2130"/>
      <c r="O39" s="2130"/>
      <c r="P39" s="3455" t="str">
        <f>A39</f>
        <v>估价对象XX用房的比较价格（楼面单价，元/平方米）</v>
      </c>
      <c r="Q39" s="3456"/>
      <c r="R39" s="3572" t="e">
        <f>IF(F1="售价",ROUND(AVERAGE(R38:V38),0),ROUND(AVERAGE(R38:V38),1))</f>
        <v>#DIV/0!</v>
      </c>
      <c r="S39" s="3572"/>
      <c r="T39" s="3572"/>
      <c r="U39" s="3572"/>
      <c r="V39" s="3572"/>
      <c r="W39" s="357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中诚信托有限责任公司：</v>
      </c>
    </row>
    <row r="4" spans="1:4" ht="37.5">
      <c r="A4" s="1776" t="str">
        <f>"受贵公司委托，我公司对"&amp;项目基本情况!K2&amp;项目基本情况!B9&amp;"进行了预评估。"</f>
        <v>受贵公司委托，我公司对山西省太原市尖草坪区三给片区一宗住宅、商业、地下车库及科教用地出让国有建设用地使用权抵押价格进行了预评估。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太原旭凰房地产开发有限公司使用的、位于山西省太原市尖草坪区三给片区一宗住宅、商业、地下车库及科教用地出让国有建设用地使用权。根据《国有土地使用证》[]，估价对象（分摊）出让国有建设用地使用权面积为161741.64平方米。根据《建设工程规划许可证》[]、《出让合同》[]，估价对象规划建筑面积为760592.92平方米。</v>
      </c>
    </row>
    <row r="7" spans="1:4" ht="93.75">
      <c r="A7" s="2828" t="s">
        <v>2744</v>
      </c>
    </row>
    <row r="8" spans="1:4" ht="18.75">
      <c r="A8" s="1779" t="s">
        <v>1906</v>
      </c>
    </row>
    <row r="9" spans="1:4" ht="93.75">
      <c r="A9" s="1781" t="str">
        <f>IF(项目基本情况!B8="抵押",IF(项目基本情况!B5=项目基本情况!B6,定义!C51,定义!B51),定义!D51)</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2019年6月5日（评估专业人员勘察现场之日）</v>
      </c>
    </row>
    <row r="12" spans="1:4" ht="18.75">
      <c r="A12" s="1782" t="s">
        <v>2023</v>
      </c>
    </row>
    <row r="13" spans="1:4" ht="18.75">
      <c r="A13" s="1776" t="s">
        <v>2069</v>
      </c>
    </row>
    <row r="14" spans="1:4" ht="37.5">
      <c r="A14" s="1776" t="str">
        <f>"根据"&amp;项目基本情况!F12&amp;"，本次评估估价对象证载（地类）用途为"&amp;项目基本情况!B12&amp;"。"</f>
        <v>根据《不动产权证书》[晋（2019）太原市不动产权第0053440号]，本次评估估价对象证载（地类）用途为城镇住宅用地。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本次评估设定用途即为证载用途住宅、商业、地下车库及科教。</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根据《国有土地使用证》[]，估价对象（分摊）出让国有建设用地使用权面积为161741.64平方米。根据《建设工程规划许可证》[]、《出让合同》[]，估价对象规划建筑面积为760592.92平方米。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2745</v>
      </c>
    </row>
    <row r="24" spans="1:1" ht="18.75">
      <c r="A24" s="1776" t="s">
        <v>2073</v>
      </c>
    </row>
    <row r="25" spans="1:1" ht="93.75">
      <c r="A25" s="1776" t="str">
        <f>定义!C53</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2" customWidth="1"/>
    <col min="2" max="2" width="15.62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625" style="1332" customWidth="1"/>
    <col min="17" max="17" width="19.5" style="1332" customWidth="1"/>
    <col min="18" max="22" width="6.125" style="1332" customWidth="1"/>
    <col min="23" max="23" width="5.625" style="1332" customWidth="1"/>
    <col min="24" max="24" width="4.125" style="1332" customWidth="1"/>
    <col min="25" max="25" width="3.5" style="1332" customWidth="1"/>
    <col min="26" max="26" width="19.62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64" t="s">
        <v>798</v>
      </c>
      <c r="D4" s="3465"/>
      <c r="E4" s="3498" t="s">
        <v>799</v>
      </c>
      <c r="F4" s="3499"/>
      <c r="G4" s="3464" t="s">
        <v>800</v>
      </c>
      <c r="H4" s="3465"/>
      <c r="I4" s="3464" t="s">
        <v>801</v>
      </c>
      <c r="J4" s="3465"/>
      <c r="K4" s="514" t="s">
        <v>802</v>
      </c>
      <c r="L4" s="2118"/>
      <c r="M4" s="2119"/>
      <c r="N4" s="2119"/>
      <c r="O4" s="2119"/>
      <c r="P4" s="3466" t="s">
        <v>803</v>
      </c>
      <c r="Q4" s="3467"/>
      <c r="R4" s="3472" t="s">
        <v>799</v>
      </c>
      <c r="S4" s="3473"/>
      <c r="T4" s="3472" t="s">
        <v>800</v>
      </c>
      <c r="U4" s="3473"/>
      <c r="V4" s="3459" t="s">
        <v>801</v>
      </c>
      <c r="W4" s="3459"/>
      <c r="X4" s="1553"/>
      <c r="Y4" s="3472" t="s">
        <v>803</v>
      </c>
      <c r="Z4" s="3473"/>
      <c r="AA4" s="3461" t="s">
        <v>799</v>
      </c>
      <c r="AB4" s="3462" t="s">
        <v>800</v>
      </c>
      <c r="AC4" s="3461" t="s">
        <v>801</v>
      </c>
    </row>
    <row r="5" spans="1:29" ht="15">
      <c r="A5" s="515"/>
      <c r="B5" s="516"/>
      <c r="C5" s="3480" t="s">
        <v>2925</v>
      </c>
      <c r="D5" s="3481"/>
      <c r="E5" s="3500" t="s">
        <v>2926</v>
      </c>
      <c r="F5" s="3501"/>
      <c r="G5" s="3480" t="s">
        <v>2927</v>
      </c>
      <c r="H5" s="3481"/>
      <c r="I5" s="3480" t="s">
        <v>2928</v>
      </c>
      <c r="J5" s="3481"/>
      <c r="K5" s="514"/>
      <c r="L5" s="2118"/>
      <c r="M5" s="2119"/>
      <c r="N5" s="2119"/>
      <c r="O5" s="2119"/>
      <c r="P5" s="3468"/>
      <c r="Q5" s="3469"/>
      <c r="R5" s="3474"/>
      <c r="S5" s="3475"/>
      <c r="T5" s="3474"/>
      <c r="U5" s="3475"/>
      <c r="V5" s="3459"/>
      <c r="W5" s="3459"/>
      <c r="X5" s="1553"/>
      <c r="Y5" s="3474"/>
      <c r="Z5" s="3475"/>
      <c r="AA5" s="3462"/>
      <c r="AB5" s="3462"/>
      <c r="AC5" s="3462"/>
    </row>
    <row r="6" spans="1:29" ht="15.75" thickBot="1">
      <c r="A6" s="517"/>
      <c r="B6" s="518"/>
      <c r="C6" s="3478" t="s">
        <v>2929</v>
      </c>
      <c r="D6" s="3479"/>
      <c r="E6" s="3496" t="s">
        <v>2929</v>
      </c>
      <c r="F6" s="3497"/>
      <c r="G6" s="3478" t="s">
        <v>2929</v>
      </c>
      <c r="H6" s="3479"/>
      <c r="I6" s="3478" t="s">
        <v>2929</v>
      </c>
      <c r="J6" s="3479"/>
      <c r="K6" s="514" t="s">
        <v>528</v>
      </c>
      <c r="L6" s="2118"/>
      <c r="M6" s="2119"/>
      <c r="N6" s="2119"/>
      <c r="O6" s="2119"/>
      <c r="P6" s="3470"/>
      <c r="Q6" s="3471"/>
      <c r="R6" s="3474"/>
      <c r="S6" s="3475"/>
      <c r="T6" s="3476"/>
      <c r="U6" s="3477"/>
      <c r="V6" s="3459"/>
      <c r="W6" s="3459"/>
      <c r="X6" s="1553"/>
      <c r="Y6" s="3476"/>
      <c r="Z6" s="3477"/>
      <c r="AA6" s="3463"/>
      <c r="AB6" s="3463"/>
      <c r="AC6" s="3463"/>
    </row>
    <row r="7" spans="1:29" s="1215" customFormat="1" ht="15.75" thickBot="1">
      <c r="A7" s="2867"/>
      <c r="B7" s="2874" t="s">
        <v>529</v>
      </c>
      <c r="C7" s="519">
        <f>'数据-取费表'!B2</f>
        <v>43621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89" t="s">
        <v>530</v>
      </c>
      <c r="Q7" s="3491"/>
      <c r="R7" s="1554" t="s">
        <v>8</v>
      </c>
      <c r="S7" s="1555">
        <f t="shared" ref="S7:S14" si="0">F7</f>
        <v>0</v>
      </c>
      <c r="T7" s="1554" t="s">
        <v>8</v>
      </c>
      <c r="U7" s="1555">
        <f t="shared" ref="U7:U14" si="1">H7</f>
        <v>0</v>
      </c>
      <c r="V7" s="1554" t="s">
        <v>8</v>
      </c>
      <c r="W7" s="1555">
        <f t="shared" ref="W7:W14" si="2">J7</f>
        <v>0</v>
      </c>
      <c r="X7" s="1556"/>
      <c r="Y7" s="3489" t="s">
        <v>530</v>
      </c>
      <c r="Z7" s="3490"/>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89" t="s">
        <v>533</v>
      </c>
      <c r="Q8" s="3490"/>
      <c r="R8" s="1554" t="s">
        <v>8</v>
      </c>
      <c r="S8" s="1555">
        <f t="shared" si="0"/>
        <v>0</v>
      </c>
      <c r="T8" s="1554" t="s">
        <v>8</v>
      </c>
      <c r="U8" s="1555">
        <f t="shared" si="1"/>
        <v>0</v>
      </c>
      <c r="V8" s="1554" t="s">
        <v>8</v>
      </c>
      <c r="W8" s="1555">
        <f t="shared" si="2"/>
        <v>0</v>
      </c>
      <c r="X8" s="1556"/>
      <c r="Y8" s="3489" t="s">
        <v>533</v>
      </c>
      <c r="Z8" s="3490"/>
      <c r="AA8" s="1557" t="e">
        <f t="shared" ref="AA8:AA34" si="3">D8/F8</f>
        <v>#DIV/0!</v>
      </c>
      <c r="AB8" s="1557" t="e">
        <f t="shared" ref="AB8:AB34" si="4">D8/H8</f>
        <v>#DIV/0!</v>
      </c>
      <c r="AC8" s="1557" t="e">
        <f t="shared" ref="AC8:AC34" si="5">D8/J8</f>
        <v>#DIV/0!</v>
      </c>
    </row>
    <row r="9" spans="1:29" s="1215" customFormat="1" ht="15">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58" t="s">
        <v>535</v>
      </c>
      <c r="Q9" s="1146" t="str">
        <f t="shared" ref="Q9:Q14" si="6">B9</f>
        <v>用途</v>
      </c>
      <c r="R9" s="1554" t="s">
        <v>8</v>
      </c>
      <c r="S9" s="1555">
        <f t="shared" si="0"/>
        <v>100</v>
      </c>
      <c r="T9" s="1554" t="s">
        <v>8</v>
      </c>
      <c r="U9" s="1555">
        <f t="shared" si="1"/>
        <v>100</v>
      </c>
      <c r="V9" s="1554" t="s">
        <v>8</v>
      </c>
      <c r="W9" s="1555">
        <f t="shared" si="2"/>
        <v>100</v>
      </c>
      <c r="X9" s="1556"/>
      <c r="Y9" s="3404" t="s">
        <v>536</v>
      </c>
      <c r="Z9" s="1145" t="str">
        <f t="shared" ref="Z9:Z14" si="7">Q9</f>
        <v>用途</v>
      </c>
      <c r="AA9" s="1557">
        <f t="shared" si="3"/>
        <v>1</v>
      </c>
      <c r="AB9" s="1557">
        <f t="shared" si="4"/>
        <v>1</v>
      </c>
      <c r="AC9" s="1557">
        <f t="shared" si="5"/>
        <v>1</v>
      </c>
    </row>
    <row r="10" spans="1:29" s="1333" customFormat="1" ht="27">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58"/>
      <c r="Q10" s="1146" t="str">
        <f t="shared" si="6"/>
        <v>土地使用年限（年）</v>
      </c>
      <c r="R10" s="1554" t="s">
        <v>8</v>
      </c>
      <c r="S10" s="1555">
        <f t="shared" si="0"/>
        <v>100</v>
      </c>
      <c r="T10" s="1554" t="s">
        <v>8</v>
      </c>
      <c r="U10" s="1555">
        <f t="shared" si="1"/>
        <v>100</v>
      </c>
      <c r="V10" s="1554" t="s">
        <v>8</v>
      </c>
      <c r="W10" s="1555">
        <f t="shared" si="2"/>
        <v>100</v>
      </c>
      <c r="X10" s="1556"/>
      <c r="Y10" s="3404"/>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58"/>
      <c r="Q11" s="1146">
        <f t="shared" si="6"/>
        <v>111</v>
      </c>
      <c r="R11" s="1554" t="s">
        <v>8</v>
      </c>
      <c r="S11" s="1555">
        <f t="shared" si="0"/>
        <v>100</v>
      </c>
      <c r="T11" s="1554" t="s">
        <v>8</v>
      </c>
      <c r="U11" s="1555">
        <f t="shared" si="1"/>
        <v>100</v>
      </c>
      <c r="V11" s="1554" t="s">
        <v>8</v>
      </c>
      <c r="W11" s="1555">
        <f t="shared" si="2"/>
        <v>100</v>
      </c>
      <c r="X11" s="1556"/>
      <c r="Y11" s="3404"/>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58"/>
      <c r="Q12" s="1146">
        <f t="shared" si="6"/>
        <v>111</v>
      </c>
      <c r="R12" s="1554" t="s">
        <v>8</v>
      </c>
      <c r="S12" s="1555">
        <f t="shared" si="0"/>
        <v>100</v>
      </c>
      <c r="T12" s="1554" t="s">
        <v>8</v>
      </c>
      <c r="U12" s="1555">
        <f t="shared" si="1"/>
        <v>100</v>
      </c>
      <c r="V12" s="1554" t="s">
        <v>8</v>
      </c>
      <c r="W12" s="1555">
        <f t="shared" si="2"/>
        <v>100</v>
      </c>
      <c r="X12" s="1556"/>
      <c r="Y12" s="3404"/>
      <c r="Z12" s="1145">
        <f t="shared" si="7"/>
        <v>111</v>
      </c>
      <c r="AA12" s="1557">
        <f>D12/F12</f>
        <v>1</v>
      </c>
      <c r="AB12" s="1557">
        <f>D12/H12</f>
        <v>1</v>
      </c>
      <c r="AC12" s="1557">
        <f>D12/J12</f>
        <v>1</v>
      </c>
    </row>
    <row r="13" spans="1:29" ht="15.75"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58"/>
      <c r="Q13" s="1146">
        <f t="shared" si="6"/>
        <v>111</v>
      </c>
      <c r="R13" s="1554" t="s">
        <v>8</v>
      </c>
      <c r="S13" s="1555">
        <f t="shared" si="0"/>
        <v>100</v>
      </c>
      <c r="T13" s="1554" t="s">
        <v>8</v>
      </c>
      <c r="U13" s="1555">
        <f t="shared" si="1"/>
        <v>100</v>
      </c>
      <c r="V13" s="1554" t="s">
        <v>8</v>
      </c>
      <c r="W13" s="1555">
        <f t="shared" si="2"/>
        <v>100</v>
      </c>
      <c r="X13" s="1556"/>
      <c r="Y13" s="3404"/>
      <c r="Z13" s="1145">
        <f t="shared" si="7"/>
        <v>111</v>
      </c>
      <c r="AA13" s="1557">
        <f t="shared" si="3"/>
        <v>1</v>
      </c>
      <c r="AB13" s="1557">
        <f t="shared" si="4"/>
        <v>1</v>
      </c>
      <c r="AC13" s="1557">
        <f t="shared" si="5"/>
        <v>1</v>
      </c>
    </row>
    <row r="14" spans="1:29" ht="85.5">
      <c r="A14" s="2865" t="s">
        <v>2750</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92" t="s">
        <v>540</v>
      </c>
      <c r="Q14" s="1558" t="str">
        <f t="shared" si="6"/>
        <v>交通便捷度</v>
      </c>
      <c r="R14" s="1559" t="s">
        <v>8</v>
      </c>
      <c r="S14" s="1560">
        <f t="shared" si="0"/>
        <v>100</v>
      </c>
      <c r="T14" s="1559" t="s">
        <v>8</v>
      </c>
      <c r="U14" s="1560">
        <f t="shared" si="1"/>
        <v>100</v>
      </c>
      <c r="V14" s="1559" t="s">
        <v>8</v>
      </c>
      <c r="W14" s="1560">
        <f t="shared" si="2"/>
        <v>100</v>
      </c>
      <c r="X14" s="1553"/>
      <c r="Y14" s="349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93"/>
      <c r="Q15" s="1558"/>
      <c r="R15" s="1559"/>
      <c r="S15" s="1560"/>
      <c r="T15" s="1559"/>
      <c r="U15" s="1560"/>
      <c r="V15" s="1559"/>
      <c r="W15" s="1560"/>
      <c r="X15" s="1553"/>
      <c r="Y15" s="3493"/>
      <c r="Z15" s="1561"/>
      <c r="AA15" s="1562">
        <v>1</v>
      </c>
      <c r="AB15" s="1562">
        <v>1</v>
      </c>
      <c r="AC15" s="1562">
        <v>1</v>
      </c>
    </row>
    <row r="16" spans="1:29" ht="42.75">
      <c r="A16" s="532"/>
      <c r="B16" s="2567"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93"/>
      <c r="Q16" s="1558" t="str">
        <f>B16</f>
        <v>公共配套设施</v>
      </c>
      <c r="R16" s="1559" t="s">
        <v>8</v>
      </c>
      <c r="S16" s="1560">
        <f>F16</f>
        <v>100</v>
      </c>
      <c r="T16" s="1559" t="s">
        <v>8</v>
      </c>
      <c r="U16" s="1560">
        <f>H16</f>
        <v>100</v>
      </c>
      <c r="V16" s="1559" t="s">
        <v>8</v>
      </c>
      <c r="W16" s="1560">
        <f>J16</f>
        <v>100</v>
      </c>
      <c r="X16" s="1553"/>
      <c r="Y16" s="349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93"/>
      <c r="Q17" s="1558"/>
      <c r="R17" s="1559"/>
      <c r="S17" s="1560"/>
      <c r="T17" s="1559"/>
      <c r="U17" s="1560"/>
      <c r="V17" s="1559"/>
      <c r="W17" s="1560"/>
      <c r="X17" s="1553"/>
      <c r="Y17" s="3493"/>
      <c r="Z17" s="1561"/>
      <c r="AA17" s="1562">
        <v>1</v>
      </c>
      <c r="AB17" s="1562">
        <v>1</v>
      </c>
      <c r="AC17" s="1562">
        <v>1</v>
      </c>
    </row>
    <row r="18" spans="1:29" ht="28.5">
      <c r="A18" s="532"/>
      <c r="B18" s="2555"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93"/>
      <c r="Q18" s="2543" t="str">
        <f>B18</f>
        <v>基础设施水平</v>
      </c>
      <c r="R18" s="1559" t="s">
        <v>8</v>
      </c>
      <c r="S18" s="1560">
        <f>F18</f>
        <v>100</v>
      </c>
      <c r="T18" s="1559" t="s">
        <v>8</v>
      </c>
      <c r="U18" s="1560">
        <f>H18</f>
        <v>100</v>
      </c>
      <c r="V18" s="1559" t="s">
        <v>8</v>
      </c>
      <c r="W18" s="1560">
        <f>J18</f>
        <v>100</v>
      </c>
      <c r="X18" s="2545"/>
      <c r="Y18" s="349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93"/>
      <c r="Q19" s="2543"/>
      <c r="R19" s="1559"/>
      <c r="S19" s="1560"/>
      <c r="T19" s="1559"/>
      <c r="U19" s="1560"/>
      <c r="V19" s="1559"/>
      <c r="W19" s="1560"/>
      <c r="X19" s="2545"/>
      <c r="Y19" s="3493"/>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93"/>
      <c r="Q20" s="1558" t="str">
        <f>B20</f>
        <v>自然及人文环境</v>
      </c>
      <c r="R20" s="1559" t="s">
        <v>8</v>
      </c>
      <c r="S20" s="1560">
        <f>F20</f>
        <v>100</v>
      </c>
      <c r="T20" s="1559" t="s">
        <v>8</v>
      </c>
      <c r="U20" s="1560">
        <f>H20</f>
        <v>100</v>
      </c>
      <c r="V20" s="1559" t="s">
        <v>8</v>
      </c>
      <c r="W20" s="1560">
        <f>J20</f>
        <v>100</v>
      </c>
      <c r="X20" s="1553"/>
      <c r="Y20" s="349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93"/>
      <c r="Q21" s="1558"/>
      <c r="R21" s="1559"/>
      <c r="S21" s="1560"/>
      <c r="T21" s="1559"/>
      <c r="U21" s="1560"/>
      <c r="V21" s="1559"/>
      <c r="W21" s="1560"/>
      <c r="X21" s="1553"/>
      <c r="Y21" s="349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93"/>
      <c r="Q22" s="1558" t="str">
        <f>B22</f>
        <v>楼层</v>
      </c>
      <c r="R22" s="1559" t="s">
        <v>8</v>
      </c>
      <c r="S22" s="1560">
        <f>F22</f>
        <v>100</v>
      </c>
      <c r="T22" s="1559" t="s">
        <v>8</v>
      </c>
      <c r="U22" s="1560">
        <f>H22</f>
        <v>100</v>
      </c>
      <c r="V22" s="1559" t="s">
        <v>8</v>
      </c>
      <c r="W22" s="1560">
        <f>J22</f>
        <v>100</v>
      </c>
      <c r="X22" s="1553"/>
      <c r="Y22" s="349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93"/>
      <c r="Q23" s="1558">
        <f>B23</f>
        <v>111</v>
      </c>
      <c r="R23" s="1559" t="s">
        <v>8</v>
      </c>
      <c r="S23" s="1560">
        <f>F23</f>
        <v>100</v>
      </c>
      <c r="T23" s="1559" t="s">
        <v>8</v>
      </c>
      <c r="U23" s="1560">
        <f>H23</f>
        <v>100</v>
      </c>
      <c r="V23" s="1559" t="s">
        <v>8</v>
      </c>
      <c r="W23" s="1560">
        <f>J23</f>
        <v>100</v>
      </c>
      <c r="X23" s="1553"/>
      <c r="Y23" s="349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93"/>
      <c r="Q24" s="1558">
        <f t="shared" ref="Q24:Q34" si="11">B24</f>
        <v>111</v>
      </c>
      <c r="R24" s="1559" t="s">
        <v>8</v>
      </c>
      <c r="S24" s="1560">
        <f>F24</f>
        <v>100</v>
      </c>
      <c r="T24" s="1559" t="s">
        <v>8</v>
      </c>
      <c r="U24" s="1560">
        <f>H24</f>
        <v>100</v>
      </c>
      <c r="V24" s="1559" t="s">
        <v>8</v>
      </c>
      <c r="W24" s="1560">
        <f>J24</f>
        <v>100</v>
      </c>
      <c r="X24" s="1553"/>
      <c r="Y24" s="3493"/>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93"/>
      <c r="Q25" s="1146">
        <f t="shared" si="11"/>
        <v>111</v>
      </c>
      <c r="R25" s="1554" t="s">
        <v>8</v>
      </c>
      <c r="S25" s="1555">
        <f>F25</f>
        <v>100</v>
      </c>
      <c r="T25" s="1554" t="s">
        <v>8</v>
      </c>
      <c r="U25" s="1555">
        <f>H25</f>
        <v>100</v>
      </c>
      <c r="V25" s="1554" t="s">
        <v>8</v>
      </c>
      <c r="W25" s="1555">
        <f>J25</f>
        <v>100</v>
      </c>
      <c r="X25" s="1556"/>
      <c r="Y25" s="3493"/>
      <c r="Z25" s="1145">
        <f>Q25</f>
        <v>111</v>
      </c>
      <c r="AA25" s="1562">
        <f>D25/F25</f>
        <v>1</v>
      </c>
      <c r="AB25" s="1562">
        <f>D25/H25</f>
        <v>1</v>
      </c>
      <c r="AC25" s="1562">
        <f>D25/J25</f>
        <v>1</v>
      </c>
    </row>
    <row r="26" spans="1:29" ht="15">
      <c r="A26" s="2862"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9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95"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95"/>
      <c r="Q27" s="1590" t="str">
        <f t="shared" si="11"/>
        <v>成新率</v>
      </c>
      <c r="R27" s="1563" t="s">
        <v>8</v>
      </c>
      <c r="S27" s="1564" t="e">
        <f t="shared" si="12"/>
        <v>#N/A</v>
      </c>
      <c r="T27" s="1563" t="s">
        <v>8</v>
      </c>
      <c r="U27" s="1564" t="e">
        <f t="shared" si="13"/>
        <v>#N/A</v>
      </c>
      <c r="V27" s="1563" t="s">
        <v>8</v>
      </c>
      <c r="W27" s="1564" t="e">
        <f t="shared" si="14"/>
        <v>#N/A</v>
      </c>
      <c r="X27" s="1565"/>
      <c r="Y27" s="349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95"/>
      <c r="Q28" s="1558" t="str">
        <f t="shared" si="11"/>
        <v>物业等级</v>
      </c>
      <c r="R28" s="1559" t="s">
        <v>8</v>
      </c>
      <c r="S28" s="1560">
        <f t="shared" si="12"/>
        <v>100</v>
      </c>
      <c r="T28" s="1559" t="s">
        <v>8</v>
      </c>
      <c r="U28" s="1560">
        <f t="shared" si="13"/>
        <v>100</v>
      </c>
      <c r="V28" s="1559" t="s">
        <v>8</v>
      </c>
      <c r="W28" s="1560">
        <f t="shared" si="14"/>
        <v>100</v>
      </c>
      <c r="X28" s="1553"/>
      <c r="Y28" s="3495"/>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95"/>
      <c r="Q29" s="1558" t="str">
        <f t="shared" si="11"/>
        <v>有无电梯</v>
      </c>
      <c r="R29" s="1559" t="s">
        <v>8</v>
      </c>
      <c r="S29" s="1560">
        <f t="shared" si="12"/>
        <v>100</v>
      </c>
      <c r="T29" s="1559" t="s">
        <v>8</v>
      </c>
      <c r="U29" s="1560">
        <f t="shared" si="13"/>
        <v>100</v>
      </c>
      <c r="V29" s="1559" t="s">
        <v>8</v>
      </c>
      <c r="W29" s="1560">
        <f t="shared" si="14"/>
        <v>100</v>
      </c>
      <c r="X29" s="1553"/>
      <c r="Y29" s="3495"/>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95"/>
      <c r="Q30" s="1558" t="str">
        <f t="shared" si="11"/>
        <v>建筑面积</v>
      </c>
      <c r="R30" s="1559" t="s">
        <v>8</v>
      </c>
      <c r="S30" s="1560" t="e">
        <f t="shared" si="12"/>
        <v>#N/A</v>
      </c>
      <c r="T30" s="1559" t="s">
        <v>8</v>
      </c>
      <c r="U30" s="1560" t="e">
        <f t="shared" si="13"/>
        <v>#N/A</v>
      </c>
      <c r="V30" s="1559" t="s">
        <v>8</v>
      </c>
      <c r="W30" s="1560" t="e">
        <f t="shared" si="14"/>
        <v>#N/A</v>
      </c>
      <c r="X30" s="1553"/>
      <c r="Y30" s="3495"/>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95"/>
      <c r="Q31" s="1146" t="str">
        <f t="shared" si="11"/>
        <v>是否封闭</v>
      </c>
      <c r="R31" s="1554" t="s">
        <v>8</v>
      </c>
      <c r="S31" s="1555">
        <f t="shared" si="12"/>
        <v>100</v>
      </c>
      <c r="T31" s="1554" t="s">
        <v>8</v>
      </c>
      <c r="U31" s="1555">
        <f t="shared" si="13"/>
        <v>100</v>
      </c>
      <c r="V31" s="1554" t="s">
        <v>8</v>
      </c>
      <c r="W31" s="1555">
        <f t="shared" si="14"/>
        <v>100</v>
      </c>
      <c r="X31" s="1556"/>
      <c r="Y31" s="3495"/>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95" t="s">
        <v>550</v>
      </c>
      <c r="Q32" s="1558">
        <f t="shared" si="11"/>
        <v>111</v>
      </c>
      <c r="R32" s="1559" t="s">
        <v>8</v>
      </c>
      <c r="S32" s="1560">
        <f t="shared" si="12"/>
        <v>100</v>
      </c>
      <c r="T32" s="1559" t="s">
        <v>8</v>
      </c>
      <c r="U32" s="1560">
        <f t="shared" si="13"/>
        <v>100</v>
      </c>
      <c r="V32" s="1559" t="s">
        <v>8</v>
      </c>
      <c r="W32" s="1560">
        <f t="shared" si="14"/>
        <v>100</v>
      </c>
      <c r="X32" s="1553"/>
      <c r="Y32" s="3495"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95"/>
      <c r="Q33" s="1558">
        <f t="shared" si="11"/>
        <v>111</v>
      </c>
      <c r="R33" s="1559" t="s">
        <v>8</v>
      </c>
      <c r="S33" s="1560">
        <f t="shared" si="12"/>
        <v>100</v>
      </c>
      <c r="T33" s="1559" t="s">
        <v>8</v>
      </c>
      <c r="U33" s="1560">
        <f t="shared" si="13"/>
        <v>100</v>
      </c>
      <c r="V33" s="1559" t="s">
        <v>8</v>
      </c>
      <c r="W33" s="1560">
        <f t="shared" si="14"/>
        <v>100</v>
      </c>
      <c r="X33" s="1553"/>
      <c r="Y33" s="3495"/>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95"/>
      <c r="Q34" s="1558">
        <f t="shared" si="11"/>
        <v>111</v>
      </c>
      <c r="R34" s="1559" t="s">
        <v>8</v>
      </c>
      <c r="S34" s="1560">
        <f t="shared" si="12"/>
        <v>100</v>
      </c>
      <c r="T34" s="1559" t="s">
        <v>8</v>
      </c>
      <c r="U34" s="1560">
        <f t="shared" si="13"/>
        <v>100</v>
      </c>
      <c r="V34" s="1559" t="s">
        <v>8</v>
      </c>
      <c r="W34" s="1560">
        <f t="shared" si="14"/>
        <v>100</v>
      </c>
      <c r="X34" s="1553"/>
      <c r="Y34" s="3495"/>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458" t="str">
        <f>A35</f>
        <v>成交单价（元/平方米）</v>
      </c>
      <c r="Q35" s="3458"/>
      <c r="R35" s="3573">
        <f>E35</f>
        <v>0</v>
      </c>
      <c r="S35" s="3573"/>
      <c r="T35" s="3573">
        <f>G35</f>
        <v>0</v>
      </c>
      <c r="U35" s="3573"/>
      <c r="V35" s="3573">
        <f>I35</f>
        <v>0</v>
      </c>
      <c r="W35" s="3573"/>
      <c r="X35" s="1545"/>
      <c r="Y35" s="1567"/>
      <c r="Z35" s="1545"/>
      <c r="AA35" s="1545"/>
      <c r="AB35" s="1545"/>
      <c r="AC35" s="1545"/>
    </row>
    <row r="36" spans="1:29" ht="15.75" thickBot="1">
      <c r="A36" s="615" t="s">
        <v>2756</v>
      </c>
      <c r="B36" s="887"/>
      <c r="C36" s="2597" t="e">
        <f>R37</f>
        <v>#DIV/0!</v>
      </c>
      <c r="D36" s="2598"/>
      <c r="E36" s="2599" t="e">
        <f>R36</f>
        <v>#DIV/0!</v>
      </c>
      <c r="F36" s="2599"/>
      <c r="G36" s="2597" t="e">
        <f>T36</f>
        <v>#DIV/0!</v>
      </c>
      <c r="H36" s="2598"/>
      <c r="I36" s="2599" t="e">
        <f>V36</f>
        <v>#DIV/0!</v>
      </c>
      <c r="J36" s="2598"/>
      <c r="K36" s="1597"/>
      <c r="L36" s="2129"/>
      <c r="M36" s="2130"/>
      <c r="N36" s="2119"/>
      <c r="O36" s="2130"/>
      <c r="P36" s="3458" t="str">
        <f>A36</f>
        <v>比较价格（元/平方米）</v>
      </c>
      <c r="Q36" s="3458"/>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1545"/>
      <c r="Y36" s="1545"/>
      <c r="Z36" s="1545"/>
      <c r="AA36" s="1545"/>
      <c r="AB36" s="1545"/>
      <c r="AC36" s="1545"/>
    </row>
    <row r="37" spans="1:29" ht="15.75" thickBot="1">
      <c r="A37" s="621" t="s">
        <v>2931</v>
      </c>
      <c r="B37" s="622"/>
      <c r="C37" s="2600" t="e">
        <f>R37</f>
        <v>#DIV/0!</v>
      </c>
      <c r="D37" s="2600"/>
      <c r="E37" s="2600"/>
      <c r="F37" s="2600"/>
      <c r="G37" s="2600"/>
      <c r="H37" s="2600"/>
      <c r="I37" s="2600"/>
      <c r="J37" s="2600"/>
      <c r="K37" s="1598"/>
      <c r="L37" s="2129"/>
      <c r="M37" s="2130"/>
      <c r="N37" s="2130"/>
      <c r="O37" s="2130"/>
      <c r="P37" s="3455" t="str">
        <f>A37</f>
        <v>估价对象XX用房的比较价格（楼面单价，元/平方米）</v>
      </c>
      <c r="Q37" s="3456"/>
      <c r="R37" s="3572" t="e">
        <f>IF(F1="售价",ROUND(AVERAGE(R36:V36),0),ROUND(AVERAGE(R36:V36),1))</f>
        <v>#DIV/0!</v>
      </c>
      <c r="S37" s="3572"/>
      <c r="T37" s="3572"/>
      <c r="U37" s="3572"/>
      <c r="V37" s="3572"/>
      <c r="W37" s="357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I39" sqref="I39"/>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2301</v>
      </c>
      <c r="C1" s="3586" t="s">
        <v>2302</v>
      </c>
      <c r="D1" s="3587"/>
      <c r="E1" s="3587"/>
      <c r="F1" s="3587"/>
      <c r="G1" s="3587"/>
      <c r="H1" s="3587"/>
      <c r="I1" s="3587"/>
      <c r="J1" s="3587"/>
      <c r="K1" s="3587"/>
      <c r="L1" s="3587"/>
      <c r="M1" s="3587"/>
      <c r="N1" s="3587"/>
      <c r="O1" s="3587"/>
      <c r="P1" s="3587"/>
      <c r="Q1" s="3587"/>
      <c r="R1" s="3587"/>
      <c r="S1" s="3588"/>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83" t="s">
        <v>20</v>
      </c>
      <c r="D22" s="3584"/>
      <c r="E22" s="3584"/>
      <c r="F22" s="3584"/>
      <c r="G22" s="3584"/>
      <c r="H22" s="3584"/>
      <c r="I22" s="3584"/>
      <c r="J22" s="3584"/>
      <c r="K22" s="3584"/>
      <c r="L22" s="3584"/>
      <c r="M22" s="3584"/>
      <c r="N22" s="3584"/>
      <c r="O22" s="3584"/>
      <c r="P22" s="3584"/>
      <c r="Q22" s="358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8.875" style="2902"/>
    <col min="7" max="7" width="9.375" style="2902" bestFit="1" customWidth="1"/>
    <col min="8" max="9" width="8.875" style="2902"/>
    <col min="10" max="10" width="9.375" style="2902" bestFit="1" customWidth="1"/>
    <col min="11" max="11" width="4" style="2896" customWidth="1"/>
    <col min="12" max="12" width="5.125" style="2902" customWidth="1"/>
    <col min="13" max="13" width="13.625" style="2902" customWidth="1"/>
    <col min="14" max="256" width="8.875"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8.875" style="2894"/>
    <col min="263" max="263" width="9.375" style="2894" bestFit="1" customWidth="1"/>
    <col min="264" max="265" width="8.875" style="2894"/>
    <col min="266" max="266" width="9.375" style="2894" bestFit="1" customWidth="1"/>
    <col min="267" max="267" width="4" style="2894" customWidth="1"/>
    <col min="268" max="268" width="5.125" style="2894" customWidth="1"/>
    <col min="269" max="269" width="13.625" style="2894" customWidth="1"/>
    <col min="270" max="512" width="8.875"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8.875" style="2894"/>
    <col min="519" max="519" width="9.375" style="2894" bestFit="1" customWidth="1"/>
    <col min="520" max="521" width="8.875" style="2894"/>
    <col min="522" max="522" width="9.375" style="2894" bestFit="1" customWidth="1"/>
    <col min="523" max="523" width="4" style="2894" customWidth="1"/>
    <col min="524" max="524" width="5.125" style="2894" customWidth="1"/>
    <col min="525" max="525" width="13.625" style="2894" customWidth="1"/>
    <col min="526" max="768" width="8.875"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8.875" style="2894"/>
    <col min="775" max="775" width="9.375" style="2894" bestFit="1" customWidth="1"/>
    <col min="776" max="777" width="8.875" style="2894"/>
    <col min="778" max="778" width="9.375" style="2894" bestFit="1" customWidth="1"/>
    <col min="779" max="779" width="4" style="2894" customWidth="1"/>
    <col min="780" max="780" width="5.125" style="2894" customWidth="1"/>
    <col min="781" max="781" width="13.625" style="2894" customWidth="1"/>
    <col min="782" max="1024" width="8.875"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8.875" style="2894"/>
    <col min="1031" max="1031" width="9.375" style="2894" bestFit="1" customWidth="1"/>
    <col min="1032" max="1033" width="8.875" style="2894"/>
    <col min="1034" max="1034" width="9.375" style="2894" bestFit="1" customWidth="1"/>
    <col min="1035" max="1035" width="4" style="2894" customWidth="1"/>
    <col min="1036" max="1036" width="5.125" style="2894" customWidth="1"/>
    <col min="1037" max="1037" width="13.625" style="2894" customWidth="1"/>
    <col min="1038" max="1280" width="8.875"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8.875" style="2894"/>
    <col min="1287" max="1287" width="9.375" style="2894" bestFit="1" customWidth="1"/>
    <col min="1288" max="1289" width="8.875" style="2894"/>
    <col min="1290" max="1290" width="9.375" style="2894" bestFit="1" customWidth="1"/>
    <col min="1291" max="1291" width="4" style="2894" customWidth="1"/>
    <col min="1292" max="1292" width="5.125" style="2894" customWidth="1"/>
    <col min="1293" max="1293" width="13.625" style="2894" customWidth="1"/>
    <col min="1294" max="1536" width="8.875"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8.875" style="2894"/>
    <col min="1543" max="1543" width="9.375" style="2894" bestFit="1" customWidth="1"/>
    <col min="1544" max="1545" width="8.875" style="2894"/>
    <col min="1546" max="1546" width="9.375" style="2894" bestFit="1" customWidth="1"/>
    <col min="1547" max="1547" width="4" style="2894" customWidth="1"/>
    <col min="1548" max="1548" width="5.125" style="2894" customWidth="1"/>
    <col min="1549" max="1549" width="13.625" style="2894" customWidth="1"/>
    <col min="1550" max="1792" width="8.875"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8.875" style="2894"/>
    <col min="1799" max="1799" width="9.375" style="2894" bestFit="1" customWidth="1"/>
    <col min="1800" max="1801" width="8.875" style="2894"/>
    <col min="1802" max="1802" width="9.375" style="2894" bestFit="1" customWidth="1"/>
    <col min="1803" max="1803" width="4" style="2894" customWidth="1"/>
    <col min="1804" max="1804" width="5.125" style="2894" customWidth="1"/>
    <col min="1805" max="1805" width="13.625" style="2894" customWidth="1"/>
    <col min="1806" max="2048" width="8.875"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8.875" style="2894"/>
    <col min="2055" max="2055" width="9.375" style="2894" bestFit="1" customWidth="1"/>
    <col min="2056" max="2057" width="8.875" style="2894"/>
    <col min="2058" max="2058" width="9.375" style="2894" bestFit="1" customWidth="1"/>
    <col min="2059" max="2059" width="4" style="2894" customWidth="1"/>
    <col min="2060" max="2060" width="5.125" style="2894" customWidth="1"/>
    <col min="2061" max="2061" width="13.625" style="2894" customWidth="1"/>
    <col min="2062" max="2304" width="8.875"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8.875" style="2894"/>
    <col min="2311" max="2311" width="9.375" style="2894" bestFit="1" customWidth="1"/>
    <col min="2312" max="2313" width="8.875" style="2894"/>
    <col min="2314" max="2314" width="9.375" style="2894" bestFit="1" customWidth="1"/>
    <col min="2315" max="2315" width="4" style="2894" customWidth="1"/>
    <col min="2316" max="2316" width="5.125" style="2894" customWidth="1"/>
    <col min="2317" max="2317" width="13.625" style="2894" customWidth="1"/>
    <col min="2318" max="2560" width="8.875"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8.875" style="2894"/>
    <col min="2567" max="2567" width="9.375" style="2894" bestFit="1" customWidth="1"/>
    <col min="2568" max="2569" width="8.875" style="2894"/>
    <col min="2570" max="2570" width="9.375" style="2894" bestFit="1" customWidth="1"/>
    <col min="2571" max="2571" width="4" style="2894" customWidth="1"/>
    <col min="2572" max="2572" width="5.125" style="2894" customWidth="1"/>
    <col min="2573" max="2573" width="13.625" style="2894" customWidth="1"/>
    <col min="2574" max="2816" width="8.875"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8.875" style="2894"/>
    <col min="2823" max="2823" width="9.375" style="2894" bestFit="1" customWidth="1"/>
    <col min="2824" max="2825" width="8.875" style="2894"/>
    <col min="2826" max="2826" width="9.375" style="2894" bestFit="1" customWidth="1"/>
    <col min="2827" max="2827" width="4" style="2894" customWidth="1"/>
    <col min="2828" max="2828" width="5.125" style="2894" customWidth="1"/>
    <col min="2829" max="2829" width="13.625" style="2894" customWidth="1"/>
    <col min="2830" max="3072" width="8.875"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8.875" style="2894"/>
    <col min="3079" max="3079" width="9.375" style="2894" bestFit="1" customWidth="1"/>
    <col min="3080" max="3081" width="8.875" style="2894"/>
    <col min="3082" max="3082" width="9.375" style="2894" bestFit="1" customWidth="1"/>
    <col min="3083" max="3083" width="4" style="2894" customWidth="1"/>
    <col min="3084" max="3084" width="5.125" style="2894" customWidth="1"/>
    <col min="3085" max="3085" width="13.625" style="2894" customWidth="1"/>
    <col min="3086" max="3328" width="8.875"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8.875" style="2894"/>
    <col min="3335" max="3335" width="9.375" style="2894" bestFit="1" customWidth="1"/>
    <col min="3336" max="3337" width="8.875" style="2894"/>
    <col min="3338" max="3338" width="9.375" style="2894" bestFit="1" customWidth="1"/>
    <col min="3339" max="3339" width="4" style="2894" customWidth="1"/>
    <col min="3340" max="3340" width="5.125" style="2894" customWidth="1"/>
    <col min="3341" max="3341" width="13.625" style="2894" customWidth="1"/>
    <col min="3342" max="3584" width="8.875"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8.875" style="2894"/>
    <col min="3591" max="3591" width="9.375" style="2894" bestFit="1" customWidth="1"/>
    <col min="3592" max="3593" width="8.875" style="2894"/>
    <col min="3594" max="3594" width="9.375" style="2894" bestFit="1" customWidth="1"/>
    <col min="3595" max="3595" width="4" style="2894" customWidth="1"/>
    <col min="3596" max="3596" width="5.125" style="2894" customWidth="1"/>
    <col min="3597" max="3597" width="13.625" style="2894" customWidth="1"/>
    <col min="3598" max="3840" width="8.875"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8.875" style="2894"/>
    <col min="3847" max="3847" width="9.375" style="2894" bestFit="1" customWidth="1"/>
    <col min="3848" max="3849" width="8.875" style="2894"/>
    <col min="3850" max="3850" width="9.375" style="2894" bestFit="1" customWidth="1"/>
    <col min="3851" max="3851" width="4" style="2894" customWidth="1"/>
    <col min="3852" max="3852" width="5.125" style="2894" customWidth="1"/>
    <col min="3853" max="3853" width="13.625" style="2894" customWidth="1"/>
    <col min="3854" max="4096" width="8.875"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8.875" style="2894"/>
    <col min="4103" max="4103" width="9.375" style="2894" bestFit="1" customWidth="1"/>
    <col min="4104" max="4105" width="8.875" style="2894"/>
    <col min="4106" max="4106" width="9.375" style="2894" bestFit="1" customWidth="1"/>
    <col min="4107" max="4107" width="4" style="2894" customWidth="1"/>
    <col min="4108" max="4108" width="5.125" style="2894" customWidth="1"/>
    <col min="4109" max="4109" width="13.625" style="2894" customWidth="1"/>
    <col min="4110" max="4352" width="8.875"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8.875" style="2894"/>
    <col min="4359" max="4359" width="9.375" style="2894" bestFit="1" customWidth="1"/>
    <col min="4360" max="4361" width="8.875" style="2894"/>
    <col min="4362" max="4362" width="9.375" style="2894" bestFit="1" customWidth="1"/>
    <col min="4363" max="4363" width="4" style="2894" customWidth="1"/>
    <col min="4364" max="4364" width="5.125" style="2894" customWidth="1"/>
    <col min="4365" max="4365" width="13.625" style="2894" customWidth="1"/>
    <col min="4366" max="4608" width="8.875"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8.875" style="2894"/>
    <col min="4615" max="4615" width="9.375" style="2894" bestFit="1" customWidth="1"/>
    <col min="4616" max="4617" width="8.875" style="2894"/>
    <col min="4618" max="4618" width="9.375" style="2894" bestFit="1" customWidth="1"/>
    <col min="4619" max="4619" width="4" style="2894" customWidth="1"/>
    <col min="4620" max="4620" width="5.125" style="2894" customWidth="1"/>
    <col min="4621" max="4621" width="13.625" style="2894" customWidth="1"/>
    <col min="4622" max="4864" width="8.875"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8.875" style="2894"/>
    <col min="4871" max="4871" width="9.375" style="2894" bestFit="1" customWidth="1"/>
    <col min="4872" max="4873" width="8.875" style="2894"/>
    <col min="4874" max="4874" width="9.375" style="2894" bestFit="1" customWidth="1"/>
    <col min="4875" max="4875" width="4" style="2894" customWidth="1"/>
    <col min="4876" max="4876" width="5.125" style="2894" customWidth="1"/>
    <col min="4877" max="4877" width="13.625" style="2894" customWidth="1"/>
    <col min="4878" max="5120" width="8.875"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8.875" style="2894"/>
    <col min="5127" max="5127" width="9.375" style="2894" bestFit="1" customWidth="1"/>
    <col min="5128" max="5129" width="8.875" style="2894"/>
    <col min="5130" max="5130" width="9.375" style="2894" bestFit="1" customWidth="1"/>
    <col min="5131" max="5131" width="4" style="2894" customWidth="1"/>
    <col min="5132" max="5132" width="5.125" style="2894" customWidth="1"/>
    <col min="5133" max="5133" width="13.625" style="2894" customWidth="1"/>
    <col min="5134" max="5376" width="8.875"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8.875" style="2894"/>
    <col min="5383" max="5383" width="9.375" style="2894" bestFit="1" customWidth="1"/>
    <col min="5384" max="5385" width="8.875" style="2894"/>
    <col min="5386" max="5386" width="9.375" style="2894" bestFit="1" customWidth="1"/>
    <col min="5387" max="5387" width="4" style="2894" customWidth="1"/>
    <col min="5388" max="5388" width="5.125" style="2894" customWidth="1"/>
    <col min="5389" max="5389" width="13.625" style="2894" customWidth="1"/>
    <col min="5390" max="5632" width="8.875"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8.875" style="2894"/>
    <col min="5639" max="5639" width="9.375" style="2894" bestFit="1" customWidth="1"/>
    <col min="5640" max="5641" width="8.875" style="2894"/>
    <col min="5642" max="5642" width="9.375" style="2894" bestFit="1" customWidth="1"/>
    <col min="5643" max="5643" width="4" style="2894" customWidth="1"/>
    <col min="5644" max="5644" width="5.125" style="2894" customWidth="1"/>
    <col min="5645" max="5645" width="13.625" style="2894" customWidth="1"/>
    <col min="5646" max="5888" width="8.875"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8.875" style="2894"/>
    <col min="5895" max="5895" width="9.375" style="2894" bestFit="1" customWidth="1"/>
    <col min="5896" max="5897" width="8.875" style="2894"/>
    <col min="5898" max="5898" width="9.375" style="2894" bestFit="1" customWidth="1"/>
    <col min="5899" max="5899" width="4" style="2894" customWidth="1"/>
    <col min="5900" max="5900" width="5.125" style="2894" customWidth="1"/>
    <col min="5901" max="5901" width="13.625" style="2894" customWidth="1"/>
    <col min="5902" max="6144" width="8.875"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8.875" style="2894"/>
    <col min="6151" max="6151" width="9.375" style="2894" bestFit="1" customWidth="1"/>
    <col min="6152" max="6153" width="8.875" style="2894"/>
    <col min="6154" max="6154" width="9.375" style="2894" bestFit="1" customWidth="1"/>
    <col min="6155" max="6155" width="4" style="2894" customWidth="1"/>
    <col min="6156" max="6156" width="5.125" style="2894" customWidth="1"/>
    <col min="6157" max="6157" width="13.625" style="2894" customWidth="1"/>
    <col min="6158" max="6400" width="8.875"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8.875" style="2894"/>
    <col min="6407" max="6407" width="9.375" style="2894" bestFit="1" customWidth="1"/>
    <col min="6408" max="6409" width="8.875" style="2894"/>
    <col min="6410" max="6410" width="9.375" style="2894" bestFit="1" customWidth="1"/>
    <col min="6411" max="6411" width="4" style="2894" customWidth="1"/>
    <col min="6412" max="6412" width="5.125" style="2894" customWidth="1"/>
    <col min="6413" max="6413" width="13.625" style="2894" customWidth="1"/>
    <col min="6414" max="6656" width="8.875"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8.875" style="2894"/>
    <col min="6663" max="6663" width="9.375" style="2894" bestFit="1" customWidth="1"/>
    <col min="6664" max="6665" width="8.875" style="2894"/>
    <col min="6666" max="6666" width="9.375" style="2894" bestFit="1" customWidth="1"/>
    <col min="6667" max="6667" width="4" style="2894" customWidth="1"/>
    <col min="6668" max="6668" width="5.125" style="2894" customWidth="1"/>
    <col min="6669" max="6669" width="13.625" style="2894" customWidth="1"/>
    <col min="6670" max="6912" width="8.875"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8.875" style="2894"/>
    <col min="6919" max="6919" width="9.375" style="2894" bestFit="1" customWidth="1"/>
    <col min="6920" max="6921" width="8.875" style="2894"/>
    <col min="6922" max="6922" width="9.375" style="2894" bestFit="1" customWidth="1"/>
    <col min="6923" max="6923" width="4" style="2894" customWidth="1"/>
    <col min="6924" max="6924" width="5.125" style="2894" customWidth="1"/>
    <col min="6925" max="6925" width="13.625" style="2894" customWidth="1"/>
    <col min="6926" max="7168" width="8.875"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8.875" style="2894"/>
    <col min="7175" max="7175" width="9.375" style="2894" bestFit="1" customWidth="1"/>
    <col min="7176" max="7177" width="8.875" style="2894"/>
    <col min="7178" max="7178" width="9.375" style="2894" bestFit="1" customWidth="1"/>
    <col min="7179" max="7179" width="4" style="2894" customWidth="1"/>
    <col min="7180" max="7180" width="5.125" style="2894" customWidth="1"/>
    <col min="7181" max="7181" width="13.625" style="2894" customWidth="1"/>
    <col min="7182" max="7424" width="8.875"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8.875" style="2894"/>
    <col min="7431" max="7431" width="9.375" style="2894" bestFit="1" customWidth="1"/>
    <col min="7432" max="7433" width="8.875" style="2894"/>
    <col min="7434" max="7434" width="9.375" style="2894" bestFit="1" customWidth="1"/>
    <col min="7435" max="7435" width="4" style="2894" customWidth="1"/>
    <col min="7436" max="7436" width="5.125" style="2894" customWidth="1"/>
    <col min="7437" max="7437" width="13.625" style="2894" customWidth="1"/>
    <col min="7438" max="7680" width="8.875"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8.875" style="2894"/>
    <col min="7687" max="7687" width="9.375" style="2894" bestFit="1" customWidth="1"/>
    <col min="7688" max="7689" width="8.875" style="2894"/>
    <col min="7690" max="7690" width="9.375" style="2894" bestFit="1" customWidth="1"/>
    <col min="7691" max="7691" width="4" style="2894" customWidth="1"/>
    <col min="7692" max="7692" width="5.125" style="2894" customWidth="1"/>
    <col min="7693" max="7693" width="13.625" style="2894" customWidth="1"/>
    <col min="7694" max="7936" width="8.875"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8.875" style="2894"/>
    <col min="7943" max="7943" width="9.375" style="2894" bestFit="1" customWidth="1"/>
    <col min="7944" max="7945" width="8.875" style="2894"/>
    <col min="7946" max="7946" width="9.375" style="2894" bestFit="1" customWidth="1"/>
    <col min="7947" max="7947" width="4" style="2894" customWidth="1"/>
    <col min="7948" max="7948" width="5.125" style="2894" customWidth="1"/>
    <col min="7949" max="7949" width="13.625" style="2894" customWidth="1"/>
    <col min="7950" max="8192" width="8.875"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8.875" style="2894"/>
    <col min="8199" max="8199" width="9.375" style="2894" bestFit="1" customWidth="1"/>
    <col min="8200" max="8201" width="8.875" style="2894"/>
    <col min="8202" max="8202" width="9.375" style="2894" bestFit="1" customWidth="1"/>
    <col min="8203" max="8203" width="4" style="2894" customWidth="1"/>
    <col min="8204" max="8204" width="5.125" style="2894" customWidth="1"/>
    <col min="8205" max="8205" width="13.625" style="2894" customWidth="1"/>
    <col min="8206" max="8448" width="8.875"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8.875" style="2894"/>
    <col min="8455" max="8455" width="9.375" style="2894" bestFit="1" customWidth="1"/>
    <col min="8456" max="8457" width="8.875" style="2894"/>
    <col min="8458" max="8458" width="9.375" style="2894" bestFit="1" customWidth="1"/>
    <col min="8459" max="8459" width="4" style="2894" customWidth="1"/>
    <col min="8460" max="8460" width="5.125" style="2894" customWidth="1"/>
    <col min="8461" max="8461" width="13.625" style="2894" customWidth="1"/>
    <col min="8462" max="8704" width="8.875"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8.875" style="2894"/>
    <col min="8711" max="8711" width="9.375" style="2894" bestFit="1" customWidth="1"/>
    <col min="8712" max="8713" width="8.875" style="2894"/>
    <col min="8714" max="8714" width="9.375" style="2894" bestFit="1" customWidth="1"/>
    <col min="8715" max="8715" width="4" style="2894" customWidth="1"/>
    <col min="8716" max="8716" width="5.125" style="2894" customWidth="1"/>
    <col min="8717" max="8717" width="13.625" style="2894" customWidth="1"/>
    <col min="8718" max="8960" width="8.875"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8.875" style="2894"/>
    <col min="8967" max="8967" width="9.375" style="2894" bestFit="1" customWidth="1"/>
    <col min="8968" max="8969" width="8.875" style="2894"/>
    <col min="8970" max="8970" width="9.375" style="2894" bestFit="1" customWidth="1"/>
    <col min="8971" max="8971" width="4" style="2894" customWidth="1"/>
    <col min="8972" max="8972" width="5.125" style="2894" customWidth="1"/>
    <col min="8973" max="8973" width="13.625" style="2894" customWidth="1"/>
    <col min="8974" max="9216" width="8.875"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8.875" style="2894"/>
    <col min="9223" max="9223" width="9.375" style="2894" bestFit="1" customWidth="1"/>
    <col min="9224" max="9225" width="8.875" style="2894"/>
    <col min="9226" max="9226" width="9.375" style="2894" bestFit="1" customWidth="1"/>
    <col min="9227" max="9227" width="4" style="2894" customWidth="1"/>
    <col min="9228" max="9228" width="5.125" style="2894" customWidth="1"/>
    <col min="9229" max="9229" width="13.625" style="2894" customWidth="1"/>
    <col min="9230" max="9472" width="8.875"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8.875" style="2894"/>
    <col min="9479" max="9479" width="9.375" style="2894" bestFit="1" customWidth="1"/>
    <col min="9480" max="9481" width="8.875" style="2894"/>
    <col min="9482" max="9482" width="9.375" style="2894" bestFit="1" customWidth="1"/>
    <col min="9483" max="9483" width="4" style="2894" customWidth="1"/>
    <col min="9484" max="9484" width="5.125" style="2894" customWidth="1"/>
    <col min="9485" max="9485" width="13.625" style="2894" customWidth="1"/>
    <col min="9486" max="9728" width="8.875"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8.875" style="2894"/>
    <col min="9735" max="9735" width="9.375" style="2894" bestFit="1" customWidth="1"/>
    <col min="9736" max="9737" width="8.875" style="2894"/>
    <col min="9738" max="9738" width="9.375" style="2894" bestFit="1" customWidth="1"/>
    <col min="9739" max="9739" width="4" style="2894" customWidth="1"/>
    <col min="9740" max="9740" width="5.125" style="2894" customWidth="1"/>
    <col min="9741" max="9741" width="13.625" style="2894" customWidth="1"/>
    <col min="9742" max="9984" width="8.875"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8.875" style="2894"/>
    <col min="9991" max="9991" width="9.375" style="2894" bestFit="1" customWidth="1"/>
    <col min="9992" max="9993" width="8.875" style="2894"/>
    <col min="9994" max="9994" width="9.375" style="2894" bestFit="1" customWidth="1"/>
    <col min="9995" max="9995" width="4" style="2894" customWidth="1"/>
    <col min="9996" max="9996" width="5.125" style="2894" customWidth="1"/>
    <col min="9997" max="9997" width="13.625" style="2894" customWidth="1"/>
    <col min="9998" max="10240" width="8.875"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8.875" style="2894"/>
    <col min="10247" max="10247" width="9.375" style="2894" bestFit="1" customWidth="1"/>
    <col min="10248" max="10249" width="8.875" style="2894"/>
    <col min="10250" max="10250" width="9.375" style="2894" bestFit="1" customWidth="1"/>
    <col min="10251" max="10251" width="4" style="2894" customWidth="1"/>
    <col min="10252" max="10252" width="5.125" style="2894" customWidth="1"/>
    <col min="10253" max="10253" width="13.625" style="2894" customWidth="1"/>
    <col min="10254" max="10496" width="8.875"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8.875" style="2894"/>
    <col min="10503" max="10503" width="9.375" style="2894" bestFit="1" customWidth="1"/>
    <col min="10504" max="10505" width="8.875" style="2894"/>
    <col min="10506" max="10506" width="9.375" style="2894" bestFit="1" customWidth="1"/>
    <col min="10507" max="10507" width="4" style="2894" customWidth="1"/>
    <col min="10508" max="10508" width="5.125" style="2894" customWidth="1"/>
    <col min="10509" max="10509" width="13.625" style="2894" customWidth="1"/>
    <col min="10510" max="10752" width="8.875"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8.875" style="2894"/>
    <col min="10759" max="10759" width="9.375" style="2894" bestFit="1" customWidth="1"/>
    <col min="10760" max="10761" width="8.875" style="2894"/>
    <col min="10762" max="10762" width="9.375" style="2894" bestFit="1" customWidth="1"/>
    <col min="10763" max="10763" width="4" style="2894" customWidth="1"/>
    <col min="10764" max="10764" width="5.125" style="2894" customWidth="1"/>
    <col min="10765" max="10765" width="13.625" style="2894" customWidth="1"/>
    <col min="10766" max="11008" width="8.875"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8.875" style="2894"/>
    <col min="11015" max="11015" width="9.375" style="2894" bestFit="1" customWidth="1"/>
    <col min="11016" max="11017" width="8.875" style="2894"/>
    <col min="11018" max="11018" width="9.375" style="2894" bestFit="1" customWidth="1"/>
    <col min="11019" max="11019" width="4" style="2894" customWidth="1"/>
    <col min="11020" max="11020" width="5.125" style="2894" customWidth="1"/>
    <col min="11021" max="11021" width="13.625" style="2894" customWidth="1"/>
    <col min="11022" max="11264" width="8.875"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8.875" style="2894"/>
    <col min="11271" max="11271" width="9.375" style="2894" bestFit="1" customWidth="1"/>
    <col min="11272" max="11273" width="8.875" style="2894"/>
    <col min="11274" max="11274" width="9.375" style="2894" bestFit="1" customWidth="1"/>
    <col min="11275" max="11275" width="4" style="2894" customWidth="1"/>
    <col min="11276" max="11276" width="5.125" style="2894" customWidth="1"/>
    <col min="11277" max="11277" width="13.625" style="2894" customWidth="1"/>
    <col min="11278" max="11520" width="8.875"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8.875" style="2894"/>
    <col min="11527" max="11527" width="9.375" style="2894" bestFit="1" customWidth="1"/>
    <col min="11528" max="11529" width="8.875" style="2894"/>
    <col min="11530" max="11530" width="9.375" style="2894" bestFit="1" customWidth="1"/>
    <col min="11531" max="11531" width="4" style="2894" customWidth="1"/>
    <col min="11532" max="11532" width="5.125" style="2894" customWidth="1"/>
    <col min="11533" max="11533" width="13.625" style="2894" customWidth="1"/>
    <col min="11534" max="11776" width="8.875"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8.875" style="2894"/>
    <col min="11783" max="11783" width="9.375" style="2894" bestFit="1" customWidth="1"/>
    <col min="11784" max="11785" width="8.875" style="2894"/>
    <col min="11786" max="11786" width="9.375" style="2894" bestFit="1" customWidth="1"/>
    <col min="11787" max="11787" width="4" style="2894" customWidth="1"/>
    <col min="11788" max="11788" width="5.125" style="2894" customWidth="1"/>
    <col min="11789" max="11789" width="13.625" style="2894" customWidth="1"/>
    <col min="11790" max="12032" width="8.875"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8.875" style="2894"/>
    <col min="12039" max="12039" width="9.375" style="2894" bestFit="1" customWidth="1"/>
    <col min="12040" max="12041" width="8.875" style="2894"/>
    <col min="12042" max="12042" width="9.375" style="2894" bestFit="1" customWidth="1"/>
    <col min="12043" max="12043" width="4" style="2894" customWidth="1"/>
    <col min="12044" max="12044" width="5.125" style="2894" customWidth="1"/>
    <col min="12045" max="12045" width="13.625" style="2894" customWidth="1"/>
    <col min="12046" max="12288" width="8.875"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8.875" style="2894"/>
    <col min="12295" max="12295" width="9.375" style="2894" bestFit="1" customWidth="1"/>
    <col min="12296" max="12297" width="8.875" style="2894"/>
    <col min="12298" max="12298" width="9.375" style="2894" bestFit="1" customWidth="1"/>
    <col min="12299" max="12299" width="4" style="2894" customWidth="1"/>
    <col min="12300" max="12300" width="5.125" style="2894" customWidth="1"/>
    <col min="12301" max="12301" width="13.625" style="2894" customWidth="1"/>
    <col min="12302" max="12544" width="8.875"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8.875" style="2894"/>
    <col min="12551" max="12551" width="9.375" style="2894" bestFit="1" customWidth="1"/>
    <col min="12552" max="12553" width="8.875" style="2894"/>
    <col min="12554" max="12554" width="9.375" style="2894" bestFit="1" customWidth="1"/>
    <col min="12555" max="12555" width="4" style="2894" customWidth="1"/>
    <col min="12556" max="12556" width="5.125" style="2894" customWidth="1"/>
    <col min="12557" max="12557" width="13.625" style="2894" customWidth="1"/>
    <col min="12558" max="12800" width="8.875"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8.875" style="2894"/>
    <col min="12807" max="12807" width="9.375" style="2894" bestFit="1" customWidth="1"/>
    <col min="12808" max="12809" width="8.875" style="2894"/>
    <col min="12810" max="12810" width="9.375" style="2894" bestFit="1" customWidth="1"/>
    <col min="12811" max="12811" width="4" style="2894" customWidth="1"/>
    <col min="12812" max="12812" width="5.125" style="2894" customWidth="1"/>
    <col min="12813" max="12813" width="13.625" style="2894" customWidth="1"/>
    <col min="12814" max="13056" width="8.875"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8.875" style="2894"/>
    <col min="13063" max="13063" width="9.375" style="2894" bestFit="1" customWidth="1"/>
    <col min="13064" max="13065" width="8.875" style="2894"/>
    <col min="13066" max="13066" width="9.375" style="2894" bestFit="1" customWidth="1"/>
    <col min="13067" max="13067" width="4" style="2894" customWidth="1"/>
    <col min="13068" max="13068" width="5.125" style="2894" customWidth="1"/>
    <col min="13069" max="13069" width="13.625" style="2894" customWidth="1"/>
    <col min="13070" max="13312" width="8.875"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8.875" style="2894"/>
    <col min="13319" max="13319" width="9.375" style="2894" bestFit="1" customWidth="1"/>
    <col min="13320" max="13321" width="8.875" style="2894"/>
    <col min="13322" max="13322" width="9.375" style="2894" bestFit="1" customWidth="1"/>
    <col min="13323" max="13323" width="4" style="2894" customWidth="1"/>
    <col min="13324" max="13324" width="5.125" style="2894" customWidth="1"/>
    <col min="13325" max="13325" width="13.625" style="2894" customWidth="1"/>
    <col min="13326" max="13568" width="8.875"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8.875" style="2894"/>
    <col min="13575" max="13575" width="9.375" style="2894" bestFit="1" customWidth="1"/>
    <col min="13576" max="13577" width="8.875" style="2894"/>
    <col min="13578" max="13578" width="9.375" style="2894" bestFit="1" customWidth="1"/>
    <col min="13579" max="13579" width="4" style="2894" customWidth="1"/>
    <col min="13580" max="13580" width="5.125" style="2894" customWidth="1"/>
    <col min="13581" max="13581" width="13.625" style="2894" customWidth="1"/>
    <col min="13582" max="13824" width="8.875"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8.875" style="2894"/>
    <col min="13831" max="13831" width="9.375" style="2894" bestFit="1" customWidth="1"/>
    <col min="13832" max="13833" width="8.875" style="2894"/>
    <col min="13834" max="13834" width="9.375" style="2894" bestFit="1" customWidth="1"/>
    <col min="13835" max="13835" width="4" style="2894" customWidth="1"/>
    <col min="13836" max="13836" width="5.125" style="2894" customWidth="1"/>
    <col min="13837" max="13837" width="13.625" style="2894" customWidth="1"/>
    <col min="13838" max="14080" width="8.875"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8.875" style="2894"/>
    <col min="14087" max="14087" width="9.375" style="2894" bestFit="1" customWidth="1"/>
    <col min="14088" max="14089" width="8.875" style="2894"/>
    <col min="14090" max="14090" width="9.375" style="2894" bestFit="1" customWidth="1"/>
    <col min="14091" max="14091" width="4" style="2894" customWidth="1"/>
    <col min="14092" max="14092" width="5.125" style="2894" customWidth="1"/>
    <col min="14093" max="14093" width="13.625" style="2894" customWidth="1"/>
    <col min="14094" max="14336" width="8.875"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8.875" style="2894"/>
    <col min="14343" max="14343" width="9.375" style="2894" bestFit="1" customWidth="1"/>
    <col min="14344" max="14345" width="8.875" style="2894"/>
    <col min="14346" max="14346" width="9.375" style="2894" bestFit="1" customWidth="1"/>
    <col min="14347" max="14347" width="4" style="2894" customWidth="1"/>
    <col min="14348" max="14348" width="5.125" style="2894" customWidth="1"/>
    <col min="14349" max="14349" width="13.625" style="2894" customWidth="1"/>
    <col min="14350" max="14592" width="8.875"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8.875" style="2894"/>
    <col min="14599" max="14599" width="9.375" style="2894" bestFit="1" customWidth="1"/>
    <col min="14600" max="14601" width="8.875" style="2894"/>
    <col min="14602" max="14602" width="9.375" style="2894" bestFit="1" customWidth="1"/>
    <col min="14603" max="14603" width="4" style="2894" customWidth="1"/>
    <col min="14604" max="14604" width="5.125" style="2894" customWidth="1"/>
    <col min="14605" max="14605" width="13.625" style="2894" customWidth="1"/>
    <col min="14606" max="14848" width="8.875"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8.875" style="2894"/>
    <col min="14855" max="14855" width="9.375" style="2894" bestFit="1" customWidth="1"/>
    <col min="14856" max="14857" width="8.875" style="2894"/>
    <col min="14858" max="14858" width="9.375" style="2894" bestFit="1" customWidth="1"/>
    <col min="14859" max="14859" width="4" style="2894" customWidth="1"/>
    <col min="14860" max="14860" width="5.125" style="2894" customWidth="1"/>
    <col min="14861" max="14861" width="13.625" style="2894" customWidth="1"/>
    <col min="14862" max="15104" width="8.875"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8.875" style="2894"/>
    <col min="15111" max="15111" width="9.375" style="2894" bestFit="1" customWidth="1"/>
    <col min="15112" max="15113" width="8.875" style="2894"/>
    <col min="15114" max="15114" width="9.375" style="2894" bestFit="1" customWidth="1"/>
    <col min="15115" max="15115" width="4" style="2894" customWidth="1"/>
    <col min="15116" max="15116" width="5.125" style="2894" customWidth="1"/>
    <col min="15117" max="15117" width="13.625" style="2894" customWidth="1"/>
    <col min="15118" max="15360" width="8.875"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8.875" style="2894"/>
    <col min="15367" max="15367" width="9.375" style="2894" bestFit="1" customWidth="1"/>
    <col min="15368" max="15369" width="8.875" style="2894"/>
    <col min="15370" max="15370" width="9.375" style="2894" bestFit="1" customWidth="1"/>
    <col min="15371" max="15371" width="4" style="2894" customWidth="1"/>
    <col min="15372" max="15372" width="5.125" style="2894" customWidth="1"/>
    <col min="15373" max="15373" width="13.625" style="2894" customWidth="1"/>
    <col min="15374" max="15616" width="8.875"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8.875" style="2894"/>
    <col min="15623" max="15623" width="9.375" style="2894" bestFit="1" customWidth="1"/>
    <col min="15624" max="15625" width="8.875" style="2894"/>
    <col min="15626" max="15626" width="9.375" style="2894" bestFit="1" customWidth="1"/>
    <col min="15627" max="15627" width="4" style="2894" customWidth="1"/>
    <col min="15628" max="15628" width="5.125" style="2894" customWidth="1"/>
    <col min="15629" max="15629" width="13.625" style="2894" customWidth="1"/>
    <col min="15630" max="15872" width="8.875"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8.875" style="2894"/>
    <col min="15879" max="15879" width="9.375" style="2894" bestFit="1" customWidth="1"/>
    <col min="15880" max="15881" width="8.875" style="2894"/>
    <col min="15882" max="15882" width="9.375" style="2894" bestFit="1" customWidth="1"/>
    <col min="15883" max="15883" width="4" style="2894" customWidth="1"/>
    <col min="15884" max="15884" width="5.125" style="2894" customWidth="1"/>
    <col min="15885" max="15885" width="13.625" style="2894" customWidth="1"/>
    <col min="15886" max="16128" width="8.875"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8.875" style="2894"/>
    <col min="16135" max="16135" width="9.375" style="2894" bestFit="1" customWidth="1"/>
    <col min="16136" max="16137" width="8.875" style="2894"/>
    <col min="16138" max="16138" width="9.375" style="2894" bestFit="1" customWidth="1"/>
    <col min="16139" max="16139" width="4" style="2894" customWidth="1"/>
    <col min="16140" max="16140" width="5.125" style="2894" customWidth="1"/>
    <col min="16141" max="16141" width="13.625" style="2894" customWidth="1"/>
    <col min="16142" max="16384" width="8.875" style="2894"/>
  </cols>
  <sheetData>
    <row r="1" spans="1:257" s="2954" customFormat="1" ht="14.25" thickBot="1">
      <c r="A1" s="2953"/>
      <c r="B1" s="2955" t="s">
        <v>2784</v>
      </c>
      <c r="C1" s="2959">
        <f>项目基本情况!D3</f>
        <v>43621</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4</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C16" sqref="C1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62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3190</v>
      </c>
      <c r="D1" s="3077" t="s">
        <v>3289</v>
      </c>
      <c r="E1" s="2351" t="s">
        <v>2371</v>
      </c>
      <c r="F1" s="2352">
        <f ca="1">J53</f>
        <v>35.94</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55504</v>
      </c>
      <c r="C2" s="2042"/>
      <c r="D2" s="2040"/>
      <c r="E2" s="2041"/>
      <c r="F2" s="2041"/>
      <c r="G2" s="1576"/>
      <c r="H2" s="2042"/>
      <c r="I2" s="2042"/>
      <c r="J2" s="2042"/>
      <c r="K2" s="2043"/>
      <c r="L2" s="2042"/>
      <c r="M2" s="2042"/>
    </row>
    <row r="3" spans="1:33" ht="18" customHeight="1" thickBot="1">
      <c r="A3" s="833" t="s">
        <v>1727</v>
      </c>
      <c r="B3" s="834">
        <f ca="1">IF(ISERROR(B2*10000/F43),0,ROUND(B2*10000/F43,0))</f>
        <v>15578</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2455</v>
      </c>
      <c r="C5" s="55">
        <f ca="1">C6+C10+C12</f>
        <v>3511</v>
      </c>
      <c r="D5" s="2460" t="s">
        <v>2458</v>
      </c>
      <c r="E5" s="2454"/>
      <c r="F5" s="2455"/>
      <c r="G5" s="1578"/>
      <c r="H5" s="781">
        <v>1</v>
      </c>
      <c r="I5" s="782" t="s">
        <v>2455</v>
      </c>
      <c r="J5" s="55">
        <f ca="1">J6+J10+J12</f>
        <v>0</v>
      </c>
      <c r="K5" s="2460" t="s">
        <v>2458</v>
      </c>
      <c r="L5" s="2454"/>
      <c r="M5" s="2455"/>
    </row>
    <row r="6" spans="1:33" ht="18" customHeight="1">
      <c r="A6" s="1815" t="s">
        <v>1824</v>
      </c>
      <c r="B6" s="3545" t="s">
        <v>2460</v>
      </c>
      <c r="C6" s="783">
        <f ca="1">ROUND(F6*F8*F7*(1-F9)/10000,0)</f>
        <v>3511</v>
      </c>
      <c r="D6" s="2461" t="s">
        <v>2459</v>
      </c>
      <c r="E6" s="784" t="s">
        <v>1738</v>
      </c>
      <c r="F6" s="785">
        <f ca="1">INDIRECT("'数据-取费表'!u"&amp;$G$1)</f>
        <v>3</v>
      </c>
      <c r="G6" s="1578"/>
      <c r="H6" s="2468" t="s">
        <v>2465</v>
      </c>
      <c r="I6" s="3545" t="s">
        <v>2460</v>
      </c>
      <c r="J6" s="783">
        <f ca="1">ROUND(M6*M8*M7*(1-M9)/10000,0)</f>
        <v>0</v>
      </c>
      <c r="K6" s="341" t="s">
        <v>1737</v>
      </c>
      <c r="L6" s="784" t="s">
        <v>1738</v>
      </c>
      <c r="M6" s="785">
        <f ca="1">INDIRECT("'数据-取费表'!z"&amp;$G$1)</f>
        <v>0</v>
      </c>
    </row>
    <row r="7" spans="1:33" ht="18" customHeight="1">
      <c r="A7" s="2464"/>
      <c r="B7" s="3546"/>
      <c r="C7" s="788"/>
      <c r="D7" s="789"/>
      <c r="E7" s="784" t="s">
        <v>1739</v>
      </c>
      <c r="F7" s="785">
        <f ca="1">IF(INDIRECT("'数据-取费表'!ah"&amp;$G$1)="",INDIRECT("'数据-取费表'!k"&amp;$G$1),INDIRECT("'数据-取费表'!ah"&amp;$G$1))</f>
        <v>35629</v>
      </c>
      <c r="G7" s="1578"/>
      <c r="H7" s="2453"/>
      <c r="I7" s="3546"/>
      <c r="J7" s="788"/>
      <c r="K7" s="789"/>
      <c r="L7" s="784" t="s">
        <v>1739</v>
      </c>
      <c r="M7" s="785">
        <f ca="1">F7</f>
        <v>35629</v>
      </c>
    </row>
    <row r="8" spans="1:33" ht="18" customHeight="1">
      <c r="A8" s="2457"/>
      <c r="B8" s="3547"/>
      <c r="C8" s="788"/>
      <c r="D8" s="789"/>
      <c r="E8" s="784" t="s">
        <v>1740</v>
      </c>
      <c r="F8" s="785">
        <f ca="1">INDIRECT("'数据-取费表'!ai"&amp;$G$1)</f>
        <v>365</v>
      </c>
      <c r="G8" s="1578"/>
      <c r="H8" s="2453"/>
      <c r="I8" s="3547"/>
      <c r="J8" s="788"/>
      <c r="K8" s="789"/>
      <c r="L8" s="784" t="s">
        <v>1740</v>
      </c>
      <c r="M8" s="785">
        <f ca="1">INDIRECT("'数据-取费表'!ai"&amp;$G$1)</f>
        <v>365</v>
      </c>
    </row>
    <row r="9" spans="1:33" ht="18" customHeight="1">
      <c r="A9" s="786"/>
      <c r="B9" s="3548"/>
      <c r="C9" s="788"/>
      <c r="D9" s="789"/>
      <c r="E9" s="784" t="s">
        <v>1741</v>
      </c>
      <c r="F9" s="794">
        <f ca="1">INDIRECT("'数据-取费表'!w"&amp;$G$1)</f>
        <v>0.1</v>
      </c>
      <c r="G9" s="1578"/>
      <c r="H9" s="2469"/>
      <c r="I9" s="3547"/>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2970</v>
      </c>
      <c r="E10" s="2462" t="s">
        <v>2461</v>
      </c>
      <c r="F10" s="2585"/>
      <c r="G10" s="1578"/>
      <c r="H10" s="2525" t="s">
        <v>2466</v>
      </c>
      <c r="I10" s="2530" t="s">
        <v>2456</v>
      </c>
      <c r="J10" s="783">
        <f ca="1">ROUND(IF(M10="押一",J6/12*M11,IF(M10="押二",J6/12*2*M11,IF(M10="押三",J6/12*3*M11,J11*M11))),0)</f>
        <v>0</v>
      </c>
      <c r="K10" s="2465" t="s">
        <v>2970</v>
      </c>
      <c r="L10" s="2462" t="s">
        <v>2461</v>
      </c>
      <c r="M10" s="2585"/>
    </row>
    <row r="11" spans="1:33" ht="18" customHeight="1">
      <c r="A11" s="790"/>
      <c r="B11" s="2459" t="s">
        <v>2570</v>
      </c>
      <c r="C11" s="2463"/>
      <c r="D11" s="789"/>
      <c r="E11" s="2462" t="s">
        <v>2462</v>
      </c>
      <c r="F11" s="796">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1742</v>
      </c>
      <c r="C13" s="792">
        <f ca="1">ROUND(C29*F13,0)</f>
        <v>15949</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9081</v>
      </c>
      <c r="D14" s="1964" t="s">
        <v>1745</v>
      </c>
      <c r="E14" s="1965"/>
      <c r="F14" s="805"/>
      <c r="G14" s="1578"/>
      <c r="H14" s="1634" t="s">
        <v>1830</v>
      </c>
      <c r="I14" s="2216" t="s">
        <v>2822</v>
      </c>
      <c r="J14" s="53">
        <f ca="1">C29</f>
        <v>15949</v>
      </c>
      <c r="K14" s="26"/>
      <c r="L14" s="801"/>
      <c r="M14" s="802"/>
    </row>
    <row r="15" spans="1:33" s="2049" customFormat="1" ht="18" customHeight="1" thickBot="1">
      <c r="A15" s="1633" t="s">
        <v>1885</v>
      </c>
      <c r="B15" s="784" t="s">
        <v>647</v>
      </c>
      <c r="C15" s="53">
        <f ca="1">ROUND(C14*F15,0)</f>
        <v>272</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1579</v>
      </c>
      <c r="K16" s="1806" t="s">
        <v>1750</v>
      </c>
      <c r="L16" s="2450"/>
      <c r="M16" s="2455"/>
    </row>
    <row r="17" spans="1:33" s="2049" customFormat="1" ht="18" customHeight="1">
      <c r="A17" s="1633" t="s">
        <v>1887</v>
      </c>
      <c r="B17" s="784" t="s">
        <v>653</v>
      </c>
      <c r="C17" s="53">
        <f ca="1">ROUND(F17*(F43+INDIRECT("'数据-取费表'!S"&amp;$G$1))/10000,0)</f>
        <v>793</v>
      </c>
      <c r="D17" s="784" t="s">
        <v>1751</v>
      </c>
      <c r="E17" s="784" t="s">
        <v>1752</v>
      </c>
      <c r="F17" s="56">
        <f>'数据-取费表'!B35</f>
        <v>200</v>
      </c>
      <c r="G17" s="1579"/>
      <c r="H17" s="1634" t="s">
        <v>1830</v>
      </c>
      <c r="I17" s="784" t="s">
        <v>656</v>
      </c>
      <c r="J17" s="53">
        <f ca="1">ROUND(IF(项目基本情况!B11="自然人",J5*M17,J18+J19+J20),0)</f>
        <v>1340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136</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10282</v>
      </c>
      <c r="D19" s="261" t="s">
        <v>1757</v>
      </c>
      <c r="E19" s="1967"/>
      <c r="F19" s="56"/>
      <c r="G19" s="1578"/>
      <c r="H19" s="1633" t="s">
        <v>1885</v>
      </c>
      <c r="I19" s="784" t="s">
        <v>1758</v>
      </c>
      <c r="J19" s="53">
        <f ca="1">IF(K19="按租金收入计税",ROUND(J5*M19,1),ROUND(C29*F33*0.7,1))</f>
        <v>1339.7</v>
      </c>
      <c r="K19" s="811" t="s">
        <v>665</v>
      </c>
      <c r="L19" s="784" t="s">
        <v>1747</v>
      </c>
      <c r="M19" s="809">
        <f>IF(K19="按租金收入计税",'数据-取费表'!B51,'数据-取费表'!B50)</f>
        <v>1.2E-2</v>
      </c>
    </row>
    <row r="20" spans="1:33" s="2049" customFormat="1" ht="18" customHeight="1">
      <c r="A20" s="1634" t="s">
        <v>1889</v>
      </c>
      <c r="B20" s="784" t="s">
        <v>666</v>
      </c>
      <c r="C20" s="53">
        <f ca="1">ROUND(C19*F20,0)</f>
        <v>206</v>
      </c>
      <c r="D20" s="812" t="s">
        <v>1759</v>
      </c>
      <c r="E20" s="784" t="s">
        <v>1747</v>
      </c>
      <c r="F20" s="809">
        <f>'数据-取费表'!B37</f>
        <v>0.02</v>
      </c>
      <c r="G20" s="1579"/>
      <c r="H20" s="1636" t="s">
        <v>1880</v>
      </c>
      <c r="I20" s="341" t="s">
        <v>1760</v>
      </c>
      <c r="J20" s="54">
        <f ca="1">ROUND(M20*M21/10000,0)</f>
        <v>0</v>
      </c>
      <c r="K20" s="814" t="s">
        <v>1761</v>
      </c>
      <c r="L20" s="784" t="s">
        <v>1762</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8433.07</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239</v>
      </c>
      <c r="K22" s="2448" t="s">
        <v>1769</v>
      </c>
      <c r="L22" s="784" t="s">
        <v>1747</v>
      </c>
      <c r="M22" s="817">
        <f ca="1">INDIRECT("'数据-取费表'!Ak"&amp;$G$1)</f>
        <v>1.4999999999999999E-2</v>
      </c>
    </row>
    <row r="23" spans="1:33" s="2049" customFormat="1" ht="18" customHeight="1">
      <c r="A23" s="1633" t="s">
        <v>1831</v>
      </c>
      <c r="B23" s="784" t="s">
        <v>2532</v>
      </c>
      <c r="C23" s="53">
        <f ca="1">ROUND(IF('数据-取费表'!B22&lt;=1,(C19+C20)*F24*F23/2,(C19+C20)*(POWER((1+F24),F23/2)-1)),0)</f>
        <v>1020</v>
      </c>
      <c r="D23" s="2535" t="str">
        <f>IF(F23&lt;=1,"(建造成本+管理费用)×利率×(建设周期÷2)","(建造成本+管理费用)×((1+利率)^(建设周期÷2)-1)")</f>
        <v>(建造成本+管理费用)×((1+利率)^(建设周期÷2)-1)</v>
      </c>
      <c r="E23" s="784" t="s">
        <v>1770</v>
      </c>
      <c r="F23" s="640">
        <f>'数据-取费表'!B20</f>
        <v>4</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2818</v>
      </c>
      <c r="J25" s="792">
        <f ca="1">J5-J16</f>
        <v>-1579</v>
      </c>
      <c r="K25" s="2512" t="s">
        <v>1777</v>
      </c>
      <c r="L25" s="2513"/>
      <c r="M25" s="2514"/>
    </row>
    <row r="26" spans="1:33" ht="18" customHeight="1">
      <c r="A26" s="1633" t="s">
        <v>1831</v>
      </c>
      <c r="B26" s="784" t="s">
        <v>2435</v>
      </c>
      <c r="C26" s="53">
        <f ca="1">ROUND((C19+C20)*F26,0)</f>
        <v>3146</v>
      </c>
      <c r="D26" s="812" t="s">
        <v>1778</v>
      </c>
      <c r="E26" s="795" t="s">
        <v>1779</v>
      </c>
      <c r="F26" s="794">
        <f ca="1">INDIRECT("'数据-取费表'!q"&amp;$G$1)</f>
        <v>0.3</v>
      </c>
      <c r="G26" s="1578"/>
      <c r="H26" s="2466" t="s">
        <v>1780</v>
      </c>
      <c r="I26" s="2217" t="s">
        <v>2823</v>
      </c>
      <c r="J26" s="783">
        <f ca="1">IF(J5&lt;&gt;0,ROUND(J25*(1-((1+M28)/(1+M26))^M27)/(M26-M28),0),0)</f>
        <v>0</v>
      </c>
      <c r="K26" s="814" t="s">
        <v>1781</v>
      </c>
      <c r="L26" s="784" t="s">
        <v>2416</v>
      </c>
      <c r="M26" s="794">
        <f ca="1">INDIRECT("'数据-取费表'!I"&amp;$G$1)</f>
        <v>0.06</v>
      </c>
    </row>
    <row r="27" spans="1:33" ht="18" customHeight="1">
      <c r="A27" s="1633" t="s">
        <v>1832</v>
      </c>
      <c r="B27" s="784" t="s">
        <v>686</v>
      </c>
      <c r="C27" s="53">
        <f ca="1">ROUND(F21*F26,4)</f>
        <v>6.0000000000000001E-3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2297</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15949</v>
      </c>
      <c r="D29" s="2509"/>
      <c r="E29" s="2510"/>
      <c r="F29" s="2511"/>
      <c r="G29" s="1579"/>
      <c r="H29" s="823" t="s">
        <v>1787</v>
      </c>
      <c r="I29" s="824" t="s">
        <v>1788</v>
      </c>
      <c r="J29" s="825">
        <f ca="1">ROUND(J26/(1+F40)^F41,0)</f>
        <v>0</v>
      </c>
      <c r="K29" s="826" t="s">
        <v>1789</v>
      </c>
      <c r="L29" s="827"/>
      <c r="M29" s="828">
        <f ca="1">INDIRECT("'数据-取费表'!k"&amp;$G$1)</f>
        <v>35629</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924</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608.6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187.3</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421.3</v>
      </c>
      <c r="D33" s="811" t="s">
        <v>3288</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0</v>
      </c>
      <c r="G34" s="2047"/>
      <c r="H34" s="2050"/>
      <c r="I34" s="835" t="s">
        <v>1813</v>
      </c>
      <c r="J34" s="836"/>
      <c r="K34" s="2065"/>
      <c r="L34" s="2064"/>
      <c r="M34" s="2064"/>
    </row>
    <row r="35" spans="1:18" ht="18" customHeight="1">
      <c r="A35" s="815"/>
      <c r="B35" s="793"/>
      <c r="C35" s="69"/>
      <c r="D35" s="816"/>
      <c r="E35" s="784" t="s">
        <v>1801</v>
      </c>
      <c r="F35" s="785">
        <f ca="1">INDIRECT("'数据-取费表'!r"&amp;$G$1)</f>
        <v>8433.07</v>
      </c>
      <c r="G35" s="2047"/>
      <c r="H35" s="2050"/>
      <c r="I35" s="837" t="s">
        <v>1814</v>
      </c>
      <c r="J35" s="838">
        <f ca="1">ROUND(C13*J36,0)</f>
        <v>1356</v>
      </c>
      <c r="K35" s="2063"/>
      <c r="L35" s="2062"/>
      <c r="M35" s="2062"/>
    </row>
    <row r="36" spans="1:18" ht="18" customHeight="1">
      <c r="A36" s="1634" t="s">
        <v>1889</v>
      </c>
      <c r="B36" s="784" t="s">
        <v>1802</v>
      </c>
      <c r="C36" s="53">
        <f ca="1">ROUND(C29*F36,1)</f>
        <v>239.2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23.9</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52.7</v>
      </c>
      <c r="D38" s="2509" t="s">
        <v>1805</v>
      </c>
      <c r="E38" s="2510" t="s">
        <v>1796</v>
      </c>
      <c r="F38" s="2506">
        <f ca="1">INDIRECT("'数据-取费表'!Am"&amp;$G$1)</f>
        <v>1.4999999999999999E-2</v>
      </c>
      <c r="G38" s="2047"/>
      <c r="H38" s="2062"/>
      <c r="I38" s="843" t="s">
        <v>1817</v>
      </c>
      <c r="J38" s="844"/>
      <c r="K38" s="2068"/>
      <c r="L38" s="2062"/>
      <c r="M38" s="2062"/>
    </row>
    <row r="39" spans="1:18" ht="24.6" customHeight="1" thickTop="1">
      <c r="A39" s="1814" t="s">
        <v>1894</v>
      </c>
      <c r="B39" s="2962" t="s">
        <v>2818</v>
      </c>
      <c r="C39" s="792">
        <f ca="1">C5-C30</f>
        <v>2587</v>
      </c>
      <c r="D39" s="2512" t="s">
        <v>1806</v>
      </c>
      <c r="E39" s="2513"/>
      <c r="F39" s="2514"/>
      <c r="G39" s="2047"/>
      <c r="H39" s="2062"/>
      <c r="I39" s="837" t="s">
        <v>1818</v>
      </c>
      <c r="J39" s="845">
        <f ca="1">ROUND(J35/C39,3)</f>
        <v>0.52400000000000002</v>
      </c>
      <c r="K39" s="2068"/>
      <c r="L39" s="2062"/>
      <c r="M39" s="2062"/>
    </row>
    <row r="40" spans="1:18" ht="18" customHeight="1">
      <c r="A40" s="781" t="s">
        <v>1895</v>
      </c>
      <c r="B40" s="2217" t="s">
        <v>2299</v>
      </c>
      <c r="C40" s="783">
        <f ca="1">ROUND(C39*(1-((1+F42)/(1+F40))^F41)/(F40-F42),0)</f>
        <v>55504</v>
      </c>
      <c r="D40" s="814" t="s">
        <v>1807</v>
      </c>
      <c r="E40" s="784" t="s">
        <v>2416</v>
      </c>
      <c r="F40" s="794">
        <f ca="1">INDIRECT("'数据-取费表'!I"&amp;$G$1)</f>
        <v>0.06</v>
      </c>
      <c r="G40" s="2047"/>
      <c r="H40" s="2047"/>
      <c r="I40" s="837" t="s">
        <v>1819</v>
      </c>
      <c r="J40" s="845">
        <f ca="1">1-J39</f>
        <v>0.47599999999999998</v>
      </c>
      <c r="K40" s="2068"/>
      <c r="L40" s="2047"/>
      <c r="M40" s="2047"/>
    </row>
    <row r="41" spans="1:18" ht="18" customHeight="1">
      <c r="A41" s="786"/>
      <c r="B41" s="787"/>
      <c r="C41" s="788"/>
      <c r="D41" s="821" t="s">
        <v>1808</v>
      </c>
      <c r="E41" s="784" t="s">
        <v>2960</v>
      </c>
      <c r="F41" s="822">
        <f ca="1">IF(INDIRECT("'数据-取费表'!af"&amp;$G$1)=0,INDIRECT("'数据-取费表'!ae"&amp;$G$1),INDIRECT("'数据-取费表'!af"&amp;$G$1))</f>
        <v>35.94</v>
      </c>
      <c r="G41" s="2047"/>
      <c r="H41" s="1973"/>
      <c r="I41" s="843" t="s">
        <v>1820</v>
      </c>
      <c r="J41" s="846"/>
      <c r="K41" s="2067"/>
      <c r="L41" s="1973"/>
      <c r="M41" s="1973"/>
    </row>
    <row r="42" spans="1:18" ht="18" customHeight="1">
      <c r="A42" s="790"/>
      <c r="B42" s="791"/>
      <c r="C42" s="792"/>
      <c r="D42" s="816"/>
      <c r="E42" s="784" t="s">
        <v>1809</v>
      </c>
      <c r="F42" s="794">
        <f ca="1">INDIRECT("'数据-取费表'!v"&amp;$G$1)</f>
        <v>0.03</v>
      </c>
      <c r="G42" s="2047"/>
      <c r="H42" s="1973"/>
      <c r="I42" s="847" t="s">
        <v>1821</v>
      </c>
      <c r="J42" s="845">
        <f ca="1">ROUND(C13/C40,3)</f>
        <v>0.28699999999999998</v>
      </c>
      <c r="K42" s="2067"/>
      <c r="L42" s="1973"/>
      <c r="M42" s="1973"/>
    </row>
    <row r="43" spans="1:18" ht="18" customHeight="1" thickBot="1">
      <c r="A43" s="823" t="s">
        <v>1787</v>
      </c>
      <c r="B43" s="824" t="s">
        <v>1810</v>
      </c>
      <c r="C43" s="825">
        <f ca="1">ROUND(C40*10000/F43,0)</f>
        <v>15578</v>
      </c>
      <c r="D43" s="826" t="s">
        <v>1811</v>
      </c>
      <c r="E43" s="827" t="s">
        <v>1812</v>
      </c>
      <c r="F43" s="828">
        <f ca="1">INDIRECT("'数据-取费表'!k"&amp;$G$1)</f>
        <v>35629</v>
      </c>
      <c r="G43" s="2047"/>
      <c r="H43" s="1973"/>
      <c r="I43" s="847" t="s">
        <v>1822</v>
      </c>
      <c r="J43" s="848">
        <f ca="1">1-J42</f>
        <v>0.71300000000000008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-59347</v>
      </c>
      <c r="D46" s="2070"/>
      <c r="E46" s="2070"/>
      <c r="F46" s="2070"/>
      <c r="I46" s="2342" t="s">
        <v>2340</v>
      </c>
      <c r="J46" s="2343"/>
      <c r="K46" s="2344"/>
      <c r="L46" s="3109">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3287</v>
      </c>
      <c r="K47" s="3106" t="s">
        <v>2346</v>
      </c>
      <c r="L47" s="3110">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2294</v>
      </c>
      <c r="F48" s="2341"/>
      <c r="G48" s="2075"/>
      <c r="I48" s="3078" t="s">
        <v>2342</v>
      </c>
      <c r="J48" s="2346" t="s">
        <v>2347</v>
      </c>
      <c r="K48" s="3107" t="s">
        <v>2348</v>
      </c>
      <c r="L48" s="1893">
        <f ca="1">INDIRECT("'数据-取费表'!f"&amp;$G$1)</f>
        <v>39.94</v>
      </c>
      <c r="O48" s="2362" t="s">
        <v>2376</v>
      </c>
      <c r="P48" s="2363" t="s">
        <v>2402</v>
      </c>
      <c r="Q48" s="2364">
        <f ca="1">C40+J29</f>
        <v>55504</v>
      </c>
      <c r="R48" s="2363" t="s">
        <v>2377</v>
      </c>
    </row>
    <row r="49" spans="1:18" s="2044" customFormat="1" ht="18" customHeight="1" thickBot="1">
      <c r="A49" s="786"/>
      <c r="B49" s="787"/>
      <c r="C49" s="788"/>
      <c r="D49" s="789"/>
      <c r="E49" s="784" t="s">
        <v>1739</v>
      </c>
      <c r="F49" s="785">
        <f ca="1">F7</f>
        <v>35629</v>
      </c>
      <c r="G49" s="2075"/>
      <c r="H49" s="2078"/>
      <c r="I49" s="3078" t="s">
        <v>2343</v>
      </c>
      <c r="J49" s="2347"/>
      <c r="K49" s="3108"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8" t="s">
        <v>2344</v>
      </c>
      <c r="J50" s="3103">
        <f>SUMPRODUCT((I63:I65=J47)*(J62:L62=J48)*(J63:L65))</f>
        <v>60</v>
      </c>
      <c r="K50" s="3108" t="s">
        <v>2350</v>
      </c>
      <c r="L50" s="2348"/>
      <c r="O50" s="2365" t="s">
        <v>2380</v>
      </c>
      <c r="P50" s="2363" t="s">
        <v>2404</v>
      </c>
      <c r="Q50" s="2364">
        <f ca="1">C29</f>
        <v>15949</v>
      </c>
      <c r="R50" s="2363" t="s">
        <v>2377</v>
      </c>
    </row>
    <row r="51" spans="1:18" s="2044" customFormat="1" ht="18" customHeight="1" thickBot="1">
      <c r="A51" s="786"/>
      <c r="B51" s="787"/>
      <c r="C51" s="788"/>
      <c r="D51" s="789"/>
      <c r="E51" s="784" t="s">
        <v>640</v>
      </c>
      <c r="F51" s="2335"/>
      <c r="H51" s="2078"/>
      <c r="I51" s="3100" t="s">
        <v>2345</v>
      </c>
      <c r="J51" s="3104">
        <f>IF(J49="",J50,J49+J50-YEAR('数据-取费表'!B2))</f>
        <v>60</v>
      </c>
      <c r="K51" s="3078" t="s">
        <v>2351</v>
      </c>
      <c r="L51" s="3111">
        <f ca="1">ROUND(-PV(INDIRECT("'数据-取费表'!h"&amp;$G$1),L48,(C39-C13*J36),0),0)</f>
        <v>21118</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2971</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2974</v>
      </c>
      <c r="J53" s="3105">
        <f ca="1">IF(M47="住宅",IF(D1="——",MAX(J51,L48),MAX(J51,L48-'数据-取费表'!B20)),IF(D1="——",MIN(J51,L48),MIN(J51,L48-'数据-取费表'!B20)))</f>
        <v>35.94</v>
      </c>
      <c r="K53" s="3589" t="s">
        <v>2962</v>
      </c>
      <c r="L53" s="3590"/>
      <c r="O53" s="2365" t="s">
        <v>2385</v>
      </c>
      <c r="P53" s="2363" t="s">
        <v>2386</v>
      </c>
      <c r="Q53" s="2364">
        <f ca="1">J53</f>
        <v>35.94</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55504</v>
      </c>
      <c r="R54" s="2367" t="s">
        <v>2389</v>
      </c>
    </row>
    <row r="55" spans="1:18" s="2044" customFormat="1" ht="18" customHeight="1" thickTop="1" thickBot="1">
      <c r="A55" s="797">
        <v>2</v>
      </c>
      <c r="B55" s="798" t="s">
        <v>644</v>
      </c>
      <c r="C55" s="799">
        <f ca="1">C13</f>
        <v>15949</v>
      </c>
      <c r="D55" s="795"/>
      <c r="E55" s="795"/>
      <c r="F55" s="800"/>
      <c r="I55" s="3114" t="s">
        <v>2352</v>
      </c>
      <c r="J55" s="3053" t="e">
        <f ca="1">ROUND(IF(J47="钢混",J57/J50,1-(1-2%)*(J50-J57)/J50),3)</f>
        <v>#VALUE!</v>
      </c>
      <c r="K55" s="3115" t="s">
        <v>2353</v>
      </c>
      <c r="L55" s="2350"/>
      <c r="O55" s="2368" t="s">
        <v>2408</v>
      </c>
      <c r="P55" s="1578"/>
      <c r="Q55" s="1589"/>
      <c r="R55" s="1578"/>
    </row>
    <row r="56" spans="1:18" s="2044" customFormat="1" ht="42.75" customHeight="1" thickBot="1">
      <c r="A56" s="1635"/>
      <c r="B56" s="2216" t="s">
        <v>2300</v>
      </c>
      <c r="C56" s="53">
        <f ca="1">C29</f>
        <v>15949</v>
      </c>
      <c r="D56" s="2603"/>
      <c r="E56" s="784"/>
      <c r="F56" s="809"/>
      <c r="I56" s="3116" t="s">
        <v>2354</v>
      </c>
      <c r="J56" s="3126" t="s">
        <v>1678</v>
      </c>
      <c r="K56" s="3078"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263</v>
      </c>
      <c r="D57" s="26" t="s">
        <v>1750</v>
      </c>
      <c r="E57" s="2604"/>
      <c r="F57" s="56"/>
      <c r="I57" s="3117" t="s">
        <v>2355</v>
      </c>
      <c r="J57" s="3118" t="str">
        <f ca="1">IF(OR(M47="住宅",J51&lt;L48,J56="是"),"——",J51-L48)</f>
        <v>——</v>
      </c>
      <c r="K57" s="3078" t="s">
        <v>2360</v>
      </c>
      <c r="L57" s="1893" t="str">
        <f ca="1">IF(L48&lt;J51,"——",IF(L55="比较法",L49,IF(L55="基准地价",L50,L51)))</f>
        <v>——</v>
      </c>
      <c r="O57" s="2362" t="s">
        <v>2376</v>
      </c>
      <c r="P57" s="2363" t="s">
        <v>2406</v>
      </c>
      <c r="Q57" s="2364">
        <f ca="1">C40+J29</f>
        <v>55504</v>
      </c>
      <c r="R57" s="2363" t="s">
        <v>2377</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7"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7" t="s">
        <v>2357</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9" t="s">
        <v>2358</v>
      </c>
      <c r="J60" s="3120" t="str">
        <f ca="1">IF(OR(M47="住宅",J51&lt;L48,J56="是"),"0",ROUND(J59/(1+J52)^J53,0))</f>
        <v>0</v>
      </c>
      <c r="K60" s="3121" t="s">
        <v>2363</v>
      </c>
      <c r="L60" s="3120">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8433.07</v>
      </c>
      <c r="I62" s="3122" t="s">
        <v>2364</v>
      </c>
      <c r="J62" s="3123" t="s">
        <v>2365</v>
      </c>
      <c r="K62" s="3123" t="s">
        <v>2366</v>
      </c>
      <c r="L62" s="3123" t="s">
        <v>2347</v>
      </c>
      <c r="M62" s="3124" t="s">
        <v>2938</v>
      </c>
      <c r="O62" s="2365" t="s">
        <v>2385</v>
      </c>
      <c r="P62" s="2363" t="str">
        <f>K59</f>
        <v>建设期及建筑物耐用年限下的土地年期修正系数Kn</v>
      </c>
      <c r="Q62" s="2364" t="e">
        <f ca="1">L59</f>
        <v>#DIV/0!</v>
      </c>
      <c r="R62" s="2367" t="s">
        <v>2394</v>
      </c>
    </row>
    <row r="63" spans="1:18" s="2044" customFormat="1" ht="15.75" thickBot="1">
      <c r="A63" s="1634" t="s">
        <v>1889</v>
      </c>
      <c r="B63" s="784" t="s">
        <v>676</v>
      </c>
      <c r="C63" s="53">
        <f ca="1">ROUND(C56*F63,1)</f>
        <v>239.2</v>
      </c>
      <c r="D63" s="2603" t="s">
        <v>1803</v>
      </c>
      <c r="E63" s="784" t="s">
        <v>1747</v>
      </c>
      <c r="F63" s="817">
        <f t="shared" ca="1" si="0"/>
        <v>1.4999999999999999E-2</v>
      </c>
      <c r="I63" s="3122" t="s">
        <v>2367</v>
      </c>
      <c r="J63" s="3123">
        <v>70</v>
      </c>
      <c r="K63" s="3123">
        <v>50</v>
      </c>
      <c r="L63" s="3123">
        <v>80</v>
      </c>
      <c r="M63" s="3125">
        <v>0.02</v>
      </c>
      <c r="O63" s="2362" t="s">
        <v>2388</v>
      </c>
      <c r="P63" s="2363" t="s">
        <v>2405</v>
      </c>
      <c r="Q63" s="2364">
        <f ca="1">Q57+Q58</f>
        <v>55504</v>
      </c>
      <c r="R63" s="2367" t="s">
        <v>2389</v>
      </c>
    </row>
    <row r="64" spans="1:18" s="2044" customFormat="1" ht="16.5" thickBot="1">
      <c r="A64" s="1634" t="s">
        <v>1890</v>
      </c>
      <c r="B64" s="784" t="s">
        <v>679</v>
      </c>
      <c r="C64" s="53">
        <f ca="1">ROUND(C55*F64,1)</f>
        <v>23.9</v>
      </c>
      <c r="D64" s="2603" t="s">
        <v>680</v>
      </c>
      <c r="E64" s="784" t="s">
        <v>1747</v>
      </c>
      <c r="F64" s="818">
        <f t="shared" ca="1" si="0"/>
        <v>1.5E-3</v>
      </c>
      <c r="I64" s="3122" t="s">
        <v>2368</v>
      </c>
      <c r="J64" s="3123">
        <v>50</v>
      </c>
      <c r="K64" s="3123">
        <v>35</v>
      </c>
      <c r="L64" s="3123">
        <v>60</v>
      </c>
      <c r="M64" s="846">
        <v>0</v>
      </c>
      <c r="O64" s="2368" t="s">
        <v>2412</v>
      </c>
      <c r="P64" s="1578"/>
      <c r="Q64" s="1589"/>
      <c r="R64" s="1578"/>
    </row>
    <row r="65" spans="1:18" s="2044" customFormat="1" ht="15.75" thickBot="1">
      <c r="A65" s="1634" t="s">
        <v>1891</v>
      </c>
      <c r="B65" s="784" t="s">
        <v>666</v>
      </c>
      <c r="C65" s="53">
        <f ca="1">ROUND(C47*F65,1)</f>
        <v>0</v>
      </c>
      <c r="D65" s="2603" t="s">
        <v>683</v>
      </c>
      <c r="E65" s="784" t="s">
        <v>1747</v>
      </c>
      <c r="F65" s="794">
        <f t="shared" ca="1" si="0"/>
        <v>1.4999999999999999E-2</v>
      </c>
      <c r="I65" s="3122" t="s">
        <v>2369</v>
      </c>
      <c r="J65" s="3123">
        <v>40</v>
      </c>
      <c r="K65" s="3123">
        <v>30</v>
      </c>
      <c r="L65" s="3123">
        <v>50</v>
      </c>
      <c r="M65" s="3125">
        <v>0.02</v>
      </c>
      <c r="O65" s="2359" t="s">
        <v>2372</v>
      </c>
      <c r="P65" s="2360" t="s">
        <v>2373</v>
      </c>
      <c r="Q65" s="2361" t="s">
        <v>2374</v>
      </c>
      <c r="R65" s="2360" t="s">
        <v>2375</v>
      </c>
    </row>
    <row r="66" spans="1:18" s="2044" customFormat="1" ht="24.75" thickBot="1">
      <c r="A66" s="797" t="s">
        <v>1776</v>
      </c>
      <c r="B66" s="2963" t="s">
        <v>2818</v>
      </c>
      <c r="C66" s="799">
        <f ca="1">C47-C57</f>
        <v>-263</v>
      </c>
      <c r="D66" s="2602" t="s">
        <v>700</v>
      </c>
      <c r="E66" s="2601"/>
      <c r="F66" s="820"/>
      <c r="K66" s="2071"/>
      <c r="O66" s="2362" t="s">
        <v>2376</v>
      </c>
      <c r="P66" s="2363" t="s">
        <v>2406</v>
      </c>
      <c r="Q66" s="2364">
        <f ca="1">C40+J29</f>
        <v>55504</v>
      </c>
      <c r="R66" s="2363" t="s">
        <v>2377</v>
      </c>
    </row>
    <row r="67" spans="1:18" s="2044" customFormat="1" ht="20.25" thickBot="1">
      <c r="A67" s="781" t="s">
        <v>1780</v>
      </c>
      <c r="B67" s="2217" t="s">
        <v>2299</v>
      </c>
      <c r="C67" s="783">
        <f ca="1">ROUND(C66*(1-((1+F69)/(1+F67))^F68)/(F67-F69),0)</f>
        <v>-3843</v>
      </c>
      <c r="D67" s="814" t="s">
        <v>704</v>
      </c>
      <c r="E67" s="784" t="s">
        <v>705</v>
      </c>
      <c r="F67" s="794">
        <f ca="1">F40</f>
        <v>0.06</v>
      </c>
      <c r="K67" s="2071"/>
      <c r="O67" s="2362" t="s">
        <v>2378</v>
      </c>
      <c r="P67" s="2363" t="s">
        <v>2409</v>
      </c>
      <c r="Q67" s="2364">
        <f ca="1">L60</f>
        <v>0</v>
      </c>
      <c r="R67" s="2367" t="s">
        <v>2411</v>
      </c>
    </row>
    <row r="68" spans="1:18" ht="21.75" thickBot="1">
      <c r="A68" s="786"/>
      <c r="B68" s="787"/>
      <c r="C68" s="788"/>
      <c r="D68" s="821" t="s">
        <v>1808</v>
      </c>
      <c r="E68" s="784" t="s">
        <v>1784</v>
      </c>
      <c r="F68" s="822">
        <f ca="1">F41</f>
        <v>35.94</v>
      </c>
      <c r="O68" s="2365" t="s">
        <v>2380</v>
      </c>
      <c r="P68" s="2363" t="s">
        <v>2410</v>
      </c>
      <c r="Q68" s="2369">
        <f ca="1">L51</f>
        <v>21118</v>
      </c>
      <c r="R68" s="2370" t="s">
        <v>2413</v>
      </c>
    </row>
    <row r="69" spans="1:18" ht="20.25" thickBot="1">
      <c r="A69" s="790"/>
      <c r="B69" s="791"/>
      <c r="C69" s="792"/>
      <c r="D69" s="816"/>
      <c r="E69" s="784" t="s">
        <v>710</v>
      </c>
      <c r="F69" s="2335"/>
      <c r="O69" s="2365" t="s">
        <v>2381</v>
      </c>
      <c r="P69" s="2371" t="s">
        <v>2395</v>
      </c>
      <c r="Q69" s="2364">
        <f ca="1">ROUND(Q70-Q71*Q72,0)</f>
        <v>1231</v>
      </c>
      <c r="R69" s="2367"/>
    </row>
    <row r="70" spans="1:18" ht="15.75" thickBot="1">
      <c r="A70" s="823" t="s">
        <v>1787</v>
      </c>
      <c r="B70" s="824" t="s">
        <v>1810</v>
      </c>
      <c r="C70" s="825">
        <f ca="1">ROUND(C67*10000/F70,0)</f>
        <v>-1079</v>
      </c>
      <c r="D70" s="826" t="s">
        <v>1811</v>
      </c>
      <c r="E70" s="827" t="s">
        <v>1812</v>
      </c>
      <c r="F70" s="828">
        <f ca="1">F43</f>
        <v>35629</v>
      </c>
      <c r="O70" s="2365" t="s">
        <v>2396</v>
      </c>
      <c r="P70" s="2371" t="s">
        <v>2397</v>
      </c>
      <c r="Q70" s="2364">
        <f ca="1">C39</f>
        <v>2587</v>
      </c>
      <c r="R70" s="2363" t="s">
        <v>2377</v>
      </c>
    </row>
    <row r="71" spans="1:18" ht="15.75" thickBot="1">
      <c r="O71" s="2365" t="s">
        <v>2398</v>
      </c>
      <c r="P71" s="2371" t="s">
        <v>2399</v>
      </c>
      <c r="Q71" s="2364">
        <f ca="1">C13</f>
        <v>15949</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55504</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G76"/>
  <sheetViews>
    <sheetView zoomScale="80" zoomScaleNormal="80" zoomScalePageLayoutView="80" workbookViewId="0">
      <selection activeCell="D11" sqref="D1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62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62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3289</v>
      </c>
      <c r="E1" s="2351" t="s">
        <v>870</v>
      </c>
      <c r="F1" s="2352">
        <f ca="1">J53</f>
        <v>45.95</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29596</v>
      </c>
      <c r="C2" s="2042"/>
      <c r="D2" s="2040"/>
      <c r="E2" s="2041"/>
      <c r="F2" s="2041"/>
      <c r="G2" s="1576"/>
      <c r="H2" s="2042"/>
      <c r="I2" s="2042"/>
      <c r="J2" s="2042"/>
      <c r="K2" s="2043"/>
      <c r="L2" s="2042"/>
      <c r="M2" s="2042"/>
    </row>
    <row r="3" spans="1:33" ht="18" customHeight="1" thickBot="1">
      <c r="A3" s="833" t="s">
        <v>519</v>
      </c>
      <c r="B3" s="834">
        <f ca="1">IF(ISERROR(B2*10000/F43),0,ROUND(B2*10000/F43,0))</f>
        <v>2651</v>
      </c>
      <c r="C3" s="2042"/>
      <c r="D3" s="2040"/>
      <c r="E3" s="2041"/>
      <c r="F3" s="2041"/>
      <c r="G3" s="1576"/>
      <c r="H3" s="776" t="s">
        <v>695</v>
      </c>
      <c r="I3" s="1358"/>
      <c r="J3" s="1358"/>
      <c r="K3" s="1577"/>
      <c r="L3" s="1358"/>
      <c r="M3" s="1358"/>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2455</v>
      </c>
      <c r="C5" s="55">
        <f ca="1">C6+C10+C12</f>
        <v>2200</v>
      </c>
      <c r="D5" s="2460" t="s">
        <v>2458</v>
      </c>
      <c r="E5" s="2454"/>
      <c r="F5" s="2455"/>
      <c r="G5" s="1578"/>
      <c r="H5" s="781">
        <v>1</v>
      </c>
      <c r="I5" s="782" t="s">
        <v>2455</v>
      </c>
      <c r="J5" s="55">
        <f ca="1">J6+J10+J12</f>
        <v>0</v>
      </c>
      <c r="K5" s="2460" t="s">
        <v>2458</v>
      </c>
      <c r="L5" s="2454"/>
      <c r="M5" s="2455"/>
    </row>
    <row r="6" spans="1:33" ht="18" customHeight="1">
      <c r="A6" s="1815" t="s">
        <v>1824</v>
      </c>
      <c r="B6" s="3545" t="s">
        <v>2460</v>
      </c>
      <c r="C6" s="783">
        <f ca="1">ROUND(F6*F8*F7*(1-F9)/10000,0)</f>
        <v>2200</v>
      </c>
      <c r="D6" s="2461" t="s">
        <v>2459</v>
      </c>
      <c r="E6" s="784" t="s">
        <v>637</v>
      </c>
      <c r="F6" s="785">
        <f ca="1">INDIRECT("'数据-取费表'!u"&amp;$G$1)</f>
        <v>0.6</v>
      </c>
      <c r="G6" s="1578"/>
      <c r="H6" s="2468" t="s">
        <v>1824</v>
      </c>
      <c r="I6" s="3545" t="s">
        <v>2460</v>
      </c>
      <c r="J6" s="783">
        <f ca="1">ROUND(M6*M8*M7*(1-M9)/10000,0)</f>
        <v>0</v>
      </c>
      <c r="K6" s="341" t="s">
        <v>636</v>
      </c>
      <c r="L6" s="784" t="s">
        <v>637</v>
      </c>
      <c r="M6" s="785">
        <f ca="1">INDIRECT("'数据-取费表'!z"&amp;$G$1)</f>
        <v>0</v>
      </c>
    </row>
    <row r="7" spans="1:33" ht="18" customHeight="1">
      <c r="A7" s="2464"/>
      <c r="B7" s="3546"/>
      <c r="C7" s="788"/>
      <c r="D7" s="789"/>
      <c r="E7" s="784" t="s">
        <v>638</v>
      </c>
      <c r="F7" s="785">
        <f ca="1">IF(INDIRECT("'数据-取费表'!ah"&amp;$G$1)="",INDIRECT("'数据-取费表'!k"&amp;$G$1),INDIRECT("'数据-取费表'!ah"&amp;$G$1))</f>
        <v>111630.47</v>
      </c>
      <c r="G7" s="1578"/>
      <c r="H7" s="2453"/>
      <c r="I7" s="3546"/>
      <c r="J7" s="788"/>
      <c r="K7" s="789"/>
      <c r="L7" s="784" t="s">
        <v>638</v>
      </c>
      <c r="M7" s="785">
        <f ca="1">F7</f>
        <v>111630.47</v>
      </c>
    </row>
    <row r="8" spans="1:33" ht="18" customHeight="1">
      <c r="A8" s="2457"/>
      <c r="B8" s="3547"/>
      <c r="C8" s="788"/>
      <c r="D8" s="789"/>
      <c r="E8" s="784" t="s">
        <v>639</v>
      </c>
      <c r="F8" s="785">
        <f ca="1">INDIRECT("'数据-取费表'!ai"&amp;$G$1)</f>
        <v>365</v>
      </c>
      <c r="G8" s="1578"/>
      <c r="H8" s="2453"/>
      <c r="I8" s="3547"/>
      <c r="J8" s="788"/>
      <c r="K8" s="789"/>
      <c r="L8" s="784" t="s">
        <v>639</v>
      </c>
      <c r="M8" s="785">
        <f ca="1">INDIRECT("'数据-取费表'!ai"&amp;$G$1)</f>
        <v>365</v>
      </c>
    </row>
    <row r="9" spans="1:33" ht="18" customHeight="1">
      <c r="A9" s="786"/>
      <c r="B9" s="3548"/>
      <c r="C9" s="788"/>
      <c r="D9" s="789"/>
      <c r="E9" s="784" t="s">
        <v>640</v>
      </c>
      <c r="F9" s="794">
        <f ca="1">INDIRECT("'数据-取费表'!w"&amp;$G$1)</f>
        <v>0.1</v>
      </c>
      <c r="G9" s="1578"/>
      <c r="H9" s="2469"/>
      <c r="I9" s="3547"/>
      <c r="J9" s="788"/>
      <c r="K9" s="789"/>
      <c r="L9" s="795" t="s">
        <v>640</v>
      </c>
      <c r="M9" s="796">
        <f ca="1">INDIRECT("'数据-取费表'!ab"&amp;$G$1)</f>
        <v>0</v>
      </c>
    </row>
    <row r="10" spans="1:33" ht="18" customHeight="1">
      <c r="A10" s="1815" t="s">
        <v>1825</v>
      </c>
      <c r="B10" s="2458" t="s">
        <v>2456</v>
      </c>
      <c r="C10" s="799">
        <f ca="1">ROUND(IF(F10="押一",C6/12*F11,IF(F10="押二",C6/12*2*F11,IF(F10="押三",C6/12*3*F11,C11*F11))),0)</f>
        <v>0</v>
      </c>
      <c r="D10" s="2465" t="s">
        <v>2970</v>
      </c>
      <c r="E10" s="2462" t="s">
        <v>2461</v>
      </c>
      <c r="F10" s="2585"/>
      <c r="G10" s="1578"/>
      <c r="H10" s="2525" t="s">
        <v>1825</v>
      </c>
      <c r="I10" s="2530" t="s">
        <v>2456</v>
      </c>
      <c r="J10" s="783">
        <f ca="1">ROUND(IF(M10="押一",J6/12*M11,IF(M10="押二",J6/12*2*M11,IF(M10="押三",J6/12*3*M11,J11*M11))),0)</f>
        <v>0</v>
      </c>
      <c r="K10" s="2465" t="s">
        <v>2970</v>
      </c>
      <c r="L10" s="2462" t="s">
        <v>2461</v>
      </c>
      <c r="M10" s="2585"/>
    </row>
    <row r="11" spans="1:33" ht="18" customHeight="1">
      <c r="A11" s="790"/>
      <c r="B11" s="2459" t="s">
        <v>2570</v>
      </c>
      <c r="C11" s="2463"/>
      <c r="D11" s="789"/>
      <c r="E11" s="2462" t="s">
        <v>2453</v>
      </c>
      <c r="F11" s="796">
        <f ca="1">'数据-取费表'!B39</f>
        <v>1.4999999999999999E-2</v>
      </c>
      <c r="G11" s="1578"/>
      <c r="H11" s="2526"/>
      <c r="I11" s="2459" t="s">
        <v>2570</v>
      </c>
      <c r="J11" s="2463"/>
      <c r="K11" s="2527"/>
      <c r="L11" s="2462" t="s">
        <v>2453</v>
      </c>
      <c r="M11" s="2456">
        <f ca="1">'数据-取费表'!B39</f>
        <v>1.4999999999999999E-2</v>
      </c>
    </row>
    <row r="12" spans="1:33" ht="18" customHeight="1" thickBot="1">
      <c r="A12" s="2501" t="s">
        <v>2464</v>
      </c>
      <c r="B12" s="2502" t="s">
        <v>2457</v>
      </c>
      <c r="C12" s="2503"/>
      <c r="D12" s="2504"/>
      <c r="E12" s="2505"/>
      <c r="F12" s="2506"/>
      <c r="G12" s="1578"/>
      <c r="H12" s="2515" t="s">
        <v>2464</v>
      </c>
      <c r="I12" s="2528" t="s">
        <v>2457</v>
      </c>
      <c r="J12" s="2529"/>
      <c r="K12" s="2504"/>
      <c r="L12" s="2505"/>
      <c r="M12" s="2518"/>
    </row>
    <row r="13" spans="1:33" ht="18" customHeight="1" thickTop="1">
      <c r="A13" s="1814">
        <v>2</v>
      </c>
      <c r="B13" s="1812" t="s">
        <v>644</v>
      </c>
      <c r="C13" s="792">
        <f ca="1">ROUND(C29*F13,0)</f>
        <v>41090</v>
      </c>
      <c r="D13" s="1819" t="s">
        <v>2295</v>
      </c>
      <c r="E13" s="1819" t="s">
        <v>643</v>
      </c>
      <c r="F13" s="2500">
        <f ca="1">INDIRECT("'数据-取费表'!y"&amp;$G$1)</f>
        <v>1</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27335</v>
      </c>
      <c r="D14" s="3198" t="s">
        <v>646</v>
      </c>
      <c r="E14" s="3197"/>
      <c r="F14" s="805"/>
      <c r="G14" s="1578"/>
      <c r="H14" s="1634" t="s">
        <v>1824</v>
      </c>
      <c r="I14" s="2216" t="s">
        <v>2821</v>
      </c>
      <c r="J14" s="53">
        <f ca="1">C29</f>
        <v>41090</v>
      </c>
      <c r="K14" s="26"/>
      <c r="L14" s="801"/>
      <c r="M14" s="802"/>
    </row>
    <row r="15" spans="1:33" s="2049" customFormat="1" ht="18" customHeight="1" thickBot="1">
      <c r="A15" s="1633" t="s">
        <v>1832</v>
      </c>
      <c r="B15" s="784" t="s">
        <v>647</v>
      </c>
      <c r="C15" s="53">
        <f ca="1">ROUND(C14*F15,0)</f>
        <v>820</v>
      </c>
      <c r="D15" s="806" t="s">
        <v>648</v>
      </c>
      <c r="E15" s="806" t="s">
        <v>649</v>
      </c>
      <c r="F15" s="807">
        <f>'数据-取费表'!B33</f>
        <v>0.03</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7</v>
      </c>
      <c r="I16" s="1812" t="s">
        <v>651</v>
      </c>
      <c r="J16" s="792">
        <f ca="1">ROUND(J17+J22+J23+J24,0)</f>
        <v>4068</v>
      </c>
      <c r="K16" s="1806" t="s">
        <v>652</v>
      </c>
      <c r="L16" s="3200"/>
      <c r="M16" s="2455"/>
    </row>
    <row r="17" spans="1:33" s="2049" customFormat="1" ht="18" customHeight="1">
      <c r="A17" s="1633" t="s">
        <v>1887</v>
      </c>
      <c r="B17" s="784" t="s">
        <v>653</v>
      </c>
      <c r="C17" s="53">
        <f ca="1">ROUND(F17*(F43+INDIRECT("'数据-取费表'!S"&amp;$G$1))/10000,0)</f>
        <v>2485</v>
      </c>
      <c r="D17" s="784" t="s">
        <v>654</v>
      </c>
      <c r="E17" s="784" t="s">
        <v>655</v>
      </c>
      <c r="F17" s="56">
        <f>'数据-取费表'!B35</f>
        <v>200</v>
      </c>
      <c r="G17" s="1579"/>
      <c r="H17" s="1634" t="s">
        <v>1824</v>
      </c>
      <c r="I17" s="784" t="s">
        <v>656</v>
      </c>
      <c r="J17" s="53">
        <f ca="1">ROUND(IF(项目基本情况!B11="自然人",J5*M17,J18+J19+J20),0)</f>
        <v>3452</v>
      </c>
      <c r="K17" s="3198" t="s">
        <v>657</v>
      </c>
      <c r="L17" s="3199"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410</v>
      </c>
      <c r="D18" s="784" t="s">
        <v>648</v>
      </c>
      <c r="E18" s="784" t="s">
        <v>649</v>
      </c>
      <c r="F18" s="809">
        <f>'数据-取费表'!B36</f>
        <v>1.4999999999999999E-2</v>
      </c>
      <c r="G18" s="1579"/>
      <c r="H18" s="1633" t="s">
        <v>1831</v>
      </c>
      <c r="I18" s="784" t="s">
        <v>660</v>
      </c>
      <c r="J18" s="53">
        <f ca="1">ROUND(J5*M18/1.05,1)</f>
        <v>0</v>
      </c>
      <c r="K18" s="3199" t="s">
        <v>661</v>
      </c>
      <c r="L18" s="784" t="s">
        <v>649</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31050</v>
      </c>
      <c r="D19" s="261" t="s">
        <v>663</v>
      </c>
      <c r="E19" s="3201"/>
      <c r="F19" s="56"/>
      <c r="G19" s="1578"/>
      <c r="H19" s="1633" t="s">
        <v>1832</v>
      </c>
      <c r="I19" s="784" t="s">
        <v>664</v>
      </c>
      <c r="J19" s="53">
        <f ca="1">IF(K19="按租金收入计税",ROUND(J5*M19,1),ROUND(C29*F33*0.7,1))</f>
        <v>3451.6</v>
      </c>
      <c r="K19" s="811" t="s">
        <v>665</v>
      </c>
      <c r="L19" s="784" t="s">
        <v>649</v>
      </c>
      <c r="M19" s="809">
        <f>IF(K19="按租金收入计税",'数据-取费表'!B51,'数据-取费表'!B50)</f>
        <v>1.2E-2</v>
      </c>
    </row>
    <row r="20" spans="1:33" s="2049" customFormat="1" ht="18" customHeight="1">
      <c r="A20" s="1634" t="s">
        <v>1889</v>
      </c>
      <c r="B20" s="784" t="s">
        <v>666</v>
      </c>
      <c r="C20" s="53">
        <f ca="1">ROUND(C19*F20,0)</f>
        <v>621</v>
      </c>
      <c r="D20" s="812" t="s">
        <v>667</v>
      </c>
      <c r="E20" s="784" t="s">
        <v>649</v>
      </c>
      <c r="F20" s="809">
        <f>'数据-取费表'!B37</f>
        <v>0.02</v>
      </c>
      <c r="G20" s="1579"/>
      <c r="H20" s="1636" t="s">
        <v>1833</v>
      </c>
      <c r="I20" s="341" t="s">
        <v>668</v>
      </c>
      <c r="J20" s="54">
        <f ca="1">ROUND(M20*M21/10000,0)</f>
        <v>0</v>
      </c>
      <c r="K20" s="814" t="s">
        <v>669</v>
      </c>
      <c r="L20" s="784" t="s">
        <v>670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v>
      </c>
      <c r="D21" s="812" t="s">
        <v>2296</v>
      </c>
      <c r="E21" s="784" t="s">
        <v>673</v>
      </c>
      <c r="F21" s="809">
        <f>'数据-取费表'!B38</f>
        <v>0.02</v>
      </c>
      <c r="G21" s="1579"/>
      <c r="H21" s="2470"/>
      <c r="I21" s="793"/>
      <c r="J21" s="69"/>
      <c r="K21" s="816"/>
      <c r="L21" s="784" t="s">
        <v>674</v>
      </c>
      <c r="M21" s="785">
        <f ca="1">INDIRECT("'数据-取费表'!r"&amp;$G$1)</f>
        <v>26421.96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201"/>
      <c r="F22" s="56"/>
      <c r="G22" s="1578"/>
      <c r="H22" s="1634" t="s">
        <v>1889</v>
      </c>
      <c r="I22" s="784" t="s">
        <v>676</v>
      </c>
      <c r="J22" s="53">
        <f ca="1">ROUND(J14*M22,0)</f>
        <v>616</v>
      </c>
      <c r="K22" s="3199" t="s">
        <v>677</v>
      </c>
      <c r="L22" s="784" t="s">
        <v>649</v>
      </c>
      <c r="M22" s="817">
        <f ca="1">INDIRECT("'数据-取费表'!Ak"&amp;$G$1)</f>
        <v>1.4999999999999999E-2</v>
      </c>
    </row>
    <row r="23" spans="1:33" s="2049" customFormat="1" ht="18" customHeight="1">
      <c r="A23" s="1633" t="s">
        <v>1831</v>
      </c>
      <c r="B23" s="784" t="s">
        <v>2434</v>
      </c>
      <c r="C23" s="53">
        <f ca="1">ROUND(IF('数据-取费表'!B22&lt;=1,(C19+C20)*F24*F23/2,(C19+C20)*(POWER((1+F24),F23/2)-1)),0)</f>
        <v>3080</v>
      </c>
      <c r="D23" s="2535" t="str">
        <f>IF(F23&lt;=1,"(建造成本+管理费用)×利率×(建设周期÷2)","(建造成本+管理费用)×((1+利率)^(建设周期÷2)-1)")</f>
        <v>(建造成本+管理费用)×((1+利率)^(建设周期÷2)-1)</v>
      </c>
      <c r="E23" s="784" t="s">
        <v>678</v>
      </c>
      <c r="F23" s="640">
        <f>'数据-取费表'!B20</f>
        <v>4</v>
      </c>
      <c r="G23" s="1579"/>
      <c r="H23" s="1634" t="s">
        <v>1890</v>
      </c>
      <c r="I23" s="784" t="s">
        <v>679</v>
      </c>
      <c r="J23" s="53">
        <f ca="1">ROUND(J13*M23,0)</f>
        <v>0</v>
      </c>
      <c r="K23" s="3199" t="s">
        <v>680</v>
      </c>
      <c r="L23" s="784" t="s">
        <v>649</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1.9E-3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1.4999999999999999E-2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201"/>
      <c r="F25" s="56"/>
      <c r="G25" s="1578"/>
      <c r="H25" s="1814" t="s">
        <v>1776</v>
      </c>
      <c r="I25" s="2962" t="s">
        <v>2818</v>
      </c>
      <c r="J25" s="792">
        <f ca="1">J5-J16</f>
        <v>-4068</v>
      </c>
      <c r="K25" s="2512" t="s">
        <v>700</v>
      </c>
      <c r="L25" s="2513"/>
      <c r="M25" s="2514"/>
    </row>
    <row r="26" spans="1:33" ht="18" customHeight="1">
      <c r="A26" s="1633" t="s">
        <v>1831</v>
      </c>
      <c r="B26" s="784" t="s">
        <v>2435</v>
      </c>
      <c r="C26" s="53">
        <f ca="1">ROUND((C19+C20)*F26,0)</f>
        <v>3167</v>
      </c>
      <c r="D26" s="812" t="s">
        <v>701</v>
      </c>
      <c r="E26" s="795" t="s">
        <v>702</v>
      </c>
      <c r="F26" s="794">
        <f ca="1">INDIRECT("'数据-取费表'!q"&amp;$G$1)</f>
        <v>0.1</v>
      </c>
      <c r="G26" s="1578"/>
      <c r="H26" s="2466" t="s">
        <v>1780</v>
      </c>
      <c r="I26" s="2217" t="s">
        <v>2823</v>
      </c>
      <c r="J26" s="783">
        <f ca="1">IF(J5&lt;&gt;0,ROUND(J25*(1-((1+M28)/(1+M26))^M27)/(M26-M28),0),0)</f>
        <v>0</v>
      </c>
      <c r="K26" s="814" t="s">
        <v>704</v>
      </c>
      <c r="L26" s="784" t="s">
        <v>2416</v>
      </c>
      <c r="M26" s="794">
        <f ca="1">INDIRECT("'数据-取费表'!I"&amp;$G$1)</f>
        <v>5.5E-2</v>
      </c>
    </row>
    <row r="27" spans="1:33" ht="18" customHeight="1">
      <c r="A27" s="1633" t="s">
        <v>1832</v>
      </c>
      <c r="B27" s="784" t="s">
        <v>686</v>
      </c>
      <c r="C27" s="53">
        <f ca="1">ROUND(F21*F26,4)</f>
        <v>2E-3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5.33E-2</v>
      </c>
      <c r="D28" s="812" t="s">
        <v>2297</v>
      </c>
      <c r="E28" s="784" t="s">
        <v>649</v>
      </c>
      <c r="F28" s="809">
        <f>'数据-取费表'!B41</f>
        <v>5.6000000000000001E-2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41090</v>
      </c>
      <c r="D29" s="2509"/>
      <c r="E29" s="2510"/>
      <c r="F29" s="2511"/>
      <c r="G29" s="1579"/>
      <c r="H29" s="823" t="s">
        <v>1787</v>
      </c>
      <c r="I29" s="824" t="s">
        <v>1788</v>
      </c>
      <c r="J29" s="825">
        <f ca="1">ROUND(J26/(1+F40)^F41,0)</f>
        <v>0</v>
      </c>
      <c r="K29" s="826" t="s">
        <v>688</v>
      </c>
      <c r="L29" s="827"/>
      <c r="M29" s="828">
        <f ca="1">INDIRECT("'数据-取费表'!k"&amp;$G$1)</f>
        <v>111630.47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651</v>
      </c>
      <c r="C30" s="792">
        <f ca="1">ROUND(C31+C36+C37+C38,0)</f>
        <v>1092</v>
      </c>
      <c r="D30" s="1806" t="s">
        <v>652</v>
      </c>
      <c r="E30" s="3200"/>
      <c r="F30" s="2455"/>
      <c r="G30" s="2047"/>
      <c r="H30" s="2050"/>
      <c r="I30" s="2051"/>
      <c r="J30" s="2052"/>
      <c r="K30" s="2053"/>
      <c r="L30" s="2054"/>
      <c r="M30" s="2055"/>
    </row>
    <row r="31" spans="1:33" ht="18" customHeight="1">
      <c r="A31" s="1634" t="s">
        <v>1824</v>
      </c>
      <c r="B31" s="784" t="s">
        <v>656</v>
      </c>
      <c r="C31" s="53">
        <f ca="1">ROUND(IF(项目基本情况!B11="自然人",C5*F31,C32+C33+C34),1)</f>
        <v>381.3</v>
      </c>
      <c r="D31" s="3198" t="s">
        <v>657</v>
      </c>
      <c r="E31" s="3199"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117.3</v>
      </c>
      <c r="D32" s="3199" t="s">
        <v>661</v>
      </c>
      <c r="E32" s="784" t="s">
        <v>649</v>
      </c>
      <c r="F32" s="809">
        <f>'数据-取费表'!B41</f>
        <v>5.6000000000000001E-2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264</v>
      </c>
      <c r="D33" s="811" t="s">
        <v>3288</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0</v>
      </c>
      <c r="D34" s="814" t="s">
        <v>669</v>
      </c>
      <c r="E34" s="784" t="s">
        <v>670</v>
      </c>
      <c r="F34" s="640">
        <f>'数据-取费表'!B52</f>
        <v>0</v>
      </c>
      <c r="G34" s="2047"/>
      <c r="H34" s="2050"/>
      <c r="I34" s="835" t="s">
        <v>1813</v>
      </c>
      <c r="J34" s="836"/>
      <c r="K34" s="2065"/>
      <c r="L34" s="2064"/>
      <c r="M34" s="2064"/>
    </row>
    <row r="35" spans="1:18" ht="18" customHeight="1">
      <c r="A35" s="815"/>
      <c r="B35" s="793"/>
      <c r="C35" s="69"/>
      <c r="D35" s="816"/>
      <c r="E35" s="784" t="s">
        <v>674</v>
      </c>
      <c r="F35" s="785">
        <f ca="1">INDIRECT("'数据-取费表'!r"&amp;$G$1)</f>
        <v>26421.96</v>
      </c>
      <c r="G35" s="2047"/>
      <c r="H35" s="2050"/>
      <c r="I35" s="837" t="s">
        <v>1814</v>
      </c>
      <c r="J35" s="838">
        <f ca="1">ROUND(C13*J36,0)</f>
        <v>3493</v>
      </c>
      <c r="K35" s="2063"/>
      <c r="L35" s="2062"/>
      <c r="M35" s="2062"/>
    </row>
    <row r="36" spans="1:18" ht="18" customHeight="1">
      <c r="A36" s="1634" t="s">
        <v>1889</v>
      </c>
      <c r="B36" s="784" t="s">
        <v>676</v>
      </c>
      <c r="C36" s="53">
        <f ca="1">ROUND(C29*F36,1)</f>
        <v>616.4</v>
      </c>
      <c r="D36" s="3199" t="s">
        <v>691</v>
      </c>
      <c r="E36" s="784" t="s">
        <v>649</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61.6</v>
      </c>
      <c r="D37" s="3199" t="s">
        <v>680</v>
      </c>
      <c r="E37" s="784" t="s">
        <v>649</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33</v>
      </c>
      <c r="D38" s="2509" t="s">
        <v>683</v>
      </c>
      <c r="E38" s="2510" t="s">
        <v>649</v>
      </c>
      <c r="F38" s="2506">
        <f ca="1">INDIRECT("'数据-取费表'!Am"&amp;$G$1)</f>
        <v>1.4999999999999999E-2</v>
      </c>
      <c r="G38" s="2047"/>
      <c r="H38" s="2062"/>
      <c r="I38" s="843" t="s">
        <v>1817</v>
      </c>
      <c r="J38" s="844"/>
      <c r="K38" s="2068"/>
      <c r="L38" s="2062"/>
      <c r="M38" s="2062"/>
    </row>
    <row r="39" spans="1:18" ht="24.6" customHeight="1" thickTop="1">
      <c r="A39" s="1814" t="s">
        <v>1776</v>
      </c>
      <c r="B39" s="2962" t="s">
        <v>2818</v>
      </c>
      <c r="C39" s="792">
        <f ca="1">C5-C30</f>
        <v>1108</v>
      </c>
      <c r="D39" s="2512" t="s">
        <v>700</v>
      </c>
      <c r="E39" s="2513"/>
      <c r="F39" s="2514"/>
      <c r="G39" s="2047"/>
      <c r="H39" s="2062"/>
      <c r="I39" s="837" t="s">
        <v>1818</v>
      </c>
      <c r="J39" s="845">
        <f ca="1">ROUND(J35/C39,3)</f>
        <v>3.153</v>
      </c>
      <c r="K39" s="2068"/>
      <c r="L39" s="2062"/>
      <c r="M39" s="2062"/>
    </row>
    <row r="40" spans="1:18" ht="18" customHeight="1">
      <c r="A40" s="781" t="s">
        <v>1780</v>
      </c>
      <c r="B40" s="2217" t="s">
        <v>2299</v>
      </c>
      <c r="C40" s="783">
        <f ca="1">ROUND(C39*(1-((1+F42)/(1+F40))^F41)/(F40-F42),0)</f>
        <v>29596</v>
      </c>
      <c r="D40" s="814" t="s">
        <v>704</v>
      </c>
      <c r="E40" s="784" t="s">
        <v>2416</v>
      </c>
      <c r="F40" s="794">
        <f ca="1">INDIRECT("'数据-取费表'!I"&amp;$G$1)</f>
        <v>5.5E-2</v>
      </c>
      <c r="G40" s="2047"/>
      <c r="H40" s="2047"/>
      <c r="I40" s="837" t="s">
        <v>1819</v>
      </c>
      <c r="J40" s="845">
        <f ca="1">1-J39</f>
        <v>-2.153</v>
      </c>
      <c r="K40" s="2068"/>
      <c r="L40" s="2047"/>
      <c r="M40" s="2047"/>
    </row>
    <row r="41" spans="1:18" ht="18" customHeight="1">
      <c r="A41" s="786"/>
      <c r="B41" s="787"/>
      <c r="C41" s="788"/>
      <c r="D41" s="821" t="s">
        <v>1808</v>
      </c>
      <c r="E41" s="784" t="s">
        <v>708</v>
      </c>
      <c r="F41" s="822">
        <f ca="1">IF(INDIRECT("'数据-取费表'!af"&amp;$G$1)=0,INDIRECT("'数据-取费表'!ae"&amp;$G$1),INDIRECT("'数据-取费表'!af"&amp;$G$1))</f>
        <v>45.95</v>
      </c>
      <c r="G41" s="2047"/>
      <c r="H41" s="1973"/>
      <c r="I41" s="843" t="s">
        <v>1820</v>
      </c>
      <c r="J41" s="846"/>
      <c r="K41" s="2067"/>
      <c r="L41" s="1973"/>
      <c r="M41" s="1973"/>
    </row>
    <row r="42" spans="1:18" ht="18" customHeight="1">
      <c r="A42" s="790"/>
      <c r="B42" s="791"/>
      <c r="C42" s="792"/>
      <c r="D42" s="816"/>
      <c r="E42" s="784" t="s">
        <v>710</v>
      </c>
      <c r="F42" s="794">
        <f ca="1">INDIRECT("'数据-取费表'!v"&amp;$G$1)</f>
        <v>0.03</v>
      </c>
      <c r="G42" s="2047"/>
      <c r="H42" s="1973"/>
      <c r="I42" s="847" t="s">
        <v>1821</v>
      </c>
      <c r="J42" s="845">
        <f ca="1">ROUND(C13/C40,3)</f>
        <v>1.3879999999999999</v>
      </c>
      <c r="K42" s="2067"/>
      <c r="L42" s="1973"/>
      <c r="M42" s="1973"/>
    </row>
    <row r="43" spans="1:18" ht="18" customHeight="1" thickBot="1">
      <c r="A43" s="823" t="s">
        <v>1787</v>
      </c>
      <c r="B43" s="824" t="s">
        <v>1810</v>
      </c>
      <c r="C43" s="825">
        <f ca="1">ROUND(C40*10000/F43,0)</f>
        <v>2651</v>
      </c>
      <c r="D43" s="826" t="s">
        <v>1811</v>
      </c>
      <c r="E43" s="827" t="s">
        <v>1812</v>
      </c>
      <c r="F43" s="828">
        <f ca="1">INDIRECT("'数据-取费表'!k"&amp;$G$1)</f>
        <v>111630.47</v>
      </c>
      <c r="G43" s="2047"/>
      <c r="H43" s="1973"/>
      <c r="I43" s="847" t="s">
        <v>1822</v>
      </c>
      <c r="J43" s="848">
        <f ca="1">1-J42</f>
        <v>-0.3879999999999999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-40870</v>
      </c>
      <c r="D46" s="2070"/>
      <c r="E46" s="2070"/>
      <c r="F46" s="2070"/>
      <c r="I46" s="2342" t="s">
        <v>2340</v>
      </c>
      <c r="J46" s="2343"/>
      <c r="K46" s="2344"/>
      <c r="L46" s="3109">
        <f>IF(OR(M47="住宅",D1="土地（套用方法）"),0,IF(L48&gt;J51,L60,J60))</f>
        <v>0</v>
      </c>
      <c r="O46" s="2358" t="s">
        <v>2407</v>
      </c>
      <c r="P46" s="1578"/>
      <c r="Q46" s="1589"/>
      <c r="R46" s="1578"/>
    </row>
    <row r="47" spans="1:18" s="2044" customFormat="1" ht="18" customHeight="1" thickBot="1">
      <c r="A47" s="2336">
        <v>1</v>
      </c>
      <c r="B47" s="2337" t="s">
        <v>635</v>
      </c>
      <c r="C47" s="2538">
        <f ca="1">C48+C52+C54</f>
        <v>0</v>
      </c>
      <c r="D47" s="2070"/>
      <c r="E47" s="2070"/>
      <c r="F47" s="2070"/>
      <c r="I47" s="3099" t="s">
        <v>2341</v>
      </c>
      <c r="J47" s="2345" t="s">
        <v>3287</v>
      </c>
      <c r="K47" s="3106" t="s">
        <v>2346</v>
      </c>
      <c r="L47" s="3110">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1870</v>
      </c>
      <c r="B48" s="2607" t="s">
        <v>2535</v>
      </c>
      <c r="C48" s="2338">
        <f ca="1">ROUND(F48*F50*F49*(1-F51)/10000,0)</f>
        <v>0</v>
      </c>
      <c r="D48" s="2339" t="s">
        <v>636</v>
      </c>
      <c r="E48" s="2340" t="s">
        <v>2294</v>
      </c>
      <c r="F48" s="2341"/>
      <c r="G48" s="2075"/>
      <c r="I48" s="3078" t="s">
        <v>2342</v>
      </c>
      <c r="J48" s="2346" t="s">
        <v>2347</v>
      </c>
      <c r="K48" s="3107" t="s">
        <v>2348</v>
      </c>
      <c r="L48" s="1893">
        <f ca="1">INDIRECT("'数据-取费表'!f"&amp;$G$1)</f>
        <v>49.95</v>
      </c>
      <c r="O48" s="2362" t="s">
        <v>2376</v>
      </c>
      <c r="P48" s="2363" t="s">
        <v>2402</v>
      </c>
      <c r="Q48" s="2364">
        <f ca="1">C40+J29</f>
        <v>29596</v>
      </c>
      <c r="R48" s="2363" t="s">
        <v>2377</v>
      </c>
    </row>
    <row r="49" spans="1:18" s="2044" customFormat="1" ht="18" customHeight="1" thickBot="1">
      <c r="A49" s="786"/>
      <c r="B49" s="787"/>
      <c r="C49" s="788"/>
      <c r="D49" s="789"/>
      <c r="E49" s="784" t="s">
        <v>638</v>
      </c>
      <c r="F49" s="785">
        <f ca="1">F7</f>
        <v>111630.47</v>
      </c>
      <c r="G49" s="2075"/>
      <c r="H49" s="2078"/>
      <c r="I49" s="3078" t="s">
        <v>2343</v>
      </c>
      <c r="J49" s="2347"/>
      <c r="K49" s="3108" t="s">
        <v>2349</v>
      </c>
      <c r="L49" s="2348"/>
      <c r="O49" s="2362" t="s">
        <v>2378</v>
      </c>
      <c r="P49" s="2363" t="s">
        <v>2403</v>
      </c>
      <c r="Q49" s="2364" t="str">
        <f ca="1">J60</f>
        <v>0</v>
      </c>
      <c r="R49" s="2363" t="s">
        <v>2379</v>
      </c>
    </row>
    <row r="50" spans="1:18" s="2044" customFormat="1" ht="18" customHeight="1" thickBot="1">
      <c r="A50" s="786"/>
      <c r="B50" s="787"/>
      <c r="C50" s="788"/>
      <c r="D50" s="789"/>
      <c r="E50" s="784" t="s">
        <v>639</v>
      </c>
      <c r="F50" s="785">
        <f ca="1">F8</f>
        <v>365</v>
      </c>
      <c r="G50" s="2080"/>
      <c r="H50" s="2078"/>
      <c r="I50" s="3078" t="s">
        <v>2344</v>
      </c>
      <c r="J50" s="3103">
        <f>SUMPRODUCT((I63:I65=J47)*(J62:L62=J48)*(J63:L65))</f>
        <v>60</v>
      </c>
      <c r="K50" s="3108" t="s">
        <v>2350</v>
      </c>
      <c r="L50" s="2348"/>
      <c r="O50" s="2365" t="s">
        <v>2380</v>
      </c>
      <c r="P50" s="2363" t="s">
        <v>2404</v>
      </c>
      <c r="Q50" s="2364">
        <f ca="1">C29</f>
        <v>41090</v>
      </c>
      <c r="R50" s="2363" t="s">
        <v>2377</v>
      </c>
    </row>
    <row r="51" spans="1:18" s="2044" customFormat="1" ht="18" customHeight="1" thickBot="1">
      <c r="A51" s="786"/>
      <c r="B51" s="787"/>
      <c r="C51" s="788"/>
      <c r="D51" s="789"/>
      <c r="E51" s="784" t="s">
        <v>640</v>
      </c>
      <c r="F51" s="2335"/>
      <c r="H51" s="2078"/>
      <c r="I51" s="3100" t="s">
        <v>2345</v>
      </c>
      <c r="J51" s="3104">
        <f>IF(J49="",J50,J49+J50-YEAR('数据-取费表'!B2))</f>
        <v>60</v>
      </c>
      <c r="K51" s="3078" t="s">
        <v>2351</v>
      </c>
      <c r="L51" s="3111">
        <f ca="1">ROUND(-PV(INDIRECT("'数据-取费表'!h"&amp;$G$1),L48,(C39-C13*J36),0),0)</f>
        <v>-47113</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2970</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102" t="s">
        <v>2974</v>
      </c>
      <c r="J53" s="3105">
        <f ca="1">IF(M47="住宅",IF(D1="——",MAX(J51,L48),MAX(J51,L48-'数据-取费表'!B20)),IF(D1="——",MIN(J51,L48),MIN(J51,L48-'数据-取费表'!B20)))</f>
        <v>45.95</v>
      </c>
      <c r="K53" s="3589" t="s">
        <v>2962</v>
      </c>
      <c r="L53" s="3590"/>
      <c r="O53" s="2365" t="s">
        <v>2385</v>
      </c>
      <c r="P53" s="2363" t="s">
        <v>2386</v>
      </c>
      <c r="Q53" s="2364">
        <f ca="1">J53</f>
        <v>45.95</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29596</v>
      </c>
      <c r="R54" s="2367" t="s">
        <v>2389</v>
      </c>
    </row>
    <row r="55" spans="1:18" s="2044" customFormat="1" ht="18" customHeight="1" thickTop="1" thickBot="1">
      <c r="A55" s="797">
        <v>2</v>
      </c>
      <c r="B55" s="798" t="s">
        <v>644</v>
      </c>
      <c r="C55" s="799">
        <f ca="1">C13</f>
        <v>41090</v>
      </c>
      <c r="D55" s="795"/>
      <c r="E55" s="795"/>
      <c r="F55" s="800"/>
      <c r="I55" s="3114" t="s">
        <v>2352</v>
      </c>
      <c r="J55" s="3053" t="e">
        <f ca="1">ROUND(IF(J47="钢混",J57/J50,1-(1-2%)*(J50-J57)/J50),3)</f>
        <v>#VALUE!</v>
      </c>
      <c r="K55" s="3115" t="s">
        <v>2353</v>
      </c>
      <c r="L55" s="2350"/>
      <c r="O55" s="2368" t="s">
        <v>2408</v>
      </c>
      <c r="P55" s="1578"/>
      <c r="Q55" s="1589"/>
      <c r="R55" s="1578"/>
    </row>
    <row r="56" spans="1:18" s="2044" customFormat="1" ht="42.75" customHeight="1" thickBot="1">
      <c r="A56" s="1635"/>
      <c r="B56" s="2216" t="s">
        <v>2298</v>
      </c>
      <c r="C56" s="53">
        <f ca="1">C29</f>
        <v>41090</v>
      </c>
      <c r="D56" s="3199"/>
      <c r="E56" s="784"/>
      <c r="F56" s="809"/>
      <c r="I56" s="3116" t="s">
        <v>2354</v>
      </c>
      <c r="J56" s="3126" t="s">
        <v>1678</v>
      </c>
      <c r="K56" s="3078" t="s">
        <v>2359</v>
      </c>
      <c r="L56" s="1893" t="str">
        <f ca="1">IF(L48&lt;J51,"——",L48-J51)</f>
        <v>——</v>
      </c>
      <c r="O56" s="2359" t="s">
        <v>2372</v>
      </c>
      <c r="P56" s="2360" t="s">
        <v>2373</v>
      </c>
      <c r="Q56" s="2361" t="s">
        <v>2374</v>
      </c>
      <c r="R56" s="2360" t="s">
        <v>2375</v>
      </c>
    </row>
    <row r="57" spans="1:18" s="2044" customFormat="1" ht="28.5" customHeight="1" thickBot="1">
      <c r="A57" s="797" t="s">
        <v>7</v>
      </c>
      <c r="B57" s="798" t="s">
        <v>651</v>
      </c>
      <c r="C57" s="799">
        <f ca="1">ROUND(C58+C63+C64+C65,0)</f>
        <v>678</v>
      </c>
      <c r="D57" s="26" t="s">
        <v>652</v>
      </c>
      <c r="E57" s="3201"/>
      <c r="F57" s="56"/>
      <c r="I57" s="3117" t="s">
        <v>2355</v>
      </c>
      <c r="J57" s="3118" t="str">
        <f ca="1">IF(OR(M47="住宅",J51&lt;L48,J56="是"),"——",J51-L48)</f>
        <v>——</v>
      </c>
      <c r="K57" s="3078" t="s">
        <v>2360</v>
      </c>
      <c r="L57" s="1893" t="str">
        <f ca="1">IF(L48&lt;J51,"——",IF(L55="比较法",L49,IF(L55="基准地价",L50,L51)))</f>
        <v>——</v>
      </c>
      <c r="O57" s="2362" t="s">
        <v>2376</v>
      </c>
      <c r="P57" s="2363" t="s">
        <v>2402</v>
      </c>
      <c r="Q57" s="2364">
        <f ca="1">C40+J29</f>
        <v>29596</v>
      </c>
      <c r="R57" s="2363" t="s">
        <v>2377</v>
      </c>
    </row>
    <row r="58" spans="1:18" s="2044" customFormat="1" ht="28.5" customHeight="1" thickBot="1">
      <c r="A58" s="1634" t="s">
        <v>1824</v>
      </c>
      <c r="B58" s="784" t="s">
        <v>656</v>
      </c>
      <c r="C58" s="53">
        <f ca="1">ROUND(IF(项目基本情况!B11="自然人",C47*F58,C59+C60+C61),1)</f>
        <v>0</v>
      </c>
      <c r="D58" s="3198" t="s">
        <v>657</v>
      </c>
      <c r="E58" s="3199" t="s">
        <v>690</v>
      </c>
      <c r="F58" s="810" t="str">
        <f ca="1">IF(项目基本情况!B11="企业","",IF(INDIRECT("'数据-取费表'!c"&amp;$G$1)="住宅",5%,IF(F48*F49*F50/12/(1+'数据-取费表'!C42)&gt;20000,12%,7%)))</f>
        <v/>
      </c>
      <c r="I58" s="3117"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1831</v>
      </c>
      <c r="B59" s="784" t="s">
        <v>660</v>
      </c>
      <c r="C59" s="53">
        <f ca="1">ROUND(C47*F59/1.05,1)</f>
        <v>0</v>
      </c>
      <c r="D59" s="3199" t="s">
        <v>661</v>
      </c>
      <c r="E59" s="784" t="s">
        <v>649</v>
      </c>
      <c r="F59" s="809">
        <f t="shared" ref="F59:F65" si="0">F32</f>
        <v>5.6000000000000001E-2</v>
      </c>
      <c r="I59" s="3117" t="s">
        <v>2357</v>
      </c>
      <c r="J59" s="3118"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1832</v>
      </c>
      <c r="B60" s="784" t="s">
        <v>664</v>
      </c>
      <c r="C60" s="53">
        <f ca="1">IF(D60="按租金收入计税",ROUND(C47*F60,1),IF(D60="按房产原值计税",ROUND(C56*F60*0.7,1),INDIRECT("'数据-取费表'!Aj"&amp;$G$1)))</f>
        <v>0</v>
      </c>
      <c r="D60" s="3199" t="str">
        <f>D33</f>
        <v>按租金收入计税</v>
      </c>
      <c r="E60" s="784" t="s">
        <v>649</v>
      </c>
      <c r="F60" s="809">
        <f t="shared" si="0"/>
        <v>0.12</v>
      </c>
      <c r="I60" s="3119" t="s">
        <v>2358</v>
      </c>
      <c r="J60" s="3120" t="str">
        <f ca="1">IF(OR(M47="住宅",J51&lt;L48,J56="是"),"0",ROUND(J59/(1+J52)^J53,0))</f>
        <v>0</v>
      </c>
      <c r="K60" s="3121" t="s">
        <v>2363</v>
      </c>
      <c r="L60" s="3120">
        <f ca="1">IF(OR(M47="住宅",L48&lt;J51),0,ROUND(L57*(L58/L59-1),0))</f>
        <v>0</v>
      </c>
      <c r="O60" s="2365" t="s">
        <v>2381</v>
      </c>
      <c r="P60" s="2363" t="s">
        <v>2390</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26421.96</v>
      </c>
      <c r="I62" s="3122" t="s">
        <v>2364</v>
      </c>
      <c r="J62" s="3123" t="s">
        <v>2365</v>
      </c>
      <c r="K62" s="3123" t="s">
        <v>2366</v>
      </c>
      <c r="L62" s="3123" t="s">
        <v>2347</v>
      </c>
      <c r="M62" s="3124" t="s">
        <v>2938</v>
      </c>
      <c r="O62" s="2365" t="s">
        <v>2385</v>
      </c>
      <c r="P62" s="2363" t="str">
        <f>K59</f>
        <v>建设期及建筑物耐用年限下的土地年期修正系数Kn</v>
      </c>
      <c r="Q62" s="2364" t="e">
        <f ca="1">L59</f>
        <v>#DIV/0!</v>
      </c>
      <c r="R62" s="2367" t="s">
        <v>2394</v>
      </c>
    </row>
    <row r="63" spans="1:18" s="2044" customFormat="1" ht="15.75" thickBot="1">
      <c r="A63" s="1634" t="s">
        <v>1889</v>
      </c>
      <c r="B63" s="784" t="s">
        <v>676</v>
      </c>
      <c r="C63" s="53">
        <f ca="1">ROUND(C56*F63,1)</f>
        <v>616.4</v>
      </c>
      <c r="D63" s="3199" t="s">
        <v>691</v>
      </c>
      <c r="E63" s="784" t="s">
        <v>649</v>
      </c>
      <c r="F63" s="817">
        <f t="shared" ca="1" si="0"/>
        <v>1.4999999999999999E-2</v>
      </c>
      <c r="I63" s="3122" t="s">
        <v>2367</v>
      </c>
      <c r="J63" s="3123">
        <v>70</v>
      </c>
      <c r="K63" s="3123">
        <v>50</v>
      </c>
      <c r="L63" s="3123">
        <v>80</v>
      </c>
      <c r="M63" s="3125">
        <v>0.02</v>
      </c>
      <c r="O63" s="2362" t="s">
        <v>2388</v>
      </c>
      <c r="P63" s="2363" t="s">
        <v>2405</v>
      </c>
      <c r="Q63" s="2364">
        <f ca="1">Q57+Q58</f>
        <v>29596</v>
      </c>
      <c r="R63" s="2367" t="s">
        <v>2389</v>
      </c>
    </row>
    <row r="64" spans="1:18" s="2044" customFormat="1" ht="16.5" thickBot="1">
      <c r="A64" s="1634" t="s">
        <v>1890</v>
      </c>
      <c r="B64" s="784" t="s">
        <v>679</v>
      </c>
      <c r="C64" s="53">
        <f ca="1">ROUND(C55*F64,1)</f>
        <v>61.6</v>
      </c>
      <c r="D64" s="3199" t="s">
        <v>680</v>
      </c>
      <c r="E64" s="784" t="s">
        <v>649</v>
      </c>
      <c r="F64" s="818">
        <f t="shared" ca="1" si="0"/>
        <v>1.5E-3</v>
      </c>
      <c r="I64" s="3122" t="s">
        <v>2368</v>
      </c>
      <c r="J64" s="3123">
        <v>50</v>
      </c>
      <c r="K64" s="3123">
        <v>35</v>
      </c>
      <c r="L64" s="3123">
        <v>60</v>
      </c>
      <c r="M64" s="846">
        <v>0</v>
      </c>
      <c r="O64" s="2368" t="s">
        <v>2412</v>
      </c>
      <c r="P64" s="1578"/>
      <c r="Q64" s="1589"/>
      <c r="R64" s="1578"/>
    </row>
    <row r="65" spans="1:18" s="2044" customFormat="1" ht="15.75" thickBot="1">
      <c r="A65" s="1634" t="s">
        <v>1891</v>
      </c>
      <c r="B65" s="784" t="s">
        <v>666</v>
      </c>
      <c r="C65" s="53">
        <f ca="1">ROUND(C47*F65,1)</f>
        <v>0</v>
      </c>
      <c r="D65" s="3199" t="s">
        <v>683</v>
      </c>
      <c r="E65" s="784" t="s">
        <v>649</v>
      </c>
      <c r="F65" s="794">
        <f t="shared" ca="1" si="0"/>
        <v>1.4999999999999999E-2</v>
      </c>
      <c r="I65" s="3122" t="s">
        <v>2369</v>
      </c>
      <c r="J65" s="3123">
        <v>40</v>
      </c>
      <c r="K65" s="3123">
        <v>30</v>
      </c>
      <c r="L65" s="3123">
        <v>50</v>
      </c>
      <c r="M65" s="3125">
        <v>0.02</v>
      </c>
      <c r="O65" s="2359" t="s">
        <v>2372</v>
      </c>
      <c r="P65" s="2360" t="s">
        <v>2373</v>
      </c>
      <c r="Q65" s="2361" t="s">
        <v>2374</v>
      </c>
      <c r="R65" s="2360" t="s">
        <v>2375</v>
      </c>
    </row>
    <row r="66" spans="1:18" s="2044" customFormat="1" ht="24.75" thickBot="1">
      <c r="A66" s="797" t="s">
        <v>1776</v>
      </c>
      <c r="B66" s="2963" t="s">
        <v>2818</v>
      </c>
      <c r="C66" s="799">
        <f ca="1">C47-C57</f>
        <v>-678</v>
      </c>
      <c r="D66" s="3198" t="s">
        <v>700</v>
      </c>
      <c r="E66" s="3196"/>
      <c r="F66" s="820"/>
      <c r="K66" s="2071"/>
      <c r="O66" s="2362" t="s">
        <v>2376</v>
      </c>
      <c r="P66" s="2363" t="s">
        <v>2402</v>
      </c>
      <c r="Q66" s="2364">
        <f ca="1">C40+J29</f>
        <v>29596</v>
      </c>
      <c r="R66" s="2363" t="s">
        <v>2377</v>
      </c>
    </row>
    <row r="67" spans="1:18" s="2044" customFormat="1" ht="20.25" thickBot="1">
      <c r="A67" s="781" t="s">
        <v>1780</v>
      </c>
      <c r="B67" s="2217" t="s">
        <v>2299</v>
      </c>
      <c r="C67" s="783">
        <f ca="1">ROUND(C66*(1-((1+F69)/(1+F67))^F68)/(F67-F69),0)</f>
        <v>-11274</v>
      </c>
      <c r="D67" s="814" t="s">
        <v>704</v>
      </c>
      <c r="E67" s="784" t="s">
        <v>705</v>
      </c>
      <c r="F67" s="794">
        <f ca="1">F40</f>
        <v>5.5E-2</v>
      </c>
      <c r="K67" s="2071"/>
      <c r="O67" s="2362" t="s">
        <v>2378</v>
      </c>
      <c r="P67" s="2363" t="s">
        <v>2409</v>
      </c>
      <c r="Q67" s="2364">
        <f ca="1">L60</f>
        <v>0</v>
      </c>
      <c r="R67" s="2367" t="s">
        <v>2411</v>
      </c>
    </row>
    <row r="68" spans="1:18" ht="21.75" thickBot="1">
      <c r="A68" s="786"/>
      <c r="B68" s="787"/>
      <c r="C68" s="788"/>
      <c r="D68" s="821" t="s">
        <v>1808</v>
      </c>
      <c r="E68" s="784" t="s">
        <v>708</v>
      </c>
      <c r="F68" s="822">
        <f ca="1">F41</f>
        <v>45.95</v>
      </c>
      <c r="O68" s="2365" t="s">
        <v>2380</v>
      </c>
      <c r="P68" s="2363" t="s">
        <v>2410</v>
      </c>
      <c r="Q68" s="2369">
        <f ca="1">L51</f>
        <v>-47113</v>
      </c>
      <c r="R68" s="2370" t="s">
        <v>2413</v>
      </c>
    </row>
    <row r="69" spans="1:18" ht="20.25" thickBot="1">
      <c r="A69" s="790"/>
      <c r="B69" s="791"/>
      <c r="C69" s="792"/>
      <c r="D69" s="816"/>
      <c r="E69" s="784" t="s">
        <v>710</v>
      </c>
      <c r="F69" s="2335"/>
      <c r="O69" s="2365" t="s">
        <v>2381</v>
      </c>
      <c r="P69" s="2371" t="s">
        <v>2395</v>
      </c>
      <c r="Q69" s="2364">
        <f ca="1">ROUND(Q70-Q71*Q72,0)</f>
        <v>-2385</v>
      </c>
      <c r="R69" s="2367"/>
    </row>
    <row r="70" spans="1:18" ht="15.75" thickBot="1">
      <c r="A70" s="823" t="s">
        <v>1787</v>
      </c>
      <c r="B70" s="824" t="s">
        <v>1810</v>
      </c>
      <c r="C70" s="825">
        <f ca="1">ROUND(C67*10000/F70,0)</f>
        <v>-1010</v>
      </c>
      <c r="D70" s="826" t="s">
        <v>1811</v>
      </c>
      <c r="E70" s="827" t="s">
        <v>1812</v>
      </c>
      <c r="F70" s="828">
        <f ca="1">F43</f>
        <v>111630.47</v>
      </c>
      <c r="O70" s="2365" t="s">
        <v>2396</v>
      </c>
      <c r="P70" s="2371" t="s">
        <v>2397</v>
      </c>
      <c r="Q70" s="2364">
        <f ca="1">C39</f>
        <v>1108</v>
      </c>
      <c r="R70" s="2363" t="s">
        <v>2377</v>
      </c>
    </row>
    <row r="71" spans="1:18" ht="15.75" thickBot="1">
      <c r="O71" s="2365" t="s">
        <v>2398</v>
      </c>
      <c r="P71" s="2371" t="s">
        <v>2399</v>
      </c>
      <c r="Q71" s="2364">
        <f ca="1">C13</f>
        <v>41090</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29596</v>
      </c>
      <c r="R76" s="236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83" t="s">
        <v>2036</v>
      </c>
      <c r="B1" s="3283"/>
      <c r="C1" s="3283"/>
      <c r="D1" s="3283"/>
      <c r="E1" s="3283"/>
      <c r="F1" s="3283"/>
      <c r="G1" s="3283"/>
      <c r="H1" s="3283"/>
      <c r="I1" s="3283"/>
      <c r="J1" s="3283"/>
      <c r="K1" s="3283"/>
      <c r="L1" s="3283"/>
      <c r="M1" s="3283"/>
      <c r="N1" s="3283"/>
      <c r="O1" s="3283"/>
      <c r="P1" s="3283"/>
      <c r="Q1" s="3283"/>
      <c r="R1" s="3283"/>
    </row>
    <row r="2" spans="1:18">
      <c r="A2" s="1792" t="s">
        <v>2038</v>
      </c>
      <c r="B2" s="1792"/>
      <c r="C2" s="1792"/>
      <c r="D2" s="1792"/>
      <c r="E2" s="1792"/>
      <c r="F2" s="1792"/>
      <c r="G2" s="1792"/>
      <c r="H2" s="1792"/>
      <c r="I2" s="1793"/>
      <c r="J2" s="1793"/>
      <c r="K2" s="1794" t="str">
        <f>"估价期日："&amp;TEXT(项目基本情况!D3,"yyyy年m月d日;;")</f>
        <v>估价期日：2019年6月5日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84" t="s">
        <v>2027</v>
      </c>
      <c r="B3" s="3284" t="s">
        <v>2727</v>
      </c>
      <c r="C3" s="3285" t="s">
        <v>2028</v>
      </c>
      <c r="D3" s="3284" t="s">
        <v>2731</v>
      </c>
      <c r="E3" s="3279" t="s">
        <v>2029</v>
      </c>
      <c r="F3" s="3279"/>
      <c r="G3" s="3279"/>
      <c r="H3" s="3279" t="s">
        <v>2030</v>
      </c>
      <c r="I3" s="3279"/>
      <c r="J3" s="3279"/>
      <c r="K3" s="3285" t="s">
        <v>2031</v>
      </c>
      <c r="L3" s="3285" t="s">
        <v>2032</v>
      </c>
      <c r="M3" s="3284" t="s">
        <v>2728</v>
      </c>
      <c r="N3" s="3286" t="str">
        <f>"（分摊）"&amp;项目基本情况!B16&amp;"国有建设用地使用权面积/㎡"</f>
        <v>（分摊）出让国有建设用地使用权面积/㎡</v>
      </c>
      <c r="O3" s="3284" t="s">
        <v>2061</v>
      </c>
      <c r="P3" s="3285" t="s">
        <v>2041</v>
      </c>
      <c r="Q3" s="3285" t="s">
        <v>2062</v>
      </c>
      <c r="R3" s="3285" t="s">
        <v>2033</v>
      </c>
    </row>
    <row r="4" spans="1:18" ht="36.75" customHeight="1">
      <c r="A4" s="3284"/>
      <c r="B4" s="3284"/>
      <c r="C4" s="3285"/>
      <c r="D4" s="3284"/>
      <c r="E4" s="2613" t="s">
        <v>2040</v>
      </c>
      <c r="F4" s="2613" t="s">
        <v>2740</v>
      </c>
      <c r="G4" s="2613" t="s">
        <v>2034</v>
      </c>
      <c r="H4" s="2613" t="s">
        <v>2035</v>
      </c>
      <c r="I4" s="2613" t="s">
        <v>2741</v>
      </c>
      <c r="J4" s="2613" t="s">
        <v>2034</v>
      </c>
      <c r="K4" s="3285"/>
      <c r="L4" s="3285"/>
      <c r="M4" s="3284"/>
      <c r="N4" s="3286"/>
      <c r="O4" s="3284"/>
      <c r="P4" s="3285"/>
      <c r="Q4" s="3285"/>
      <c r="R4" s="3285"/>
    </row>
    <row r="5" spans="1:18" ht="135" customHeight="1">
      <c r="A5" s="1928" t="s">
        <v>2651</v>
      </c>
      <c r="B5" s="2822" t="s">
        <v>2649</v>
      </c>
      <c r="C5" s="2612">
        <v>22</v>
      </c>
      <c r="D5" s="2611" t="s">
        <v>2650</v>
      </c>
      <c r="E5" s="1795" t="str">
        <f>项目基本情况!B12</f>
        <v>城镇住宅用地</v>
      </c>
      <c r="F5" s="2611">
        <v>258</v>
      </c>
      <c r="G5" s="1795" t="str">
        <f>项目基本情况!B13</f>
        <v>住宅、商业、地下车库及科教</v>
      </c>
      <c r="H5" s="2611">
        <v>1.5</v>
      </c>
      <c r="I5" s="2611">
        <v>1.5</v>
      </c>
      <c r="J5" s="2611">
        <v>1.5</v>
      </c>
      <c r="K5" s="1795" t="str">
        <f>"红线外"&amp;项目基本情况!T40&amp;"、宗地红线内"&amp;项目基本情况!B35</f>
        <v>红线外七通、宗地红线内场地平整</v>
      </c>
      <c r="L5" s="1795" t="str">
        <f>"红线外"&amp;项目基本情况!T40&amp;"、宗地红线内场地"&amp;项目基本情况!D36</f>
        <v>红线外七通、宗地红线内场地</v>
      </c>
      <c r="M5" s="1795">
        <f>IF(项目基本情况!B16="出让",项目基本情况!D20,"——")</f>
        <v>0</v>
      </c>
      <c r="N5" s="1795">
        <f>项目基本情况!C22</f>
        <v>161741.64000000001</v>
      </c>
      <c r="O5" s="1795">
        <f>项目基本情况!C21</f>
        <v>760592.91999999993</v>
      </c>
      <c r="P5" s="1795">
        <f ca="1">结果表!E42</f>
        <v>8804</v>
      </c>
      <c r="Q5" s="1795">
        <f ca="1">结果表!D42</f>
        <v>1872</v>
      </c>
      <c r="R5" s="1796">
        <f ca="1">结果表!C42</f>
        <v>142396</v>
      </c>
    </row>
    <row r="6" spans="1:18">
      <c r="A6" s="3280" t="str">
        <f>IF(项目基本情况!B9="市场价格","——","抵押价格")</f>
        <v>抵押价格</v>
      </c>
      <c r="B6" s="3281"/>
      <c r="C6" s="3281"/>
      <c r="D6" s="3281"/>
      <c r="E6" s="3281"/>
      <c r="F6" s="3281"/>
      <c r="G6" s="3281"/>
      <c r="H6" s="3281"/>
      <c r="I6" s="3281"/>
      <c r="J6" s="3281"/>
      <c r="K6" s="3281"/>
      <c r="L6" s="3281"/>
      <c r="M6" s="3281"/>
      <c r="N6" s="3281"/>
      <c r="O6" s="3281"/>
      <c r="P6" s="3281"/>
      <c r="Q6" s="3282"/>
      <c r="R6" s="1797">
        <f ca="1">结果表!O39</f>
        <v>142396</v>
      </c>
    </row>
    <row r="7" spans="1:18">
      <c r="A7" s="3280" t="str">
        <f>IF(项目基本情况!B9="市场价格","——",IF(项目基本情况!E8="已注销及未注销","抵押担保权已注销时的抵押价格","——"))</f>
        <v>——</v>
      </c>
      <c r="B7" s="3281"/>
      <c r="C7" s="3281"/>
      <c r="D7" s="3281"/>
      <c r="E7" s="3281"/>
      <c r="F7" s="3281"/>
      <c r="G7" s="3281"/>
      <c r="H7" s="3281"/>
      <c r="I7" s="3281"/>
      <c r="J7" s="3281"/>
      <c r="K7" s="3281"/>
      <c r="L7" s="3281"/>
      <c r="M7" s="3281"/>
      <c r="N7" s="3281"/>
      <c r="O7" s="3281"/>
      <c r="P7" s="3281"/>
      <c r="Q7" s="3282"/>
      <c r="R7" s="1797" t="str">
        <f>结果表!O40</f>
        <v>——</v>
      </c>
    </row>
    <row r="8" spans="1:18">
      <c r="A8" s="3280" t="str">
        <f>IF(项目基本情况!B9="市场价格","——",项目基本情况!E9)</f>
        <v>——</v>
      </c>
      <c r="B8" s="3281"/>
      <c r="C8" s="3281"/>
      <c r="D8" s="3281"/>
      <c r="E8" s="3281"/>
      <c r="F8" s="3281"/>
      <c r="G8" s="3281"/>
      <c r="H8" s="3281"/>
      <c r="I8" s="3281"/>
      <c r="J8" s="3281"/>
      <c r="K8" s="3281"/>
      <c r="L8" s="3281"/>
      <c r="M8" s="3281"/>
      <c r="N8" s="3281"/>
      <c r="O8" s="3281"/>
      <c r="P8" s="3281"/>
      <c r="Q8" s="3282"/>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7" customWidth="1"/>
    <col min="2" max="3" width="21.375" style="1787" customWidth="1"/>
    <col min="4" max="4" width="19.875" style="1787" customWidth="1"/>
    <col min="5" max="16384" width="9" style="1787"/>
  </cols>
  <sheetData>
    <row r="1" spans="1:4">
      <c r="A1" s="3288" t="s">
        <v>2063</v>
      </c>
      <c r="B1" s="3288"/>
      <c r="C1" s="3288"/>
      <c r="D1" s="3288"/>
    </row>
    <row r="2" spans="1:4" ht="47.25" customHeight="1">
      <c r="A2" s="3289" t="str">
        <f>"1.权利限制："&amp;项目基本情况!L24&amp;"未设定租赁等其他他项权利。"</f>
        <v>1.权利限制：根据估价对象《不动产权证书》复印件，截至估价期日，估价对象抵押权未见登记。未设定租赁等其他他项权利。</v>
      </c>
      <c r="B2" s="3289"/>
      <c r="C2" s="3289"/>
      <c r="D2" s="3289"/>
    </row>
    <row r="3" spans="1:4" ht="48" customHeight="1">
      <c r="A3" s="32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88"/>
      <c r="C3" s="3288"/>
      <c r="D3" s="3288"/>
    </row>
    <row r="4" spans="1:4" ht="36.75" customHeight="1">
      <c r="A4" s="3288" t="str">
        <f>"3.估价规划限制条件：详见"&amp;项目基本情况!E21&amp;"。"</f>
        <v>3.估价规划限制条件：详见《建设工程规划许可证》[]、《出让合同》[]。</v>
      </c>
      <c r="B4" s="3288"/>
      <c r="C4" s="3288"/>
      <c r="D4" s="3288"/>
    </row>
    <row r="5" spans="1:4">
      <c r="A5" s="3287" t="s">
        <v>2064</v>
      </c>
      <c r="B5" s="3287"/>
      <c r="C5" s="3287"/>
      <c r="D5" s="3287"/>
    </row>
    <row r="6" spans="1:4">
      <c r="A6" s="3288" t="s">
        <v>2042</v>
      </c>
      <c r="B6" s="3288"/>
      <c r="C6" s="3288"/>
      <c r="D6" s="3288"/>
    </row>
    <row r="7" spans="1:4" ht="33" customHeight="1">
      <c r="A7" s="3288" t="s">
        <v>2572</v>
      </c>
      <c r="B7" s="3288"/>
      <c r="C7" s="3288"/>
      <c r="D7" s="3288"/>
    </row>
    <row r="8" spans="1:4" ht="32.25" customHeight="1">
      <c r="A8" s="32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8"/>
      <c r="C8" s="3288"/>
      <c r="D8" s="3288"/>
    </row>
    <row r="9" spans="1:4" ht="33.75" customHeight="1">
      <c r="A9" s="32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8"/>
      <c r="C9" s="3288"/>
      <c r="D9" s="3288"/>
    </row>
    <row r="10" spans="1:4">
      <c r="A10" s="3288" t="str">
        <f>IF(项目基本情况!B8="抵押","4.估价师所知悉的法定优先受偿款情况为：","——")</f>
        <v>4.估价师所知悉的法定优先受偿款情况为：</v>
      </c>
      <c r="B10" s="3288"/>
      <c r="C10" s="3288"/>
      <c r="D10" s="3288"/>
    </row>
    <row r="11" spans="1:4" ht="37.5" customHeight="1">
      <c r="A11" s="3290" t="str">
        <f>IF(项目基本情况!B8="抵押","（1）"&amp;CONCATENATE(项目基本情况!L24,项目基本情况!L25,项目基本情况!L26),"——")</f>
        <v>（1）根据估价对象《不动产权证书》复印件，截至估价期日，估价对象抵押权未见登记。</v>
      </c>
      <c r="B11" s="3290"/>
      <c r="C11" s="3290"/>
      <c r="D11" s="3290"/>
    </row>
    <row r="12" spans="1:4" ht="168" customHeight="1">
      <c r="A12" s="3287" t="s">
        <v>2066</v>
      </c>
      <c r="B12" s="3287"/>
      <c r="C12" s="3287"/>
      <c r="D12" s="3287"/>
    </row>
    <row r="13" spans="1:4">
      <c r="A13" s="3291" t="s">
        <v>2742</v>
      </c>
      <c r="B13" s="3291"/>
      <c r="C13" s="3291"/>
      <c r="D13" s="3291"/>
    </row>
    <row r="14" spans="1:4">
      <c r="A14" s="3290" t="str">
        <f>IF(项目基本情况!B8="抵押","综上，"&amp;结果表!K47,"——")</f>
        <v>综上，本次评估不存在估价师知悉的法定优先受偿款</v>
      </c>
      <c r="B14" s="3290"/>
      <c r="C14" s="3290"/>
      <c r="D14" s="3290"/>
    </row>
    <row r="15" spans="1:4" ht="58.5" customHeight="1">
      <c r="A15" s="32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8"/>
      <c r="C15" s="3288"/>
      <c r="D15" s="3288"/>
    </row>
    <row r="16" spans="1:4" ht="70.5" customHeight="1">
      <c r="A16" s="32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8"/>
      <c r="C16" s="3288"/>
      <c r="D16" s="3288"/>
    </row>
    <row r="17" spans="1:4">
      <c r="A17" s="3288" t="s">
        <v>2698</v>
      </c>
      <c r="B17" s="3288"/>
      <c r="C17" s="3288"/>
      <c r="D17" s="3288"/>
    </row>
    <row r="18" spans="1:4">
      <c r="A18" s="3288" t="s">
        <v>2690</v>
      </c>
      <c r="B18" s="3288"/>
      <c r="C18" s="3288"/>
      <c r="D18" s="3288"/>
    </row>
    <row r="19" spans="1:4">
      <c r="A19" s="2823" t="s">
        <v>2691</v>
      </c>
      <c r="B19" s="2823" t="s">
        <v>2692</v>
      </c>
      <c r="C19" s="2823" t="s">
        <v>2693</v>
      </c>
      <c r="D19" s="2823" t="s">
        <v>2694</v>
      </c>
    </row>
    <row r="20" spans="1:4">
      <c r="A20" s="2823" t="str">
        <f>项目基本情况!B4</f>
        <v>王鹏</v>
      </c>
      <c r="B20" s="2823">
        <f ca="1">项目基本情况!C4</f>
        <v>2002110030</v>
      </c>
      <c r="C20" s="2825"/>
      <c r="D20" s="1785" t="s">
        <v>2699</v>
      </c>
    </row>
    <row r="21" spans="1:4">
      <c r="A21" s="2823" t="str">
        <f>项目基本情况!D4</f>
        <v>郑燚</v>
      </c>
      <c r="B21" s="2823">
        <f ca="1">项目基本情况!E4</f>
        <v>2014110011</v>
      </c>
      <c r="C21" s="2825"/>
      <c r="D21" s="1785" t="s">
        <v>2700</v>
      </c>
    </row>
    <row r="23" spans="1:4">
      <c r="A23" s="3288" t="s">
        <v>2695</v>
      </c>
      <c r="B23" s="3288"/>
      <c r="C23" s="3288"/>
      <c r="D23" s="3288"/>
    </row>
    <row r="24" spans="1:4">
      <c r="A24" s="2823" t="s">
        <v>2691</v>
      </c>
      <c r="B24" s="2823" t="s">
        <v>2696</v>
      </c>
      <c r="C24" s="2823" t="s">
        <v>2693</v>
      </c>
      <c r="D24" s="2823" t="s">
        <v>2694</v>
      </c>
    </row>
    <row r="25" spans="1:4">
      <c r="A25" s="2826" t="s">
        <v>2697</v>
      </c>
      <c r="B25" s="2823" t="s">
        <v>952</v>
      </c>
      <c r="C25" s="2825"/>
      <c r="D25" s="1785" t="s">
        <v>2700</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99" t="s">
        <v>53</v>
      </c>
      <c r="B15" s="3300" t="s">
        <v>846</v>
      </c>
      <c r="C15" s="3296"/>
    </row>
    <row r="16" spans="1:7" ht="14.25">
      <c r="A16" s="3299"/>
      <c r="B16" s="3297" t="s">
        <v>54</v>
      </c>
      <c r="C16" s="1167" t="s">
        <v>53</v>
      </c>
    </row>
    <row r="17" spans="1:3" ht="14.25">
      <c r="A17" s="3299"/>
      <c r="B17" s="3297"/>
      <c r="C17" s="1167" t="s">
        <v>55</v>
      </c>
    </row>
    <row r="18" spans="1:3" ht="14.25">
      <c r="A18" s="3299"/>
      <c r="B18" s="3297"/>
      <c r="C18" s="1167" t="s">
        <v>56</v>
      </c>
    </row>
    <row r="19" spans="1:3" ht="14.25">
      <c r="A19" s="3299"/>
      <c r="B19" s="3295" t="s">
        <v>57</v>
      </c>
      <c r="C19" s="3296"/>
    </row>
    <row r="20" spans="1:3" ht="14.25">
      <c r="A20" s="1168" t="s">
        <v>58</v>
      </c>
      <c r="B20" s="1169"/>
      <c r="C20" s="1170"/>
    </row>
    <row r="21" spans="1:3" ht="14.25">
      <c r="A21" s="3298" t="s">
        <v>59</v>
      </c>
      <c r="B21" s="3295" t="s">
        <v>60</v>
      </c>
      <c r="C21" s="3296"/>
    </row>
    <row r="22" spans="1:3" ht="14.25">
      <c r="A22" s="3298"/>
      <c r="B22" s="3295" t="s">
        <v>61</v>
      </c>
      <c r="C22" s="3296"/>
    </row>
    <row r="23" spans="1:3" ht="14.25">
      <c r="A23" s="3298"/>
      <c r="B23" s="3295" t="s">
        <v>62</v>
      </c>
      <c r="C23" s="3296"/>
    </row>
    <row r="24" spans="1:3" ht="14.25">
      <c r="A24" s="3298"/>
      <c r="B24" s="3301" t="s">
        <v>63</v>
      </c>
      <c r="C24" s="1171" t="s">
        <v>837</v>
      </c>
    </row>
    <row r="25" spans="1:3" ht="14.25">
      <c r="A25" s="3298"/>
      <c r="B25" s="3302"/>
      <c r="C25" s="1171" t="s">
        <v>838</v>
      </c>
    </row>
    <row r="26" spans="1:3" ht="14.25">
      <c r="A26" s="3298"/>
      <c r="B26" s="3302"/>
      <c r="C26" s="1171" t="s">
        <v>839</v>
      </c>
    </row>
    <row r="27" spans="1:3" ht="14.25">
      <c r="A27" s="3298"/>
      <c r="B27" s="3302"/>
      <c r="C27" s="1171" t="s">
        <v>840</v>
      </c>
    </row>
    <row r="28" spans="1:3" ht="14.25">
      <c r="A28" s="3298"/>
      <c r="B28" s="3302"/>
      <c r="C28" s="1171" t="s">
        <v>841</v>
      </c>
    </row>
    <row r="29" spans="1:3" ht="14.25">
      <c r="A29" s="3298"/>
      <c r="B29" s="3302"/>
      <c r="C29" s="1171" t="s">
        <v>842</v>
      </c>
    </row>
    <row r="30" spans="1:3" ht="14.25">
      <c r="A30" s="3298"/>
      <c r="B30" s="3302"/>
      <c r="C30" s="1171" t="s">
        <v>843</v>
      </c>
    </row>
    <row r="31" spans="1:3" ht="14.25">
      <c r="A31" s="3298"/>
      <c r="B31" s="3302"/>
      <c r="C31" s="1171" t="s">
        <v>844</v>
      </c>
    </row>
    <row r="32" spans="1:3" ht="14.25">
      <c r="A32" s="3298"/>
      <c r="B32" s="3302"/>
      <c r="C32" s="1171" t="s">
        <v>1646</v>
      </c>
    </row>
    <row r="33" spans="1:3" ht="14.25">
      <c r="A33" s="3298"/>
      <c r="B33" s="3292" t="s">
        <v>1652</v>
      </c>
      <c r="C33" s="1171" t="s">
        <v>1647</v>
      </c>
    </row>
    <row r="34" spans="1:3" ht="14.25">
      <c r="A34" s="3298"/>
      <c r="B34" s="3293"/>
      <c r="C34" s="1176" t="s">
        <v>1648</v>
      </c>
    </row>
    <row r="35" spans="1:3" ht="14.25">
      <c r="A35" s="3298"/>
      <c r="B35" s="3293"/>
      <c r="C35" s="1177" t="s">
        <v>1649</v>
      </c>
    </row>
    <row r="36" spans="1:3" ht="14.25">
      <c r="A36" s="3298"/>
      <c r="B36" s="3293"/>
      <c r="C36" s="1177" t="s">
        <v>1650</v>
      </c>
    </row>
    <row r="37" spans="1:3" ht="14.25">
      <c r="A37" s="3298"/>
      <c r="B37" s="329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43628</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2977</v>
      </c>
      <c r="B14" s="3132">
        <f ca="1">IF(C14&lt;B2,"已过期",1120040230)</f>
        <v>1120040230</v>
      </c>
      <c r="C14" s="3136">
        <v>43835</v>
      </c>
      <c r="D14" s="3137" t="s">
        <v>2978</v>
      </c>
      <c r="E14" s="3132">
        <f ca="1">IF(F14&lt;B2,"已过期",98030020)</f>
        <v>98030020</v>
      </c>
      <c r="F14" s="3135">
        <v>47118</v>
      </c>
    </row>
    <row r="15" spans="1:6" ht="20.25" customHeight="1">
      <c r="A15" s="3132" t="s">
        <v>2571</v>
      </c>
      <c r="B15" s="3132">
        <f ca="1">IF(C15&lt;B2,"已过期",1120070085)</f>
        <v>1120070085</v>
      </c>
      <c r="C15" s="3136">
        <v>43814</v>
      </c>
      <c r="D15" s="3132" t="s">
        <v>2979</v>
      </c>
      <c r="E15" s="3132">
        <f ca="1">IF(F15&lt;B2,"已过期",2004110128)</f>
        <v>2004110128</v>
      </c>
      <c r="F15" s="3138">
        <v>47118</v>
      </c>
    </row>
    <row r="16" spans="1:6" ht="20.25" customHeight="1">
      <c r="A16" s="3132" t="s">
        <v>1923</v>
      </c>
      <c r="B16" s="3132">
        <f ca="1">IF(C16&lt;B2,"已过期",1120140022)</f>
        <v>1120140022</v>
      </c>
      <c r="C16" s="3134">
        <v>44029</v>
      </c>
      <c r="D16" s="3132" t="s">
        <v>2980</v>
      </c>
      <c r="E16" s="3132">
        <f ca="1">IF(F16&lt;B2,"已过期",2008110059)</f>
        <v>2008110059</v>
      </c>
      <c r="F16" s="3135">
        <v>47177</v>
      </c>
    </row>
    <row r="17" spans="1:7" ht="20.25" customHeight="1">
      <c r="A17" s="3132"/>
      <c r="B17" s="3132"/>
      <c r="C17" s="3134"/>
      <c r="D17" s="3137" t="s">
        <v>2981</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2051</v>
      </c>
      <c r="B24" s="3131" t="s">
        <v>2051</v>
      </c>
      <c r="C24" s="3134"/>
      <c r="D24" s="3139" t="s">
        <v>2051</v>
      </c>
      <c r="E24" s="3131" t="s">
        <v>2051</v>
      </c>
      <c r="F24" s="3138"/>
    </row>
    <row r="25" spans="1:7" ht="20.25" customHeight="1">
      <c r="A25" s="3303" t="s">
        <v>1926</v>
      </c>
      <c r="B25" s="3303"/>
      <c r="C25" s="3303"/>
      <c r="D25" s="3303"/>
      <c r="E25" s="3303"/>
      <c r="F25" s="3303"/>
      <c r="G25" s="3303"/>
    </row>
    <row r="26" spans="1:7" ht="20.25" customHeight="1">
      <c r="A26" s="3304" t="s">
        <v>1927</v>
      </c>
      <c r="B26" s="3304"/>
      <c r="C26" s="3304"/>
      <c r="D26" s="3304" t="s">
        <v>1928</v>
      </c>
      <c r="E26" s="3304"/>
      <c r="F26" s="330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2939</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2" sqref="W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2951</v>
      </c>
      <c r="C18" s="1540"/>
    </row>
    <row r="19" spans="1:3">
      <c r="A19" s="8" t="s">
        <v>120</v>
      </c>
      <c r="B19" s="3064" t="s">
        <v>2959</v>
      </c>
      <c r="C19" s="1540"/>
    </row>
    <row r="20" spans="1:3">
      <c r="A20" s="8" t="s">
        <v>121</v>
      </c>
      <c r="B20" s="8" t="s">
        <v>1641</v>
      </c>
      <c r="C20" s="1540"/>
    </row>
    <row r="21" spans="1:3">
      <c r="A21" s="8" t="s">
        <v>122</v>
      </c>
      <c r="B21" s="8" t="s">
        <v>3309</v>
      </c>
      <c r="C21" s="1540"/>
    </row>
    <row r="22" spans="1:3">
      <c r="A22" s="8" t="s">
        <v>123</v>
      </c>
      <c r="B22" s="8" t="s">
        <v>3310</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太原旭凰房地产开发有限公司拟使用山西省太原市尖草坪区三给片区一宗住宅、商业、地下车库及科教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305"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5日，在规划利用条件下、设定土地开发程度为红线外“七通”、宗地内场地，设定用途为住宅、商业、地下车库及科教，剩余土地使用年限为的出让国有建设用地使用权价格。</v>
      </c>
      <c r="D53" s="1752"/>
      <c r="E53" s="1752"/>
    </row>
    <row r="54" spans="1:5">
      <c r="A54" s="3305"/>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05"/>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05"/>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05"/>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不动产收益法（地下车库）</vt:lpstr>
      <vt:lpstr>案例位置!Print_Area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2019-06-04T11:19:04Z</cp:lastPrinted>
  <dcterms:created xsi:type="dcterms:W3CDTF">2015-07-13T07:17:23Z</dcterms:created>
  <dcterms:modified xsi:type="dcterms:W3CDTF">2019-06-12T07:38:22Z</dcterms:modified>
</cp:coreProperties>
</file>