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土增税\F02市场价值\"/>
    </mc:Choice>
  </mc:AlternateContent>
  <bookViews>
    <workbookView xWindow="0" yWindow="0" windowWidth="17220" windowHeight="13224"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Sheet1" sheetId="8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汇总表" sheetId="83" r:id="rId20"/>
    <sheet name="成本法-仓库5.6" sheetId="81" r:id="rId21"/>
    <sheet name="成本法-办公楼1" sheetId="69" r:id="rId22"/>
    <sheet name="基准地价修正" sheetId="43" r:id="rId23"/>
    <sheet name="成本法" sheetId="68" state="hidden" r:id="rId24"/>
    <sheet name="假设开发法" sheetId="12" state="hidden" r:id="rId25"/>
    <sheet name="收益法" sheetId="15" state="hidden" r:id="rId26"/>
    <sheet name="收益法 -办公楼1" sheetId="82" r:id="rId27"/>
    <sheet name="收益法-仓库5.6" sheetId="67"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1">'成本法-办公楼1'!$A$1:$G$57</definedName>
    <definedName name="_xlnm.Print_Area" localSheetId="20">'成本法-仓库5.6'!$A$1:$G$57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-办公楼1'!$A$1:$F$43,'收益法 -办公楼1'!$H$3:$M$29,'收益法 -办公楼1'!$A$45:$F$71,'收益法 -办公楼1'!$I$46:$N$65</definedName>
    <definedName name="_xlnm.Print_Area" localSheetId="29">'收益法（汇总）'!$A$1:$F$13</definedName>
    <definedName name="_xlnm.Print_Area" localSheetId="27">'收益法-仓库5.6'!$A$1:$F$43,'收益法-仓库5.6'!$H$3:$M$29,'收益法-仓库5.6'!$A$45:$F$71,'收益法-仓库5.6'!$I$46:$N$65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F6" i="82" l="1"/>
  <c r="F8" i="82"/>
  <c r="F7" i="82"/>
  <c r="F9" i="82"/>
  <c r="C6" i="82"/>
  <c r="F4" i="73"/>
  <c r="I1" i="73"/>
  <c r="B39" i="1"/>
  <c r="F11" i="82"/>
  <c r="C10" i="82"/>
  <c r="C5" i="82"/>
  <c r="C32" i="82"/>
  <c r="C33" i="82"/>
  <c r="R6" i="1"/>
  <c r="F35" i="82"/>
  <c r="C34" i="82"/>
  <c r="C31" i="82"/>
  <c r="F43" i="82"/>
  <c r="C14" i="82"/>
  <c r="C15" i="82"/>
  <c r="F16" i="82"/>
  <c r="C16" i="82"/>
  <c r="C17" i="82"/>
  <c r="C18" i="82"/>
  <c r="C19" i="82"/>
  <c r="C20" i="82"/>
  <c r="D5" i="73"/>
  <c r="G1" i="73"/>
  <c r="B40" i="1"/>
  <c r="F24" i="82"/>
  <c r="C23" i="82"/>
  <c r="F26" i="82"/>
  <c r="C26" i="82"/>
  <c r="C24" i="82"/>
  <c r="C27" i="82"/>
  <c r="C29" i="82"/>
  <c r="F36" i="82"/>
  <c r="C36" i="82"/>
  <c r="F13" i="82"/>
  <c r="C13" i="82"/>
  <c r="F37" i="82"/>
  <c r="C37" i="82"/>
  <c r="F38" i="82"/>
  <c r="C38" i="82"/>
  <c r="C30" i="82"/>
  <c r="C39" i="82"/>
  <c r="F42" i="82"/>
  <c r="F40" i="82"/>
  <c r="F41" i="82"/>
  <c r="C40" i="82"/>
  <c r="M6" i="82"/>
  <c r="M8" i="82"/>
  <c r="M7" i="82"/>
  <c r="M9" i="82"/>
  <c r="J6" i="82"/>
  <c r="M11" i="82"/>
  <c r="J10" i="82"/>
  <c r="J5" i="82"/>
  <c r="J26" i="82"/>
  <c r="J29" i="82"/>
  <c r="L48" i="82"/>
  <c r="J57" i="82"/>
  <c r="J55" i="82"/>
  <c r="J58" i="82"/>
  <c r="J59" i="82"/>
  <c r="J53" i="82"/>
  <c r="J60" i="82"/>
  <c r="L46" i="82"/>
  <c r="D2" i="82"/>
  <c r="B3" i="82"/>
  <c r="E2" i="83"/>
  <c r="D10" i="69"/>
  <c r="C6" i="69"/>
  <c r="C7" i="69"/>
  <c r="D9" i="69"/>
  <c r="C9" i="69"/>
  <c r="C10" i="69"/>
  <c r="C8" i="69"/>
  <c r="C5" i="69"/>
  <c r="C20" i="69"/>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G2" i="83"/>
  <c r="I2" i="83"/>
  <c r="J2" i="83"/>
  <c r="F6" i="67"/>
  <c r="F8" i="67"/>
  <c r="F7" i="67"/>
  <c r="F9" i="67"/>
  <c r="C6" i="67"/>
  <c r="F11" i="67"/>
  <c r="C10" i="67"/>
  <c r="C5" i="67"/>
  <c r="C32" i="67"/>
  <c r="C33" i="67"/>
  <c r="R7"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7" i="1"/>
  <c r="F41" i="67"/>
  <c r="C40" i="67"/>
  <c r="M6" i="67"/>
  <c r="M8" i="67"/>
  <c r="M7" i="67"/>
  <c r="M9" i="67"/>
  <c r="J6" i="67"/>
  <c r="M11" i="67"/>
  <c r="J10" i="67"/>
  <c r="J5" i="67"/>
  <c r="J26" i="67"/>
  <c r="J29" i="67"/>
  <c r="J57" i="67"/>
  <c r="J55" i="67"/>
  <c r="J58" i="67"/>
  <c r="J59" i="67"/>
  <c r="J60" i="67"/>
  <c r="L46" i="67"/>
  <c r="D2" i="67"/>
  <c r="B3" i="67"/>
  <c r="E3" i="83"/>
  <c r="D10" i="81"/>
  <c r="C6" i="81"/>
  <c r="C7" i="81"/>
  <c r="D9" i="81"/>
  <c r="C9" i="81"/>
  <c r="C10" i="81"/>
  <c r="C8" i="81"/>
  <c r="C5" i="81"/>
  <c r="C20" i="81"/>
  <c r="F22" i="81"/>
  <c r="C23" i="81"/>
  <c r="C24" i="81"/>
  <c r="C25" i="81"/>
  <c r="C22" i="81"/>
  <c r="F27" i="81"/>
  <c r="C28" i="81"/>
  <c r="C27" i="81"/>
  <c r="C26" i="81"/>
  <c r="D22" i="81"/>
  <c r="C29" i="81"/>
  <c r="D27" i="81"/>
  <c r="C31" i="81"/>
  <c r="C34" i="81"/>
  <c r="C35" i="81"/>
  <c r="C36" i="81"/>
  <c r="D19" i="81"/>
  <c r="D37" i="81"/>
  <c r="C37" i="81"/>
  <c r="C38" i="81"/>
  <c r="C33" i="81"/>
  <c r="C39" i="81"/>
  <c r="C42" i="81"/>
  <c r="C43" i="81"/>
  <c r="C41" i="81"/>
  <c r="C46" i="81"/>
  <c r="C45" i="81"/>
  <c r="C44" i="81"/>
  <c r="D41" i="81"/>
  <c r="C47" i="81"/>
  <c r="D45" i="81"/>
  <c r="C49" i="81"/>
  <c r="C51" i="81"/>
  <c r="C52" i="81"/>
  <c r="B2" i="81"/>
  <c r="B3" i="81"/>
  <c r="G3" i="83"/>
  <c r="I3" i="83"/>
  <c r="J3" i="83"/>
  <c r="J6" i="83"/>
  <c r="D14" i="74"/>
  <c r="B14" i="74"/>
  <c r="D6" i="83"/>
  <c r="E4" i="83"/>
  <c r="G4" i="83"/>
  <c r="I4" i="83"/>
  <c r="D4" i="83"/>
  <c r="J4" i="83"/>
  <c r="E5" i="83"/>
  <c r="G5" i="83"/>
  <c r="I5" i="83"/>
  <c r="D5" i="83"/>
  <c r="J5" i="83"/>
  <c r="J7" i="83"/>
  <c r="J8" i="83"/>
  <c r="J11" i="83"/>
  <c r="J9" i="83"/>
  <c r="F5" i="83"/>
  <c r="F4" i="83"/>
  <c r="H5" i="83"/>
  <c r="H4" i="83"/>
  <c r="F50" i="69"/>
  <c r="F50" i="81"/>
  <c r="G84" i="43"/>
  <c r="G85" i="43"/>
  <c r="G86" i="43"/>
  <c r="G87" i="43"/>
  <c r="G88" i="43"/>
  <c r="G89" i="43"/>
  <c r="G90" i="43"/>
  <c r="G83" i="43"/>
  <c r="B59" i="1"/>
  <c r="D3" i="83"/>
  <c r="D2" i="83"/>
  <c r="H3" i="83"/>
  <c r="H2" i="83"/>
  <c r="D3" i="4"/>
  <c r="H15" i="4"/>
  <c r="F6" i="1"/>
  <c r="AE6" i="1"/>
  <c r="H13" i="4"/>
  <c r="Q72" i="82"/>
  <c r="Q59" i="82"/>
  <c r="K59" i="82"/>
  <c r="P74" i="82"/>
  <c r="F59" i="82"/>
  <c r="Q58" i="82"/>
  <c r="Q51" i="82"/>
  <c r="J50" i="82"/>
  <c r="M47" i="82"/>
  <c r="D46" i="82"/>
  <c r="B52" i="1"/>
  <c r="F34" i="82"/>
  <c r="F62" i="82"/>
  <c r="F33" i="82"/>
  <c r="F61" i="82"/>
  <c r="F32" i="82"/>
  <c r="F60" i="82"/>
  <c r="F31" i="82"/>
  <c r="F28" i="82"/>
  <c r="B2" i="1"/>
  <c r="C42" i="1"/>
  <c r="C28" i="82"/>
  <c r="F23" i="82"/>
  <c r="D24" i="82"/>
  <c r="D23" i="82"/>
  <c r="D22" i="82"/>
  <c r="F21" i="82"/>
  <c r="M20" i="82"/>
  <c r="F20" i="82"/>
  <c r="M19" i="82"/>
  <c r="M18" i="82"/>
  <c r="F18" i="82"/>
  <c r="M17" i="82"/>
  <c r="F17" i="82"/>
  <c r="F15" i="82"/>
  <c r="G1" i="82"/>
  <c r="M6" i="1"/>
  <c r="M7" i="1"/>
  <c r="M16" i="1"/>
  <c r="N16" i="1"/>
  <c r="C48" i="81"/>
  <c r="G41" i="81"/>
  <c r="F38" i="81"/>
  <c r="E37" i="81"/>
  <c r="F36" i="81"/>
  <c r="F35" i="81"/>
  <c r="F30" i="81"/>
  <c r="F48" i="81"/>
  <c r="C30" i="81"/>
  <c r="G22" i="81"/>
  <c r="F21" i="81"/>
  <c r="F40" i="81"/>
  <c r="F20" i="81"/>
  <c r="F39" i="81"/>
  <c r="E19" i="81"/>
  <c r="E10" i="81"/>
  <c r="E9" i="81"/>
  <c r="F7" i="81"/>
  <c r="H1" i="81"/>
  <c r="G1" i="81"/>
  <c r="AH7" i="1"/>
  <c r="AH6" i="1"/>
  <c r="Y7" i="1"/>
  <c r="Y6" i="1"/>
  <c r="W7" i="1"/>
  <c r="V7" i="1"/>
  <c r="C76" i="82"/>
  <c r="E2" i="81"/>
  <c r="Q71" i="82"/>
  <c r="P61" i="82"/>
  <c r="J51" i="82"/>
  <c r="C19" i="81"/>
  <c r="C40" i="81"/>
  <c r="C21" i="81"/>
  <c r="M29" i="82"/>
  <c r="M22" i="82"/>
  <c r="J15" i="82"/>
  <c r="M28" i="82"/>
  <c r="M24" i="82"/>
  <c r="M23" i="82"/>
  <c r="M26" i="82"/>
  <c r="G23" i="43"/>
  <c r="C23" i="43"/>
  <c r="F7" i="1"/>
  <c r="I24" i="43"/>
  <c r="C24" i="43"/>
  <c r="D83" i="43"/>
  <c r="D84" i="43"/>
  <c r="K85" i="43"/>
  <c r="D85" i="43"/>
  <c r="K86" i="43"/>
  <c r="J86" i="43"/>
  <c r="D86" i="43"/>
  <c r="M89" i="43"/>
  <c r="D89" i="43"/>
  <c r="D88" i="43"/>
  <c r="D90" i="43"/>
  <c r="M87" i="43"/>
  <c r="D87" i="43"/>
  <c r="E83" i="43"/>
  <c r="B81" i="43"/>
  <c r="C28" i="43"/>
  <c r="C33" i="43"/>
  <c r="F45" i="81"/>
  <c r="F65" i="82"/>
  <c r="F50" i="82"/>
  <c r="F64" i="82"/>
  <c r="F66" i="82"/>
  <c r="F68" i="82"/>
  <c r="F71" i="82"/>
  <c r="F51" i="82"/>
  <c r="J19" i="82"/>
  <c r="J18" i="82"/>
  <c r="C49" i="82"/>
  <c r="C61" i="82"/>
  <c r="F20" i="6"/>
  <c r="F19" i="6"/>
  <c r="G13" i="4"/>
  <c r="D60" i="78"/>
  <c r="C60" i="78"/>
  <c r="B55" i="78"/>
  <c r="D55" i="78"/>
  <c r="D53" i="78"/>
  <c r="D52" i="78"/>
  <c r="D51" i="78"/>
  <c r="B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G15" i="73"/>
  <c r="F15" i="73"/>
  <c r="E15" i="73"/>
  <c r="G16" i="73"/>
  <c r="F16" i="73"/>
  <c r="E16" i="73"/>
  <c r="AB32" i="79"/>
  <c r="AA32" i="79"/>
  <c r="Z32" i="79"/>
  <c r="N32" i="79"/>
  <c r="M32" i="79"/>
  <c r="P32" i="79"/>
  <c r="L32" i="79"/>
  <c r="I32" i="79"/>
  <c r="AC7" i="79"/>
  <c r="AB7" i="79"/>
  <c r="AA7" i="79"/>
  <c r="AD7" i="79"/>
  <c r="Z7" i="79"/>
  <c r="Y7" i="79"/>
  <c r="O7" i="79"/>
  <c r="N7" i="79"/>
  <c r="M7" i="79"/>
  <c r="P7" i="79"/>
  <c r="L7" i="79"/>
  <c r="K7" i="79"/>
  <c r="I7" i="79"/>
  <c r="I10" i="79"/>
  <c r="I35" i="79"/>
  <c r="I34"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36" i="79"/>
  <c r="I37" i="79"/>
  <c r="I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L47" i="82"/>
  <c r="N59" i="82"/>
  <c r="M59" i="82"/>
  <c r="L59" i="82"/>
  <c r="I2" i="43"/>
  <c r="M1" i="43"/>
  <c r="Q74" i="82"/>
  <c r="Q61" i="82"/>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c r="E28" i="79"/>
  <c r="AC21" i="79"/>
  <c r="AB21" i="79"/>
  <c r="AA21" i="79"/>
  <c r="AD21" i="79"/>
  <c r="Z21" i="79"/>
  <c r="Y21" i="79"/>
  <c r="W21" i="79"/>
  <c r="P21" i="79"/>
  <c r="O21" i="79"/>
  <c r="N21" i="79"/>
  <c r="M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D17" i="79"/>
  <c r="AC17" i="79"/>
  <c r="AB17" i="79"/>
  <c r="AA17" i="79"/>
  <c r="Z17" i="79"/>
  <c r="Y17" i="79"/>
  <c r="O17" i="79"/>
  <c r="N17" i="79"/>
  <c r="M17" i="79"/>
  <c r="L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Y8" i="79"/>
  <c r="O8" i="79"/>
  <c r="N8" i="79"/>
  <c r="M8" i="79"/>
  <c r="L8" i="79"/>
  <c r="K8" i="79"/>
  <c r="I8"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c r="T19" i="79"/>
  <c r="W19" i="79"/>
  <c r="AD32" i="79"/>
  <c r="AD31" i="79"/>
  <c r="Z3" i="79"/>
  <c r="AA28" i="79"/>
  <c r="AD28" i="79"/>
  <c r="T34" i="79"/>
  <c r="W34" i="79"/>
  <c r="U40" i="79"/>
  <c r="AD41" i="79"/>
  <c r="S42" i="79"/>
  <c r="U44" i="79"/>
  <c r="AD45" i="79"/>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W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3"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c r="O24" i="71"/>
  <c r="C24" i="71"/>
  <c r="C23" i="71"/>
  <c r="Q25" i="71"/>
  <c r="F24" i="71"/>
  <c r="F23" i="71"/>
  <c r="F22" i="71"/>
  <c r="P25"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A20" i="51"/>
  <c r="A15" i="62"/>
  <c r="A14" i="62"/>
  <c r="B60" i="72"/>
  <c r="A13" i="62"/>
  <c r="B59" i="72"/>
  <c r="A19" i="62"/>
  <c r="B65" i="72"/>
  <c r="A12" i="62"/>
  <c r="B58" i="72"/>
  <c r="A120" i="9"/>
  <c r="A6" i="52"/>
  <c r="B57" i="72"/>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C51"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6" i="71"/>
  <c r="F38" i="71"/>
  <c r="F39" i="71"/>
  <c r="F40" i="71"/>
  <c r="V40" i="71"/>
  <c r="Q37" i="71"/>
  <c r="AB37" i="71"/>
  <c r="P37" i="71"/>
  <c r="O37" i="71"/>
  <c r="Y35" i="71"/>
  <c r="Z35" i="71"/>
  <c r="N37" i="71"/>
  <c r="B38" i="71"/>
  <c r="D37" i="71"/>
  <c r="Q36" i="71"/>
  <c r="AB36" i="71"/>
  <c r="P36" i="71"/>
  <c r="AA35" i="71"/>
  <c r="O36" i="71"/>
  <c r="N36" i="71"/>
  <c r="Q35" i="71"/>
  <c r="AB35" i="71"/>
  <c r="P35" i="71"/>
  <c r="O35" i="71"/>
  <c r="N35" i="71"/>
  <c r="Q34" i="71"/>
  <c r="AB34" i="71"/>
  <c r="P34" i="71"/>
  <c r="AA34" i="71"/>
  <c r="O34" i="71"/>
  <c r="N34" i="71"/>
  <c r="Q33" i="71"/>
  <c r="F34" i="71"/>
  <c r="F35" i="71"/>
  <c r="F36" i="71"/>
  <c r="V36" i="71"/>
  <c r="P33" i="71"/>
  <c r="O33" i="71"/>
  <c r="N33" i="71"/>
  <c r="B34" i="71"/>
  <c r="B35" i="71"/>
  <c r="B36" i="71"/>
  <c r="S36" i="71"/>
  <c r="D33" i="71"/>
  <c r="Q32" i="71"/>
  <c r="P32" i="71"/>
  <c r="O32" i="71"/>
  <c r="N32" i="71"/>
  <c r="Q31" i="71"/>
  <c r="P31" i="71"/>
  <c r="O31" i="71"/>
  <c r="N31" i="71"/>
  <c r="Q30" i="71"/>
  <c r="P30" i="71"/>
  <c r="O30" i="71"/>
  <c r="C31" i="71"/>
  <c r="N30" i="71"/>
  <c r="Q29" i="71"/>
  <c r="F30" i="71"/>
  <c r="F31" i="71"/>
  <c r="F32" i="71"/>
  <c r="V32" i="71"/>
  <c r="P29" i="71"/>
  <c r="O29" i="71"/>
  <c r="Y29" i="71"/>
  <c r="Z29" i="71"/>
  <c r="N29" i="71"/>
  <c r="D29" i="71"/>
  <c r="O28" i="71"/>
  <c r="Y26" i="71"/>
  <c r="Z26" i="71"/>
  <c r="N28" i="71"/>
  <c r="B30" i="71"/>
  <c r="B31" i="71"/>
  <c r="B32" i="71"/>
  <c r="S32" i="71"/>
  <c r="E30" i="71"/>
  <c r="E31" i="71"/>
  <c r="E32" i="71"/>
  <c r="U32" i="71"/>
  <c r="B39" i="71"/>
  <c r="B40" i="71"/>
  <c r="S40" i="71"/>
  <c r="E38" i="71"/>
  <c r="E39" i="71"/>
  <c r="E40" i="71"/>
  <c r="U40" i="71"/>
  <c r="N68" i="71"/>
  <c r="E34" i="71"/>
  <c r="C30" i="71"/>
  <c r="X31" i="71"/>
  <c r="C34" i="71"/>
  <c r="D34" i="71"/>
  <c r="X34" i="71"/>
  <c r="C38" i="71"/>
  <c r="D38" i="71"/>
  <c r="F51" i="71"/>
  <c r="F52" i="71"/>
  <c r="V52" i="71"/>
  <c r="Y27" i="71"/>
  <c r="Z27" i="71"/>
  <c r="B28" i="71"/>
  <c r="B27" i="71"/>
  <c r="B26" i="71"/>
  <c r="D30" i="71"/>
  <c r="C47" i="71"/>
  <c r="D47" i="71"/>
  <c r="D46" i="71"/>
  <c r="D50" i="71"/>
  <c r="P28" i="71"/>
  <c r="E28" i="71"/>
  <c r="U68" i="71"/>
  <c r="E67" i="71"/>
  <c r="Q28" i="71"/>
  <c r="C59" i="71"/>
  <c r="D58" i="71"/>
  <c r="C63" i="71"/>
  <c r="C64" i="71"/>
  <c r="D62" i="71"/>
  <c r="T68" i="71"/>
  <c r="O68" i="71"/>
  <c r="D68" i="71"/>
  <c r="C67" i="71"/>
  <c r="D67" i="71"/>
  <c r="Q68" i="71"/>
  <c r="E71" i="71"/>
  <c r="E70" i="71"/>
  <c r="D72" i="71"/>
  <c r="C75" i="71"/>
  <c r="D76" i="71"/>
  <c r="E79" i="71"/>
  <c r="E78" i="71"/>
  <c r="D80" i="71"/>
  <c r="C87" i="71"/>
  <c r="C86" i="71"/>
  <c r="D86" i="71"/>
  <c r="S28" i="71"/>
  <c r="F28" i="71"/>
  <c r="F27" i="71"/>
  <c r="F26" i="71"/>
  <c r="AA3" i="71"/>
  <c r="C66" i="71"/>
  <c r="O65" i="71"/>
  <c r="O67" i="71"/>
  <c r="D63" i="71"/>
  <c r="D75" i="71"/>
  <c r="C74" i="71"/>
  <c r="D74" i="71"/>
  <c r="D87" i="71"/>
  <c r="C60" i="71"/>
  <c r="D59" i="71"/>
  <c r="P67" i="71"/>
  <c r="E66" i="71"/>
  <c r="P65" i="71"/>
  <c r="O66" i="71"/>
  <c r="D66" i="71"/>
  <c r="T60" i="71"/>
  <c r="D60"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B57" i="43"/>
  <c r="C29" i="39"/>
  <c r="S25" i="40"/>
  <c r="S18" i="36"/>
  <c r="H25" i="40"/>
  <c r="AB25" i="40"/>
  <c r="J25" i="40"/>
  <c r="H29" i="39"/>
  <c r="AB29" i="39"/>
  <c r="J29" i="39"/>
  <c r="AC29" i="39"/>
  <c r="J18" i="36"/>
  <c r="AC18" i="36"/>
  <c r="H18" i="35"/>
  <c r="AB18" i="35"/>
  <c r="J18" i="35"/>
  <c r="W18" i="35"/>
  <c r="H21" i="37"/>
  <c r="AB21" i="37"/>
  <c r="F21" i="37"/>
  <c r="AA21" i="37"/>
  <c r="H21" i="34"/>
  <c r="AB21" i="34"/>
  <c r="H21" i="33"/>
  <c r="U21" i="33"/>
  <c r="F21" i="33"/>
  <c r="AA21" i="33"/>
  <c r="E83" i="21"/>
  <c r="F83" i="21"/>
  <c r="H1" i="69"/>
  <c r="AC25" i="40"/>
  <c r="W25" i="40"/>
  <c r="U29" i="39"/>
  <c r="W29" i="39"/>
  <c r="W18" i="36"/>
  <c r="U21" i="37"/>
  <c r="U21" i="34"/>
  <c r="AC18" i="35"/>
  <c r="J21" i="37"/>
  <c r="W21" i="37"/>
  <c r="J21" i="34"/>
  <c r="W21" i="34"/>
  <c r="J21" i="33"/>
  <c r="W21" i="33"/>
  <c r="H21" i="21"/>
  <c r="U21" i="21"/>
  <c r="F38" i="69"/>
  <c r="E37" i="69"/>
  <c r="F36" i="69"/>
  <c r="F35" i="69"/>
  <c r="F21" i="69"/>
  <c r="F40" i="69"/>
  <c r="F20" i="69"/>
  <c r="F39" i="69"/>
  <c r="E10" i="69"/>
  <c r="E9" i="69"/>
  <c r="AC21" i="37"/>
  <c r="AC21" i="33"/>
  <c r="G83" i="21"/>
  <c r="J21" i="21"/>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A4" i="51"/>
  <c r="B6" i="72"/>
  <c r="B1" i="4"/>
  <c r="D1" i="43"/>
  <c r="B50" i="43"/>
  <c r="B86" i="43"/>
  <c r="B85" i="43"/>
  <c r="B74" i="43"/>
  <c r="B63" i="43"/>
  <c r="B52" i="43"/>
  <c r="M90" i="43"/>
  <c r="N90" i="43"/>
  <c r="K90" i="43"/>
  <c r="N89" i="43"/>
  <c r="K89" i="43"/>
  <c r="M88" i="43"/>
  <c r="N88" i="43"/>
  <c r="K88" i="43"/>
  <c r="N87" i="43"/>
  <c r="K87" i="43"/>
  <c r="M86" i="43"/>
  <c r="N86" i="43"/>
  <c r="M85" i="43"/>
  <c r="N85" i="43"/>
  <c r="M84" i="43"/>
  <c r="N84" i="43"/>
  <c r="K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A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c r="H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L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AZ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AZ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AZ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c r="BM490" i="3"/>
  <c r="BK490" i="3"/>
  <c r="BJ490" i="3"/>
  <c r="BI490" i="3"/>
  <c r="BH490" i="3"/>
  <c r="BG490" i="3"/>
  <c r="BF490" i="3"/>
  <c r="BE490" i="3"/>
  <c r="BD490" i="3"/>
  <c r="BC490" i="3"/>
  <c r="BB490" i="3"/>
  <c r="AX490" i="3"/>
  <c r="AW490" i="3"/>
  <c r="AV490" i="3"/>
  <c r="AC490" i="3"/>
  <c r="G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c r="AZ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L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L469" i="3"/>
  <c r="BN469" i="3"/>
  <c r="BM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c r="AZ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AZ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L406" i="3"/>
  <c r="BN406" i="3"/>
  <c r="BM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L402" i="3"/>
  <c r="BN402" i="3"/>
  <c r="BM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c r="B13" i="53"/>
  <c r="B29" i="72"/>
  <c r="R35" i="4"/>
  <c r="Q35" i="4"/>
  <c r="P35" i="4"/>
  <c r="O35" i="4"/>
  <c r="N35" i="4"/>
  <c r="M35" i="4"/>
  <c r="L35" i="4"/>
  <c r="K34" i="4"/>
  <c r="T34" i="4"/>
  <c r="G13" i="1"/>
  <c r="G15" i="4"/>
  <c r="F12" i="1"/>
  <c r="G12" i="1"/>
  <c r="F15" i="4"/>
  <c r="F11" i="1"/>
  <c r="G11" i="1"/>
  <c r="D15" i="4"/>
  <c r="C15" i="4"/>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R5"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c r="BO14" i="3"/>
  <c r="BO15" i="3"/>
  <c r="BO16" i="3"/>
  <c r="BO17" i="3"/>
  <c r="BN13" i="3"/>
  <c r="BN5" i="3"/>
  <c r="G29" i="6"/>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B5" i="3"/>
  <c r="BC13" i="3"/>
  <c r="BD13" i="3"/>
  <c r="BE13" i="3"/>
  <c r="BF13" i="3"/>
  <c r="BF5" i="3"/>
  <c r="BG13" i="3"/>
  <c r="BH13" i="3"/>
  <c r="BI13" i="3"/>
  <c r="BI5"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A576" i="3"/>
  <c r="BF576" i="3"/>
  <c r="BG576" i="3"/>
  <c r="BH576" i="3"/>
  <c r="BI576" i="3"/>
  <c r="BJ576" i="3"/>
  <c r="BK576" i="3"/>
  <c r="BM576" i="3"/>
  <c r="BN576" i="3"/>
  <c r="BO576" i="3"/>
  <c r="BP576" i="3"/>
  <c r="BQ576" i="3"/>
  <c r="BR576" i="3"/>
  <c r="BS576" i="3"/>
  <c r="BT576" i="3"/>
  <c r="H577" i="3"/>
  <c r="AC577" i="3"/>
  <c r="BB577" i="3"/>
  <c r="BC577" i="3"/>
  <c r="BD577" i="3"/>
  <c r="BE577" i="3"/>
  <c r="BA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L582" i="3"/>
  <c r="BN582" i="3"/>
  <c r="BO582" i="3"/>
  <c r="BP582" i="3"/>
  <c r="BQ582" i="3"/>
  <c r="BR582" i="3"/>
  <c r="BS582" i="3"/>
  <c r="BT582" i="3"/>
  <c r="H583" i="3"/>
  <c r="G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c r="BF584" i="3"/>
  <c r="BG584" i="3"/>
  <c r="BH584" i="3"/>
  <c r="BI584" i="3"/>
  <c r="BJ584" i="3"/>
  <c r="BK584" i="3"/>
  <c r="BM584" i="3"/>
  <c r="BN584" i="3"/>
  <c r="BO584" i="3"/>
  <c r="BP584" i="3"/>
  <c r="BQ584" i="3"/>
  <c r="BR584" i="3"/>
  <c r="BS584" i="3"/>
  <c r="BT584" i="3"/>
  <c r="H7" i="12"/>
  <c r="I7" i="12"/>
  <c r="J7" i="12"/>
  <c r="K7" i="12"/>
  <c r="H111" i="21"/>
  <c r="B109" i="39"/>
  <c r="H35"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H12" i="40"/>
  <c r="AB12" i="40"/>
  <c r="M74" i="40"/>
  <c r="L74" i="40"/>
  <c r="K74" i="40"/>
  <c r="J74" i="40"/>
  <c r="I74" i="40"/>
  <c r="H74" i="40"/>
  <c r="G74" i="40"/>
  <c r="F74" i="40"/>
  <c r="E74" i="40"/>
  <c r="D74" i="40"/>
  <c r="C74" i="40"/>
  <c r="P43" i="40"/>
  <c r="P42" i="40"/>
  <c r="V41" i="40"/>
  <c r="T41" i="40"/>
  <c r="R41" i="40"/>
  <c r="P41" i="40"/>
  <c r="Q40" i="40"/>
  <c r="Z40" i="40"/>
  <c r="Q39" i="40"/>
  <c r="Z39" i="40"/>
  <c r="H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S34" i="39"/>
  <c r="D106" i="39"/>
  <c r="E106" i="39"/>
  <c r="D104" i="39"/>
  <c r="E104" i="39"/>
  <c r="F104" i="39"/>
  <c r="G104" i="39"/>
  <c r="H104" i="39"/>
  <c r="I104" i="39"/>
  <c r="J104" i="39"/>
  <c r="K104" i="39"/>
  <c r="L104" i="39"/>
  <c r="M104" i="39"/>
  <c r="D100" i="39"/>
  <c r="E100" i="39"/>
  <c r="F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H31" i="39"/>
  <c r="AB31"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J13" i="37"/>
  <c r="W13"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H25" i="36"/>
  <c r="B73" i="36"/>
  <c r="B71" i="36"/>
  <c r="H23" i="36"/>
  <c r="D70" i="36"/>
  <c r="H22" i="36"/>
  <c r="AB22" i="36"/>
  <c r="D68" i="36"/>
  <c r="E68" i="36"/>
  <c r="F68" i="36"/>
  <c r="G68" i="36"/>
  <c r="D64" i="36"/>
  <c r="E64" i="36"/>
  <c r="F64" i="36"/>
  <c r="G64" i="36"/>
  <c r="J16" i="36"/>
  <c r="W16" i="36"/>
  <c r="D62" i="36"/>
  <c r="E62" i="36"/>
  <c r="F62" i="36"/>
  <c r="G62" i="36"/>
  <c r="B59" i="36"/>
  <c r="F13"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E89" i="35"/>
  <c r="M90" i="35"/>
  <c r="L90" i="35"/>
  <c r="K90" i="35"/>
  <c r="J90" i="35"/>
  <c r="I90" i="35"/>
  <c r="H90" i="35"/>
  <c r="G90" i="35"/>
  <c r="F90" i="35"/>
  <c r="E90" i="35"/>
  <c r="D90" i="35"/>
  <c r="C90" i="35"/>
  <c r="F85" i="35"/>
  <c r="E85" i="35"/>
  <c r="D85" i="35"/>
  <c r="C85" i="35"/>
  <c r="J27" i="35"/>
  <c r="AC27" i="35"/>
  <c r="H27" i="35"/>
  <c r="U27" i="35"/>
  <c r="F27" i="35"/>
  <c r="AA27" i="35"/>
  <c r="J22" i="35"/>
  <c r="B101" i="35"/>
  <c r="H36" i="35"/>
  <c r="AB36" i="35"/>
  <c r="B99" i="35"/>
  <c r="B97" i="35"/>
  <c r="B77" i="35"/>
  <c r="J25" i="35"/>
  <c r="B75" i="35"/>
  <c r="J24" i="35"/>
  <c r="AC24" i="35"/>
  <c r="B73" i="35"/>
  <c r="J23" i="35"/>
  <c r="AC23" i="35"/>
  <c r="B57" i="35"/>
  <c r="B61" i="35"/>
  <c r="B59" i="35"/>
  <c r="B131" i="34"/>
  <c r="B129" i="34"/>
  <c r="B127" i="34"/>
  <c r="B99" i="34"/>
  <c r="J32" i="34"/>
  <c r="W32" i="34"/>
  <c r="B97" i="34"/>
  <c r="H31" i="34"/>
  <c r="B95" i="34"/>
  <c r="B93" i="34"/>
  <c r="B75" i="34"/>
  <c r="B73" i="34"/>
  <c r="B71" i="34"/>
  <c r="J12" i="34"/>
  <c r="W12" i="34"/>
  <c r="B130" i="33"/>
  <c r="B128" i="33"/>
  <c r="F45" i="33"/>
  <c r="B126" i="33"/>
  <c r="F44" i="33"/>
  <c r="B98" i="33"/>
  <c r="B96" i="33"/>
  <c r="B94" i="33"/>
  <c r="F29" i="33"/>
  <c r="S29"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H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AA41" i="21"/>
  <c r="F45" i="39"/>
  <c r="S45" i="39"/>
  <c r="F36" i="39"/>
  <c r="S36" i="39"/>
  <c r="H36" i="39"/>
  <c r="AB36"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U31" i="35"/>
  <c r="U34" i="35"/>
  <c r="F36" i="34"/>
  <c r="J35" i="34"/>
  <c r="U34" i="34"/>
  <c r="H39" i="33"/>
  <c r="AB39" i="33"/>
  <c r="S40" i="33"/>
  <c r="W33" i="33"/>
  <c r="W39" i="33"/>
  <c r="S27" i="35"/>
  <c r="F11" i="40"/>
  <c r="AA11" i="40"/>
  <c r="H11" i="40"/>
  <c r="AB11" i="40"/>
  <c r="W8" i="40"/>
  <c r="AA9" i="40"/>
  <c r="U9" i="40"/>
  <c r="S34" i="40"/>
  <c r="U34" i="40"/>
  <c r="F42" i="39"/>
  <c r="AA42" i="39"/>
  <c r="F41" i="39"/>
  <c r="S41" i="39"/>
  <c r="H40" i="39"/>
  <c r="AB40" i="39"/>
  <c r="H39" i="39"/>
  <c r="U39" i="39"/>
  <c r="S38" i="39"/>
  <c r="H34" i="39"/>
  <c r="U34" i="39"/>
  <c r="E108" i="39"/>
  <c r="F31" i="39"/>
  <c r="AA31"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W32" i="40"/>
  <c r="F37" i="39"/>
  <c r="AA37" i="39"/>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F28" i="34"/>
  <c r="AA28" i="34"/>
  <c r="F25" i="34"/>
  <c r="S25" i="34"/>
  <c r="H23" i="34"/>
  <c r="U23" i="34"/>
  <c r="J23" i="34"/>
  <c r="F19" i="34"/>
  <c r="H17" i="34"/>
  <c r="U17" i="34"/>
  <c r="F15" i="34"/>
  <c r="AA15" i="34"/>
  <c r="J15" i="34"/>
  <c r="H15" i="34"/>
  <c r="AB15" i="34"/>
  <c r="W8" i="34"/>
  <c r="J28" i="34"/>
  <c r="W28" i="34"/>
  <c r="F41" i="33"/>
  <c r="AA41"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AC36" i="34"/>
  <c r="H37" i="34"/>
  <c r="U37" i="34"/>
  <c r="H25" i="34"/>
  <c r="AB25" i="34"/>
  <c r="J25" i="34"/>
  <c r="AC25" i="34"/>
  <c r="F23" i="34"/>
  <c r="AA23" i="34"/>
  <c r="J19" i="34"/>
  <c r="AC19" i="34"/>
  <c r="F17" i="34"/>
  <c r="AA17" i="34"/>
  <c r="J17" i="34"/>
  <c r="W17" i="34"/>
  <c r="AB17"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J31" i="33"/>
  <c r="W31" i="33"/>
  <c r="H31" i="33"/>
  <c r="F31" i="33"/>
  <c r="H45" i="33"/>
  <c r="U45" i="33"/>
  <c r="J45" i="33"/>
  <c r="W45" i="33"/>
  <c r="AA45" i="33"/>
  <c r="J14" i="34"/>
  <c r="W14" i="34"/>
  <c r="F14" i="34"/>
  <c r="S14" i="34"/>
  <c r="H14" i="34"/>
  <c r="H30" i="34"/>
  <c r="F30" i="34"/>
  <c r="S30" i="34"/>
  <c r="J30" i="34"/>
  <c r="H32" i="34"/>
  <c r="F32" i="34"/>
  <c r="H46" i="34"/>
  <c r="U46" i="34"/>
  <c r="F46" i="34"/>
  <c r="J46" i="34"/>
  <c r="H11" i="35"/>
  <c r="AB11" i="35"/>
  <c r="J11" i="35"/>
  <c r="W11" i="35"/>
  <c r="F11" i="35"/>
  <c r="S11" i="35"/>
  <c r="J26" i="36"/>
  <c r="W26" i="36"/>
  <c r="H28" i="36"/>
  <c r="U28" i="36"/>
  <c r="J32" i="36"/>
  <c r="W32" i="36"/>
  <c r="J11" i="36"/>
  <c r="AC11" i="36"/>
  <c r="H11" i="36"/>
  <c r="U11" i="36"/>
  <c r="F11" i="36"/>
  <c r="AA11" i="36"/>
  <c r="H13" i="36"/>
  <c r="J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H30" i="33"/>
  <c r="AB30" i="33"/>
  <c r="F30" i="33"/>
  <c r="J30" i="33"/>
  <c r="H44" i="33"/>
  <c r="J44" i="33"/>
  <c r="W44" i="33"/>
  <c r="AC44" i="33"/>
  <c r="J46" i="33"/>
  <c r="AC46" i="33"/>
  <c r="F46" i="33"/>
  <c r="AA46" i="33"/>
  <c r="H46" i="33"/>
  <c r="AB46" i="33"/>
  <c r="H13" i="34"/>
  <c r="U13" i="34"/>
  <c r="J13" i="34"/>
  <c r="W13" i="34"/>
  <c r="F13" i="34"/>
  <c r="AA13" i="34"/>
  <c r="J29" i="34"/>
  <c r="F29" i="34"/>
  <c r="S29" i="34"/>
  <c r="H29" i="34"/>
  <c r="AB29" i="34"/>
  <c r="J31" i="34"/>
  <c r="AC31" i="34"/>
  <c r="F31" i="34"/>
  <c r="S31" i="34"/>
  <c r="H45" i="34"/>
  <c r="U45" i="34"/>
  <c r="J45" i="34"/>
  <c r="W45" i="34"/>
  <c r="F45" i="34"/>
  <c r="S45" i="34"/>
  <c r="H47" i="34"/>
  <c r="U47" i="34"/>
  <c r="F47" i="34"/>
  <c r="S47" i="34"/>
  <c r="J47" i="34"/>
  <c r="AC47" i="34"/>
  <c r="F13" i="35"/>
  <c r="J13" i="35"/>
  <c r="AC13" i="35"/>
  <c r="H13" i="35"/>
  <c r="U13" i="35"/>
  <c r="W25" i="35"/>
  <c r="H25" i="35"/>
  <c r="AB25" i="35"/>
  <c r="J35" i="35"/>
  <c r="AC35" i="35"/>
  <c r="F35" i="35"/>
  <c r="AA35" i="35"/>
  <c r="H35" i="35"/>
  <c r="J25" i="36"/>
  <c r="W25" i="36"/>
  <c r="F25" i="36"/>
  <c r="S25" i="36"/>
  <c r="AB25" i="36"/>
  <c r="H13" i="37"/>
  <c r="AB13" i="37"/>
  <c r="F13" i="37"/>
  <c r="S13" i="37"/>
  <c r="F28" i="37"/>
  <c r="AA28" i="37"/>
  <c r="J28" i="37"/>
  <c r="AC28" i="37"/>
  <c r="H28" i="37"/>
  <c r="H38" i="37"/>
  <c r="AB38" i="37"/>
  <c r="J38" i="37"/>
  <c r="AC38" i="37"/>
  <c r="F38" i="37"/>
  <c r="S38" i="37"/>
  <c r="F43" i="39"/>
  <c r="AA43" i="39"/>
  <c r="H43" i="39"/>
  <c r="J14" i="39"/>
  <c r="AC14" i="39"/>
  <c r="H14" i="39"/>
  <c r="F12" i="40"/>
  <c r="S12" i="40"/>
  <c r="H30" i="40"/>
  <c r="AB30" i="40"/>
  <c r="F33" i="40"/>
  <c r="AA33" i="40"/>
  <c r="H33" i="40"/>
  <c r="U33" i="40"/>
  <c r="J35" i="40"/>
  <c r="AC35" i="40"/>
  <c r="J37" i="40"/>
  <c r="AC37" i="40"/>
  <c r="H13" i="40"/>
  <c r="U13" i="40"/>
  <c r="J13" i="40"/>
  <c r="W13" i="40"/>
  <c r="F13" i="40"/>
  <c r="AA13" i="40"/>
  <c r="F14" i="37"/>
  <c r="F27" i="37"/>
  <c r="AA27" i="37"/>
  <c r="F13" i="39"/>
  <c r="J13" i="39"/>
  <c r="W13" i="39"/>
  <c r="H13" i="39"/>
  <c r="H14" i="40"/>
  <c r="AB14" i="40"/>
  <c r="J14" i="40"/>
  <c r="W14" i="40"/>
  <c r="F14" i="40"/>
  <c r="AA14" i="40"/>
  <c r="J14" i="37"/>
  <c r="J27" i="37"/>
  <c r="AC27" i="37"/>
  <c r="U46" i="33"/>
  <c r="J36" i="37"/>
  <c r="AC36" i="37"/>
  <c r="J10" i="36"/>
  <c r="AC10" i="36"/>
  <c r="AB30" i="21"/>
  <c r="W31" i="34"/>
  <c r="S11" i="36"/>
  <c r="AB46" i="34"/>
  <c r="S45" i="33"/>
  <c r="AB45" i="33"/>
  <c r="AC28" i="21"/>
  <c r="S44" i="34"/>
  <c r="BA586" i="3"/>
  <c r="BA585" i="3"/>
  <c r="F17" i="21"/>
  <c r="AA17" i="21"/>
  <c r="H17" i="21"/>
  <c r="AB17" i="21"/>
  <c r="F15" i="21"/>
  <c r="S15" i="21"/>
  <c r="J41" i="39"/>
  <c r="W41" i="39"/>
  <c r="U36"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4" i="3"/>
  <c r="BL560" i="3"/>
  <c r="AZ560" i="3"/>
  <c r="BL554" i="3"/>
  <c r="BL546" i="3"/>
  <c r="BL542" i="3"/>
  <c r="BL538" i="3"/>
  <c r="AZ538" i="3"/>
  <c r="BL534" i="3"/>
  <c r="BL530" i="3"/>
  <c r="BL526" i="3"/>
  <c r="BL522" i="3"/>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BA578" i="3"/>
  <c r="BA574" i="3"/>
  <c r="AZ574" i="3"/>
  <c r="BA572" i="3"/>
  <c r="AZ572" i="3"/>
  <c r="BA570" i="3"/>
  <c r="BA568" i="3"/>
  <c r="BA566" i="3"/>
  <c r="AZ566" i="3"/>
  <c r="BA564" i="3"/>
  <c r="AZ564" i="3"/>
  <c r="BA562" i="3"/>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c r="BA526" i="3"/>
  <c r="AZ526" i="3"/>
  <c r="BA524" i="3"/>
  <c r="AZ524" i="3"/>
  <c r="BA522" i="3"/>
  <c r="BA520" i="3"/>
  <c r="BA518" i="3"/>
  <c r="BA516" i="3"/>
  <c r="AZ516" i="3"/>
  <c r="BA514" i="3"/>
  <c r="BA512" i="3"/>
  <c r="BA510" i="3"/>
  <c r="BA508" i="3"/>
  <c r="AZ508" i="3"/>
  <c r="BA506" i="3"/>
  <c r="BA504" i="3"/>
  <c r="AZ504" i="3"/>
  <c r="BA502" i="3"/>
  <c r="BA500" i="3"/>
  <c r="AZ500" i="3"/>
  <c r="BA498" i="3"/>
  <c r="AZ498" i="3"/>
  <c r="BA496" i="3"/>
  <c r="BA494" i="3"/>
  <c r="BA587" i="3"/>
  <c r="BA583" i="3"/>
  <c r="BA581" i="3"/>
  <c r="BA579" i="3"/>
  <c r="BA575" i="3"/>
  <c r="AZ575" i="3"/>
  <c r="BA573" i="3"/>
  <c r="BA571" i="3"/>
  <c r="BA569" i="3"/>
  <c r="BA567" i="3"/>
  <c r="BA565" i="3"/>
  <c r="BA563" i="3"/>
  <c r="BA561" i="3"/>
  <c r="BA559" i="3"/>
  <c r="AZ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3" i="3"/>
  <c r="G571" i="3"/>
  <c r="G569" i="3"/>
  <c r="G567" i="3"/>
  <c r="G565" i="3"/>
  <c r="G563" i="3"/>
  <c r="G561" i="3"/>
  <c r="BL558" i="3"/>
  <c r="BA557" i="3"/>
  <c r="AC557" i="3"/>
  <c r="G557" i="3"/>
  <c r="BQ557" i="3"/>
  <c r="BL557" i="3"/>
  <c r="BQ583" i="3"/>
  <c r="BQ581" i="3"/>
  <c r="BL581" i="3"/>
  <c r="BQ579" i="3"/>
  <c r="BQ577" i="3"/>
  <c r="BL577" i="3"/>
  <c r="AZ577" i="3"/>
  <c r="BQ575" i="3"/>
  <c r="BL575" i="3"/>
  <c r="BQ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BQ529" i="3"/>
  <c r="BL529" i="3"/>
  <c r="BQ527" i="3"/>
  <c r="BL527" i="3"/>
  <c r="BQ525" i="3"/>
  <c r="BL525" i="3"/>
  <c r="AZ525" i="3"/>
  <c r="BQ523" i="3"/>
  <c r="BL523" i="3"/>
  <c r="BA521" i="3"/>
  <c r="AC521" i="3"/>
  <c r="AC5" i="3"/>
  <c r="BQ521" i="3"/>
  <c r="BL521" i="3"/>
  <c r="AZ521" i="3"/>
  <c r="BL520" i="3"/>
  <c r="AZ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BQ497" i="3"/>
  <c r="BL497" i="3"/>
  <c r="AZ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J41" i="34"/>
  <c r="AC41" i="34"/>
  <c r="F10" i="35"/>
  <c r="S10" i="35"/>
  <c r="F24" i="35"/>
  <c r="AA24" i="35"/>
  <c r="H24" i="35"/>
  <c r="AB24" i="35"/>
  <c r="H23" i="37"/>
  <c r="AB23" i="37"/>
  <c r="J32" i="37"/>
  <c r="AC32" i="37"/>
  <c r="F36" i="37"/>
  <c r="AA36" i="37"/>
  <c r="F37" i="37"/>
  <c r="F31" i="40"/>
  <c r="AA31" i="40"/>
  <c r="H31" i="40"/>
  <c r="U31" i="40"/>
  <c r="F32" i="40"/>
  <c r="S32" i="40"/>
  <c r="H32" i="40"/>
  <c r="AB32" i="40"/>
  <c r="J36" i="40"/>
  <c r="W36" i="40"/>
  <c r="H19" i="37"/>
  <c r="AB19" i="37"/>
  <c r="H42" i="33"/>
  <c r="AB42" i="33"/>
  <c r="J43" i="33"/>
  <c r="AC43" i="33"/>
  <c r="S28" i="31"/>
  <c r="S27" i="31"/>
  <c r="S26" i="31"/>
  <c r="U14" i="40"/>
  <c r="W23" i="35"/>
  <c r="U26" i="37"/>
  <c r="W47" i="34"/>
  <c r="AA13" i="33"/>
  <c r="AC31" i="33"/>
  <c r="AC45"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F31" i="37"/>
  <c r="S31" i="37"/>
  <c r="F12" i="39"/>
  <c r="S12" i="39"/>
  <c r="J42" i="39"/>
  <c r="AC42" i="39"/>
  <c r="H21" i="40"/>
  <c r="AB21" i="40"/>
  <c r="AC12" i="37"/>
  <c r="G94" i="37"/>
  <c r="H94" i="37"/>
  <c r="I94" i="37"/>
  <c r="J94" i="37"/>
  <c r="K94" i="37"/>
  <c r="L94" i="37"/>
  <c r="M94" i="37"/>
  <c r="H31" i="37"/>
  <c r="U31" i="37"/>
  <c r="J15" i="37"/>
  <c r="W15" i="37"/>
  <c r="AT6" i="3"/>
  <c r="H5" i="3"/>
  <c r="H19" i="40"/>
  <c r="F88" i="40"/>
  <c r="G88" i="40"/>
  <c r="F19" i="40"/>
  <c r="AC13" i="40"/>
  <c r="AB33" i="40"/>
  <c r="W23" i="39"/>
  <c r="AC43" i="39"/>
  <c r="W43"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BL549" i="3"/>
  <c r="AZ549" i="3"/>
  <c r="AZ514" i="3"/>
  <c r="AZ522" i="3"/>
  <c r="AZ530" i="3"/>
  <c r="G546" i="3"/>
  <c r="G524" i="3"/>
  <c r="G303" i="3"/>
  <c r="BL304" i="3"/>
  <c r="G305" i="3"/>
  <c r="BL306" i="3"/>
  <c r="AZ306" i="3"/>
  <c r="BA308" i="3"/>
  <c r="AZ308" i="3"/>
  <c r="BA309" i="3"/>
  <c r="AZ309" i="3"/>
  <c r="BL309" i="3"/>
  <c r="G310" i="3"/>
  <c r="BA311" i="3"/>
  <c r="G319" i="3"/>
  <c r="BL320" i="3"/>
  <c r="G321" i="3"/>
  <c r="BL322" i="3"/>
  <c r="BA324" i="3"/>
  <c r="BA325" i="3"/>
  <c r="BL325" i="3"/>
  <c r="AZ325" i="3"/>
  <c r="G326" i="3"/>
  <c r="BA327" i="3"/>
  <c r="AZ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c r="BL136" i="3"/>
  <c r="G137" i="3"/>
  <c r="BA139" i="3"/>
  <c r="BL140" i="3"/>
  <c r="AZ140" i="3"/>
  <c r="G141" i="3"/>
  <c r="BA143" i="3"/>
  <c r="BL144" i="3"/>
  <c r="G145" i="3"/>
  <c r="BA147" i="3"/>
  <c r="BL148" i="3"/>
  <c r="G149" i="3"/>
  <c r="BA151" i="3"/>
  <c r="BL152" i="3"/>
  <c r="G153" i="3"/>
  <c r="BA155" i="3"/>
  <c r="BL156" i="3"/>
  <c r="AZ156" i="3"/>
  <c r="G157" i="3"/>
  <c r="BA159" i="3"/>
  <c r="BL160" i="3"/>
  <c r="AZ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c r="G189" i="3"/>
  <c r="BA191" i="3"/>
  <c r="BL192" i="3"/>
  <c r="G193" i="3"/>
  <c r="BA195" i="3"/>
  <c r="AZ195" i="3"/>
  <c r="BL196" i="3"/>
  <c r="G197" i="3"/>
  <c r="BA199" i="3"/>
  <c r="BL200" i="3"/>
  <c r="G201" i="3"/>
  <c r="BA203" i="3"/>
  <c r="BL204" i="3"/>
  <c r="AZ152" i="3"/>
  <c r="AZ168" i="3"/>
  <c r="G534" i="3"/>
  <c r="G530" i="3"/>
  <c r="G522" i="3"/>
  <c r="G516" i="3"/>
  <c r="G512" i="3"/>
  <c r="G506" i="3"/>
  <c r="G498" i="3"/>
  <c r="G494" i="3"/>
  <c r="G16" i="3"/>
  <c r="G15" i="3"/>
  <c r="BA304" i="3"/>
  <c r="BA305" i="3"/>
  <c r="AZ305" i="3"/>
  <c r="BL305" i="3"/>
  <c r="G306" i="3"/>
  <c r="G309" i="3"/>
  <c r="BL310" i="3"/>
  <c r="AZ310" i="3"/>
  <c r="BA312" i="3"/>
  <c r="BA313" i="3"/>
  <c r="BL313" i="3"/>
  <c r="G314" i="3"/>
  <c r="G317" i="3"/>
  <c r="BL318" i="3"/>
  <c r="BA320" i="3"/>
  <c r="AZ320" i="3"/>
  <c r="BA321" i="3"/>
  <c r="BL321" i="3"/>
  <c r="G322" i="3"/>
  <c r="G325" i="3"/>
  <c r="BL326" i="3"/>
  <c r="BA328" i="3"/>
  <c r="BA329" i="3"/>
  <c r="BL329" i="3"/>
  <c r="G330" i="3"/>
  <c r="G333" i="3"/>
  <c r="BL334" i="3"/>
  <c r="BA336" i="3"/>
  <c r="AZ336" i="3"/>
  <c r="BA337" i="3"/>
  <c r="AZ337" i="3"/>
  <c r="BL337" i="3"/>
  <c r="G338" i="3"/>
  <c r="G341" i="3"/>
  <c r="BA342" i="3"/>
  <c r="BL342" i="3"/>
  <c r="AZ342" i="3"/>
  <c r="BA344" i="3"/>
  <c r="AZ344" i="3"/>
  <c r="BL344" i="3"/>
  <c r="BA346" i="3"/>
  <c r="BA347" i="3"/>
  <c r="BL347" i="3"/>
  <c r="AZ347" i="3"/>
  <c r="G350" i="3"/>
  <c r="BA351" i="3"/>
  <c r="BL351" i="3"/>
  <c r="G352" i="3"/>
  <c r="G354" i="3"/>
  <c r="BA355" i="3"/>
  <c r="AZ355" i="3"/>
  <c r="BA356" i="3"/>
  <c r="AZ356" i="3"/>
  <c r="BL356" i="3"/>
  <c r="G357" i="3"/>
  <c r="G360" i="3"/>
  <c r="BL361" i="3"/>
  <c r="BA363" i="3"/>
  <c r="BA364" i="3"/>
  <c r="AZ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AZ154" i="3"/>
  <c r="AZ194" i="3"/>
  <c r="BA16" i="3"/>
  <c r="AZ16" i="3"/>
  <c r="BL303" i="3"/>
  <c r="G304" i="3"/>
  <c r="BA306" i="3"/>
  <c r="BL307" i="3"/>
  <c r="G308" i="3"/>
  <c r="BA310" i="3"/>
  <c r="BL311" i="3"/>
  <c r="AZ311" i="3"/>
  <c r="G312" i="3"/>
  <c r="BA314" i="3"/>
  <c r="BL315" i="3"/>
  <c r="G316" i="3"/>
  <c r="BA318" i="3"/>
  <c r="AZ318" i="3"/>
  <c r="BL319" i="3"/>
  <c r="AZ319" i="3"/>
  <c r="G320" i="3"/>
  <c r="BA322" i="3"/>
  <c r="BL323" i="3"/>
  <c r="G324" i="3"/>
  <c r="BA326" i="3"/>
  <c r="AZ326" i="3"/>
  <c r="BL327" i="3"/>
  <c r="G328" i="3"/>
  <c r="BA330" i="3"/>
  <c r="BL331" i="3"/>
  <c r="G332" i="3"/>
  <c r="BA334" i="3"/>
  <c r="AZ334" i="3"/>
  <c r="BL335" i="3"/>
  <c r="G336" i="3"/>
  <c r="BA338" i="3"/>
  <c r="BL339" i="3"/>
  <c r="G340" i="3"/>
  <c r="BL343" i="3"/>
  <c r="G344" i="3"/>
  <c r="G348" i="3"/>
  <c r="G355" i="3"/>
  <c r="G342" i="3"/>
  <c r="BL345" i="3"/>
  <c r="AZ345" i="3"/>
  <c r="G346" i="3"/>
  <c r="BL349" i="3"/>
  <c r="AZ349" i="3"/>
  <c r="BL352" i="3"/>
  <c r="G353" i="3"/>
  <c r="BA357" i="3"/>
  <c r="BL358" i="3"/>
  <c r="AZ358" i="3"/>
  <c r="G359" i="3"/>
  <c r="BA361" i="3"/>
  <c r="AZ361" i="3"/>
  <c r="BL362" i="3"/>
  <c r="G363" i="3"/>
  <c r="BA365" i="3"/>
  <c r="AZ365" i="3"/>
  <c r="BL366" i="3"/>
  <c r="G367" i="3"/>
  <c r="BA369" i="3"/>
  <c r="AZ369" i="3"/>
  <c r="BL370" i="3"/>
  <c r="G371" i="3"/>
  <c r="BA373" i="3"/>
  <c r="AZ373" i="3"/>
  <c r="BL374" i="3"/>
  <c r="G375" i="3"/>
  <c r="BA377" i="3"/>
  <c r="AZ377" i="3"/>
  <c r="BA379" i="3"/>
  <c r="AZ379" i="3"/>
  <c r="BL380" i="3"/>
  <c r="G381" i="3"/>
  <c r="BA383" i="3"/>
  <c r="BL384" i="3"/>
  <c r="G385" i="3"/>
  <c r="BA387" i="3"/>
  <c r="BL388" i="3"/>
  <c r="G389" i="3"/>
  <c r="BA391" i="3"/>
  <c r="AZ391" i="3"/>
  <c r="BL392" i="3"/>
  <c r="G393" i="3"/>
  <c r="BM5" i="3"/>
  <c r="BH5" i="3"/>
  <c r="BD5" i="3"/>
  <c r="AZ506" i="3"/>
  <c r="AZ496" i="3"/>
  <c r="G548" i="3"/>
  <c r="G538" i="3"/>
  <c r="G520" i="3"/>
  <c r="G502" i="3"/>
  <c r="BS5" i="3"/>
  <c r="BP5" i="3"/>
  <c r="BK5" i="3"/>
  <c r="BG5" i="3"/>
  <c r="BE5" i="3"/>
  <c r="BC5" i="3"/>
  <c r="G17" i="3"/>
  <c r="BA17" i="3"/>
  <c r="BT5" i="3"/>
  <c r="BA15" i="3"/>
  <c r="AZ392" i="3"/>
  <c r="AZ499" i="3"/>
  <c r="AZ509" i="3"/>
  <c r="G509" i="3"/>
  <c r="BL493" i="3"/>
  <c r="AZ493" i="3"/>
  <c r="U36" i="40"/>
  <c r="F83" i="43"/>
  <c r="H85" i="43"/>
  <c r="F50" i="43"/>
  <c r="H54" i="43"/>
  <c r="F72" i="43"/>
  <c r="H75" i="43"/>
  <c r="U17" i="39"/>
  <c r="S14" i="35"/>
  <c r="U43" i="21"/>
  <c r="U35" i="21"/>
  <c r="AC35" i="21"/>
  <c r="AC11" i="39"/>
  <c r="AZ563" i="3"/>
  <c r="AZ501" i="3"/>
  <c r="W37" i="37"/>
  <c r="W44" i="34"/>
  <c r="AC44" i="34"/>
  <c r="S15"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C40" i="11"/>
  <c r="AZ248" i="3"/>
  <c r="AZ259" i="3"/>
  <c r="AZ13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W27" i="34"/>
  <c r="AC27" i="34"/>
  <c r="AB33" i="36"/>
  <c r="U33" i="36"/>
  <c r="AC12" i="39"/>
  <c r="W12" i="39"/>
  <c r="AC39" i="40"/>
  <c r="W39" i="40"/>
  <c r="AZ586" i="3"/>
  <c r="W12" i="33"/>
  <c r="AC12" i="33"/>
  <c r="BL14" i="3"/>
  <c r="U30" i="33"/>
  <c r="AC13" i="34"/>
  <c r="AA47" i="34"/>
  <c r="W28" i="37"/>
  <c r="S19" i="39"/>
  <c r="F12" i="33"/>
  <c r="H12" i="39"/>
  <c r="AB12" i="39"/>
  <c r="F39" i="40"/>
  <c r="S39" i="40"/>
  <c r="BA14" i="3"/>
  <c r="AZ14" i="3"/>
  <c r="AZ250" i="3"/>
  <c r="AZ173" i="3"/>
  <c r="AZ181" i="3"/>
  <c r="B12" i="1"/>
  <c r="E12" i="1"/>
  <c r="B10" i="1"/>
  <c r="E10" i="1"/>
  <c r="K12" i="1"/>
  <c r="M12" i="1"/>
  <c r="S13" i="1"/>
  <c r="AR13" i="1"/>
  <c r="R13" i="1"/>
  <c r="J51" i="67"/>
  <c r="C24" i="12"/>
  <c r="AA34" i="33"/>
  <c r="AB37" i="40"/>
  <c r="S35" i="40"/>
  <c r="U35" i="40"/>
  <c r="AC36" i="40"/>
  <c r="AA32" i="40"/>
  <c r="S17" i="40"/>
  <c r="S23" i="40"/>
  <c r="AC17" i="40"/>
  <c r="AC15" i="40"/>
  <c r="AB27" i="40"/>
  <c r="S30" i="40"/>
  <c r="S28" i="40"/>
  <c r="AA27" i="40"/>
  <c r="U21" i="40"/>
  <c r="U37" i="39"/>
  <c r="S43" i="39"/>
  <c r="S37" i="39"/>
  <c r="F32" i="39"/>
  <c r="F106" i="39"/>
  <c r="G106" i="39"/>
  <c r="H106" i="39"/>
  <c r="I106" i="39"/>
  <c r="J106" i="39"/>
  <c r="K106" i="39"/>
  <c r="L106" i="39"/>
  <c r="M106" i="39"/>
  <c r="U25" i="39"/>
  <c r="AB27" i="39"/>
  <c r="U31" i="39"/>
  <c r="J21" i="39"/>
  <c r="W21" i="39"/>
  <c r="F21" i="39"/>
  <c r="G94" i="39"/>
  <c r="H21" i="39"/>
  <c r="W19" i="39"/>
  <c r="U19" i="39"/>
  <c r="S17" i="39"/>
  <c r="AA12" i="39"/>
  <c r="S9" i="39"/>
  <c r="AC13" i="39"/>
  <c r="U12" i="39"/>
  <c r="S23" i="36"/>
  <c r="U26" i="36"/>
  <c r="S33" i="36"/>
  <c r="AA26" i="36"/>
  <c r="AA34" i="36"/>
  <c r="AC26" i="36"/>
  <c r="AA22" i="36"/>
  <c r="W14" i="36"/>
  <c r="U22" i="36"/>
  <c r="S16" i="36"/>
  <c r="AA25"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U29" i="37"/>
  <c r="AB31" i="37"/>
  <c r="W30" i="37"/>
  <c r="S36" i="37"/>
  <c r="AA38" i="37"/>
  <c r="U32" i="37"/>
  <c r="W38" i="37"/>
  <c r="AC35" i="37"/>
  <c r="S30"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F87" i="33"/>
  <c r="G87" i="33"/>
  <c r="H87" i="33"/>
  <c r="I87" i="33"/>
  <c r="J87" i="33"/>
  <c r="K87" i="33"/>
  <c r="L87" i="33"/>
  <c r="M87" i="33"/>
  <c r="H25" i="33"/>
  <c r="U25" i="33"/>
  <c r="F25" i="33"/>
  <c r="J23" i="33"/>
  <c r="AC23" i="33"/>
  <c r="F85" i="33"/>
  <c r="H23" i="33"/>
  <c r="AB23" i="33"/>
  <c r="F81" i="33"/>
  <c r="F19" i="33"/>
  <c r="S19" i="33"/>
  <c r="W19" i="33"/>
  <c r="J17" i="33"/>
  <c r="W17" i="33"/>
  <c r="F79" i="33"/>
  <c r="G79" i="33"/>
  <c r="S15" i="33"/>
  <c r="W15" i="33"/>
  <c r="J10" i="33"/>
  <c r="W10" i="33"/>
  <c r="H10" i="33"/>
  <c r="U10" i="33"/>
  <c r="AC11" i="33"/>
  <c r="AB14" i="33"/>
  <c r="W43" i="21"/>
  <c r="W36" i="21"/>
  <c r="W41" i="21"/>
  <c r="AB39" i="21"/>
  <c r="AA43" i="21"/>
  <c r="S39" i="21"/>
  <c r="AA38" i="21"/>
  <c r="AA36" i="21"/>
  <c r="AC40" i="21"/>
  <c r="J15" i="21"/>
  <c r="AC15" i="21"/>
  <c r="F77" i="21"/>
  <c r="G77" i="21"/>
  <c r="F23" i="21"/>
  <c r="AA23" i="21"/>
  <c r="E85" i="21"/>
  <c r="AA14" i="21"/>
  <c r="D120" i="9"/>
  <c r="D121" i="9"/>
  <c r="D7" i="52"/>
  <c r="C18" i="9"/>
  <c r="D18" i="9"/>
  <c r="F34" i="67"/>
  <c r="F62" i="67"/>
  <c r="M20" i="67"/>
  <c r="F34" i="15"/>
  <c r="F62" i="15"/>
  <c r="G13" i="3"/>
  <c r="BL17" i="3"/>
  <c r="AZ17" i="3"/>
  <c r="BL13" i="3"/>
  <c r="J56" i="9"/>
  <c r="J57" i="9"/>
  <c r="J59" i="9"/>
  <c r="J61" i="9"/>
  <c r="A24" i="51"/>
  <c r="B18" i="72"/>
  <c r="U29" i="34"/>
  <c r="E32" i="6"/>
  <c r="E19" i="69"/>
  <c r="E19" i="68"/>
  <c r="E19" i="11"/>
  <c r="C6" i="43"/>
  <c r="B19" i="53"/>
  <c r="B37" i="72"/>
  <c r="C7" i="39"/>
  <c r="C67" i="39"/>
  <c r="C7" i="35"/>
  <c r="C48" i="35"/>
  <c r="D48" i="35"/>
  <c r="C7" i="33"/>
  <c r="C7" i="21"/>
  <c r="C7" i="40"/>
  <c r="C63" i="40"/>
  <c r="M47" i="9"/>
  <c r="L20" i="6"/>
  <c r="B6" i="1"/>
  <c r="E6" i="1"/>
  <c r="K11" i="1"/>
  <c r="M11" i="1"/>
  <c r="O11" i="1"/>
  <c r="B9" i="1"/>
  <c r="E9"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S17" i="37"/>
  <c r="J19" i="37"/>
  <c r="W19" i="37"/>
  <c r="G75" i="37"/>
  <c r="AA19" i="37"/>
  <c r="J23" i="37"/>
  <c r="W23" i="37"/>
  <c r="G79" i="37"/>
  <c r="J10" i="37"/>
  <c r="W10" i="37"/>
  <c r="G63" i="37"/>
  <c r="H63" i="37"/>
  <c r="I63" i="37"/>
  <c r="H11" i="37"/>
  <c r="AB11" i="37"/>
  <c r="G70" i="34"/>
  <c r="H11" i="34"/>
  <c r="U11" i="34"/>
  <c r="J10" i="34"/>
  <c r="AC10" i="34"/>
  <c r="AB41" i="33"/>
  <c r="U41" i="33"/>
  <c r="H111" i="33"/>
  <c r="I111" i="33"/>
  <c r="J111" i="33"/>
  <c r="K111" i="33"/>
  <c r="L111" i="33"/>
  <c r="M111" i="33"/>
  <c r="J36" i="33"/>
  <c r="W36" i="33"/>
  <c r="H36" i="33"/>
  <c r="U36" i="33"/>
  <c r="S36" i="33"/>
  <c r="AC32" i="33"/>
  <c r="W32" i="33"/>
  <c r="U27" i="33"/>
  <c r="AB27" i="33"/>
  <c r="G91" i="33"/>
  <c r="H91" i="33"/>
  <c r="I91" i="33"/>
  <c r="J91" i="33"/>
  <c r="K91" i="33"/>
  <c r="L91" i="33"/>
  <c r="M91" i="33"/>
  <c r="J27" i="33"/>
  <c r="W27" i="33"/>
  <c r="S25" i="33"/>
  <c r="AA25" i="33"/>
  <c r="J25" i="33"/>
  <c r="AC25" i="33"/>
  <c r="F23" i="33"/>
  <c r="G85" i="33"/>
  <c r="H19" i="33"/>
  <c r="AB19" i="33"/>
  <c r="G81" i="33"/>
  <c r="H17" i="33"/>
  <c r="U17" i="33"/>
  <c r="F17" i="33"/>
  <c r="S17" i="33"/>
  <c r="S37" i="21"/>
  <c r="AB15" i="21"/>
  <c r="J23" i="21"/>
  <c r="F85" i="21"/>
  <c r="G85" i="21"/>
  <c r="H23" i="21"/>
  <c r="S13" i="21"/>
  <c r="D6" i="52"/>
  <c r="AP7" i="1"/>
  <c r="AB45" i="21"/>
  <c r="AA32" i="21"/>
  <c r="S32" i="21"/>
  <c r="W9" i="21"/>
  <c r="AC9" i="21"/>
  <c r="AB32" i="21"/>
  <c r="U32" i="21"/>
  <c r="A18" i="62"/>
  <c r="B64" i="72"/>
  <c r="U32" i="39"/>
  <c r="AC32" i="39"/>
  <c r="J63" i="37"/>
  <c r="K63" i="37"/>
  <c r="L63" i="37"/>
  <c r="M63" i="37"/>
  <c r="J11" i="37"/>
  <c r="AC11" i="37"/>
  <c r="H70" i="34"/>
  <c r="I70" i="34"/>
  <c r="J70" i="34"/>
  <c r="K70" i="34"/>
  <c r="L70" i="34"/>
  <c r="M70" i="34"/>
  <c r="J11" i="34"/>
  <c r="W11" i="34"/>
  <c r="W25"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B12" i="76"/>
  <c r="E9" i="76"/>
  <c r="E2" i="69"/>
  <c r="B10" i="76"/>
  <c r="F20" i="31"/>
  <c r="F6" i="73"/>
  <c r="D20" i="9"/>
  <c r="E12" i="76"/>
  <c r="C20" i="9"/>
  <c r="E2" i="68"/>
  <c r="E7" i="76"/>
  <c r="D19" i="9"/>
  <c r="AO13" i="1"/>
  <c r="E11" i="76"/>
  <c r="E13" i="76"/>
  <c r="E8" i="76"/>
  <c r="B7" i="76"/>
  <c r="D35" i="9"/>
  <c r="B9" i="76"/>
  <c r="B11" i="76"/>
  <c r="F7" i="73"/>
  <c r="C19" i="9"/>
  <c r="D34" i="9"/>
  <c r="B8" i="76"/>
  <c r="D6" i="73"/>
  <c r="E10" i="76"/>
  <c r="B13" i="76"/>
  <c r="F5" i="73"/>
  <c r="F3" i="73"/>
  <c r="G7" i="1"/>
  <c r="D93" i="9"/>
  <c r="B41" i="1"/>
  <c r="F31" i="12"/>
  <c r="C31" i="12"/>
  <c r="F30" i="68"/>
  <c r="F48" i="68"/>
  <c r="F32" i="15"/>
  <c r="F60" i="15"/>
  <c r="F30" i="69"/>
  <c r="F48" i="69"/>
  <c r="F28" i="15"/>
  <c r="C28" i="15"/>
  <c r="F28" i="67"/>
  <c r="C28" i="67"/>
  <c r="C40" i="69"/>
  <c r="G26" i="12"/>
  <c r="G22" i="68"/>
  <c r="G22" i="69"/>
  <c r="G22" i="11"/>
  <c r="E1" i="73"/>
  <c r="G1" i="68"/>
  <c r="K1" i="12"/>
  <c r="G1" i="15"/>
  <c r="K7" i="1"/>
  <c r="O7" i="1"/>
  <c r="P7" i="1"/>
  <c r="K6" i="1"/>
  <c r="AP6" i="1"/>
  <c r="G1" i="67"/>
  <c r="G1" i="69"/>
  <c r="F29" i="6"/>
  <c r="BA13" i="3"/>
  <c r="S19" i="40"/>
  <c r="AA19" i="40"/>
  <c r="S25" i="21"/>
  <c r="AA25" i="21"/>
  <c r="G521" i="3"/>
  <c r="AZ557" i="3"/>
  <c r="AZ527" i="3"/>
  <c r="AZ571" i="3"/>
  <c r="AZ512" i="3"/>
  <c r="AZ570" i="3"/>
  <c r="AZ540" i="3"/>
  <c r="AA14" i="33"/>
  <c r="U13" i="36"/>
  <c r="AB13" i="36"/>
  <c r="U19" i="33"/>
  <c r="AC27" i="33"/>
  <c r="AC23" i="37"/>
  <c r="U9" i="21"/>
  <c r="AC17" i="33"/>
  <c r="AC35" i="33"/>
  <c r="AA23" i="37"/>
  <c r="W27" i="40"/>
  <c r="S23" i="21"/>
  <c r="W15" i="21"/>
  <c r="AZ387" i="3"/>
  <c r="AZ338" i="3"/>
  <c r="AZ390" i="3"/>
  <c r="AZ371" i="3"/>
  <c r="AZ351" i="3"/>
  <c r="AZ329" i="3"/>
  <c r="AZ304" i="3"/>
  <c r="AA14" i="37"/>
  <c r="S14" i="37"/>
  <c r="U23" i="33"/>
  <c r="AB25" i="33"/>
  <c r="U19" i="40"/>
  <c r="AB19" i="40"/>
  <c r="U41" i="34"/>
  <c r="AB41" i="34"/>
  <c r="AZ503" i="3"/>
  <c r="AZ513" i="3"/>
  <c r="AB14" i="39"/>
  <c r="U14" i="39"/>
  <c r="AC17" i="37"/>
  <c r="W17" i="21"/>
  <c r="AB36" i="33"/>
  <c r="AA19" i="33"/>
  <c r="S20" i="36"/>
  <c r="S43" i="34"/>
  <c r="S32" i="37"/>
  <c r="S15" i="39"/>
  <c r="AC34" i="33"/>
  <c r="AZ362" i="3"/>
  <c r="AZ380" i="3"/>
  <c r="AZ360" i="3"/>
  <c r="AA37" i="37"/>
  <c r="S37" i="37"/>
  <c r="AZ523" i="3"/>
  <c r="AZ494" i="3"/>
  <c r="AZ510" i="3"/>
  <c r="AZ552" i="3"/>
  <c r="AZ502" i="3"/>
  <c r="AB35" i="39"/>
  <c r="U35" i="39"/>
  <c r="BL579" i="3"/>
  <c r="AZ579" i="3"/>
  <c r="AZ576" i="3"/>
  <c r="W36" i="34"/>
  <c r="J35" i="39"/>
  <c r="AC35" i="39"/>
  <c r="B79" i="43"/>
  <c r="J26" i="33"/>
  <c r="F26" i="33"/>
  <c r="H26" i="33"/>
  <c r="AC9" i="34"/>
  <c r="W9" i="34"/>
  <c r="F12" i="35"/>
  <c r="J12" i="35"/>
  <c r="J12" i="36"/>
  <c r="F12" i="36"/>
  <c r="H12" i="36"/>
  <c r="F32" i="36"/>
  <c r="H32" i="36"/>
  <c r="H45" i="39"/>
  <c r="J45" i="39"/>
  <c r="W45" i="39"/>
  <c r="AB38" i="40"/>
  <c r="U38" i="40"/>
  <c r="AZ529" i="3"/>
  <c r="AZ537" i="3"/>
  <c r="AZ518" i="3"/>
  <c r="AZ546" i="3"/>
  <c r="AZ580" i="3"/>
  <c r="AB12" i="35"/>
  <c r="AB41" i="21"/>
  <c r="BL587" i="3"/>
  <c r="AZ587" i="3"/>
  <c r="AA38" i="33"/>
  <c r="S38" i="33"/>
  <c r="AA35" i="34"/>
  <c r="W27" i="35"/>
  <c r="U39" i="40"/>
  <c r="AB39" i="40"/>
  <c r="J12" i="40"/>
  <c r="H9" i="33"/>
  <c r="F9" i="33"/>
  <c r="AA9" i="33"/>
  <c r="AC22" i="35"/>
  <c r="W22" i="35"/>
  <c r="J24" i="36"/>
  <c r="H24" i="36"/>
  <c r="F24" i="36"/>
  <c r="AB30" i="37"/>
  <c r="U30" i="37"/>
  <c r="AC31" i="40"/>
  <c r="W31" i="40"/>
  <c r="AA31" i="35"/>
  <c r="S31" i="35"/>
  <c r="AC29" i="37"/>
  <c r="AB14" i="36"/>
  <c r="S11" i="40"/>
  <c r="U13" i="37"/>
  <c r="AZ357" i="3"/>
  <c r="AZ322" i="3"/>
  <c r="AZ328" i="3"/>
  <c r="AZ313" i="3"/>
  <c r="AZ394" i="3"/>
  <c r="S14" i="40"/>
  <c r="AZ519" i="3"/>
  <c r="AZ531" i="3"/>
  <c r="BL573" i="3"/>
  <c r="AZ573" i="3"/>
  <c r="BL583" i="3"/>
  <c r="AZ583" i="3"/>
  <c r="AZ568" i="3"/>
  <c r="AA14" i="34"/>
  <c r="F25" i="35"/>
  <c r="AC11" i="35"/>
  <c r="AB23" i="34"/>
  <c r="S44" i="39"/>
  <c r="U33" i="33"/>
  <c r="W28" i="35"/>
  <c r="F35" i="39"/>
  <c r="B97" i="43"/>
  <c r="B75" i="43"/>
  <c r="AB35" i="33"/>
  <c r="U35" i="33"/>
  <c r="S44" i="33"/>
  <c r="AA44" i="33"/>
  <c r="H23" i="35"/>
  <c r="AC28" i="36"/>
  <c r="W28" i="36"/>
  <c r="H34" i="36"/>
  <c r="J34" i="36"/>
  <c r="W34" i="36"/>
  <c r="J39" i="37"/>
  <c r="H39" i="37"/>
  <c r="F39" i="37"/>
  <c r="S39" i="37"/>
  <c r="H44" i="39"/>
  <c r="J44" i="39"/>
  <c r="AA34" i="39"/>
  <c r="J38" i="40"/>
  <c r="F38" i="40"/>
  <c r="U30" i="36"/>
  <c r="AB30" i="36"/>
  <c r="BL550" i="3"/>
  <c r="BL15" i="3"/>
  <c r="AZ15" i="3"/>
  <c r="BA398" i="3"/>
  <c r="BA399" i="3"/>
  <c r="AZ399" i="3"/>
  <c r="BL401" i="3"/>
  <c r="AZ401" i="3"/>
  <c r="BL404" i="3"/>
  <c r="BL405" i="3"/>
  <c r="BL407" i="3"/>
  <c r="AZ407" i="3"/>
  <c r="BA412" i="3"/>
  <c r="AZ412" i="3"/>
  <c r="BA414" i="3"/>
  <c r="BA415" i="3"/>
  <c r="BA416" i="3"/>
  <c r="AZ416" i="3"/>
  <c r="BA418" i="3"/>
  <c r="AZ418" i="3"/>
  <c r="BA421" i="3"/>
  <c r="BA423" i="3"/>
  <c r="AZ423" i="3"/>
  <c r="BA425" i="3"/>
  <c r="AZ425" i="3"/>
  <c r="BA426" i="3"/>
  <c r="BA427" i="3"/>
  <c r="AZ427" i="3"/>
  <c r="BA433" i="3"/>
  <c r="AZ433" i="3"/>
  <c r="BA435" i="3"/>
  <c r="AZ435" i="3"/>
  <c r="BL437" i="3"/>
  <c r="AZ437" i="3"/>
  <c r="G439" i="3"/>
  <c r="G440" i="3"/>
  <c r="BL441" i="3"/>
  <c r="AZ441" i="3"/>
  <c r="BL442" i="3"/>
  <c r="BL444" i="3"/>
  <c r="G446" i="3"/>
  <c r="G447" i="3"/>
  <c r="BL448" i="3"/>
  <c r="AZ448" i="3"/>
  <c r="G450" i="3"/>
  <c r="G451" i="3"/>
  <c r="BA454" i="3"/>
  <c r="AZ454" i="3"/>
  <c r="BA457" i="3"/>
  <c r="BA459" i="3"/>
  <c r="BA460" i="3"/>
  <c r="BA461" i="3"/>
  <c r="AZ461" i="3"/>
  <c r="BL464" i="3"/>
  <c r="AZ464" i="3"/>
  <c r="BL466" i="3"/>
  <c r="G468" i="3"/>
  <c r="G469" i="3"/>
  <c r="BL476" i="3"/>
  <c r="AZ476" i="3"/>
  <c r="BL477" i="3"/>
  <c r="BL478" i="3"/>
  <c r="BL480" i="3"/>
  <c r="AZ480" i="3"/>
  <c r="BA483" i="3"/>
  <c r="BL483" i="3"/>
  <c r="BA486" i="3"/>
  <c r="BL489" i="3"/>
  <c r="BL491" i="3"/>
  <c r="AZ491" i="3"/>
  <c r="BL492" i="3"/>
  <c r="BA331" i="3"/>
  <c r="AZ331" i="3"/>
  <c r="AZ404" i="3"/>
  <c r="AZ405" i="3"/>
  <c r="AZ419" i="3"/>
  <c r="AZ422" i="3"/>
  <c r="AZ444" i="3"/>
  <c r="AZ466" i="3"/>
  <c r="BL467" i="3"/>
  <c r="BL468" i="3"/>
  <c r="BL470" i="3"/>
  <c r="G472" i="3"/>
  <c r="G473" i="3"/>
  <c r="BL473" i="3"/>
  <c r="AZ473" i="3"/>
  <c r="BL474" i="3"/>
  <c r="G475" i="3"/>
  <c r="BA482" i="3"/>
  <c r="BA484" i="3"/>
  <c r="AZ484" i="3"/>
  <c r="BL367" i="3"/>
  <c r="BL383" i="3"/>
  <c r="AZ383" i="3"/>
  <c r="G587" i="3"/>
  <c r="F25" i="37"/>
  <c r="BA551" i="3"/>
  <c r="AZ551" i="3"/>
  <c r="BA550" i="3"/>
  <c r="AZ550" i="3"/>
  <c r="BL548" i="3"/>
  <c r="AZ548" i="3"/>
  <c r="G399" i="3"/>
  <c r="BL400" i="3"/>
  <c r="AZ400" i="3"/>
  <c r="BL408" i="3"/>
  <c r="BL411" i="3"/>
  <c r="BL413" i="3"/>
  <c r="AZ413"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L346" i="3"/>
  <c r="AZ346" i="3"/>
  <c r="G358" i="3"/>
  <c r="BA368" i="3"/>
  <c r="AZ368" i="3"/>
  <c r="BL368" i="3"/>
  <c r="BA374" i="3"/>
  <c r="AZ374" i="3"/>
  <c r="BA384" i="3"/>
  <c r="AZ384" i="3"/>
  <c r="BL585" i="3"/>
  <c r="AZ585" i="3"/>
  <c r="BL398" i="3"/>
  <c r="G402" i="3"/>
  <c r="BL403" i="3"/>
  <c r="AZ403" i="3"/>
  <c r="G406" i="3"/>
  <c r="BA408" i="3"/>
  <c r="BA409" i="3"/>
  <c r="AZ409" i="3"/>
  <c r="BA411" i="3"/>
  <c r="AZ411" i="3"/>
  <c r="BL414" i="3"/>
  <c r="BL415" i="3"/>
  <c r="BA417" i="3"/>
  <c r="AZ417" i="3"/>
  <c r="BL421" i="3"/>
  <c r="BL422" i="3"/>
  <c r="BL425" i="3"/>
  <c r="BL426" i="3"/>
  <c r="BA428" i="3"/>
  <c r="AZ428" i="3"/>
  <c r="BA429" i="3"/>
  <c r="BA430" i="3"/>
  <c r="AZ430" i="3"/>
  <c r="BA432" i="3"/>
  <c r="AZ432" i="3"/>
  <c r="BA434" i="3"/>
  <c r="BA436" i="3"/>
  <c r="BA438" i="3"/>
  <c r="G443" i="3"/>
  <c r="BA446" i="3"/>
  <c r="BA450" i="3"/>
  <c r="BA453" i="3"/>
  <c r="BA455" i="3"/>
  <c r="AZ455" i="3"/>
  <c r="BL457" i="3"/>
  <c r="BL460" i="3"/>
  <c r="BL461" i="3"/>
  <c r="BL463" i="3"/>
  <c r="BA471" i="3"/>
  <c r="AZ471" i="3"/>
  <c r="BA315" i="3"/>
  <c r="AZ315" i="3"/>
  <c r="BL381" i="3"/>
  <c r="AZ381" i="3"/>
  <c r="G382" i="3"/>
  <c r="BL386" i="3"/>
  <c r="G387" i="3"/>
  <c r="BA388" i="3"/>
  <c r="AZ388" i="3"/>
  <c r="BA396" i="3"/>
  <c r="BA209" i="3"/>
  <c r="BL213" i="3"/>
  <c r="BL215" i="3"/>
  <c r="BA222" i="3"/>
  <c r="AZ222" i="3"/>
  <c r="BA224" i="3"/>
  <c r="AZ224" i="3"/>
  <c r="BA226" i="3"/>
  <c r="BA237" i="3"/>
  <c r="AZ237" i="3"/>
  <c r="BL240" i="3"/>
  <c r="AZ240" i="3"/>
  <c r="BA242" i="3"/>
  <c r="AZ242" i="3"/>
  <c r="BL245" i="3"/>
  <c r="AZ245" i="3"/>
  <c r="BL255" i="3"/>
  <c r="BL257" i="3"/>
  <c r="AZ257" i="3"/>
  <c r="BL258" i="3"/>
  <c r="BA262" i="3"/>
  <c r="AZ262" i="3"/>
  <c r="BA268" i="3"/>
  <c r="BA271" i="3"/>
  <c r="AZ271" i="3"/>
  <c r="BL271" i="3"/>
  <c r="BA274" i="3"/>
  <c r="BL274" i="3"/>
  <c r="BA276" i="3"/>
  <c r="BA284" i="3"/>
  <c r="BL286" i="3"/>
  <c r="AZ301" i="3"/>
  <c r="G491" i="3"/>
  <c r="BA303" i="3"/>
  <c r="AZ303" i="3"/>
  <c r="BA307" i="3"/>
  <c r="AZ307" i="3"/>
  <c r="G311" i="3"/>
  <c r="BL314" i="3"/>
  <c r="AZ314" i="3"/>
  <c r="G315" i="3"/>
  <c r="BA332" i="3"/>
  <c r="AZ332" i="3"/>
  <c r="BL332" i="3"/>
  <c r="G339" i="3"/>
  <c r="G364" i="3"/>
  <c r="BA367" i="3"/>
  <c r="BA370" i="3"/>
  <c r="AZ370" i="3"/>
  <c r="BA386" i="3"/>
  <c r="AZ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AZ238" i="3"/>
  <c r="BL243" i="3"/>
  <c r="AZ243" i="3"/>
  <c r="G244" i="3"/>
  <c r="BA247" i="3"/>
  <c r="BL247" i="3"/>
  <c r="BA249" i="3"/>
  <c r="AZ249" i="3"/>
  <c r="BL249" i="3"/>
  <c r="BA251" i="3"/>
  <c r="BL251" i="3"/>
  <c r="BA253" i="3"/>
  <c r="BL260" i="3"/>
  <c r="G262" i="3"/>
  <c r="BL263" i="3"/>
  <c r="AZ263" i="3"/>
  <c r="G264" i="3"/>
  <c r="BL266" i="3"/>
  <c r="BA269" i="3"/>
  <c r="AZ269" i="3"/>
  <c r="BL278" i="3"/>
  <c r="G280" i="3"/>
  <c r="BA282" i="3"/>
  <c r="BL282" i="3"/>
  <c r="BA288" i="3"/>
  <c r="BA290" i="3"/>
  <c r="G297" i="3"/>
  <c r="BL300" i="3"/>
  <c r="BA120" i="3"/>
  <c r="AZ120" i="3"/>
  <c r="G138" i="3"/>
  <c r="BA149" i="3"/>
  <c r="AZ149" i="3"/>
  <c r="BL198" i="3"/>
  <c r="AZ198" i="3"/>
  <c r="BL324" i="3"/>
  <c r="AZ324" i="3"/>
  <c r="BL328" i="3"/>
  <c r="G329" i="3"/>
  <c r="BA335" i="3"/>
  <c r="AZ335" i="3"/>
  <c r="BA339" i="3"/>
  <c r="AZ339" i="3"/>
  <c r="G343" i="3"/>
  <c r="G347" i="3"/>
  <c r="BA348" i="3"/>
  <c r="BA350" i="3"/>
  <c r="AZ350" i="3"/>
  <c r="BA354" i="3"/>
  <c r="BA366" i="3"/>
  <c r="AZ366" i="3"/>
  <c r="BL375" i="3"/>
  <c r="AZ375" i="3"/>
  <c r="BL385" i="3"/>
  <c r="G392" i="3"/>
  <c r="BA397" i="3"/>
  <c r="BL397" i="3"/>
  <c r="BA210" i="3"/>
  <c r="AZ210" i="3"/>
  <c r="BL210" i="3"/>
  <c r="BL212" i="3"/>
  <c r="G214" i="3"/>
  <c r="BL214" i="3"/>
  <c r="AZ214" i="3"/>
  <c r="G216" i="3"/>
  <c r="BL225" i="3"/>
  <c r="BL226" i="3"/>
  <c r="G227" i="3"/>
  <c r="BA239" i="3"/>
  <c r="BL239" i="3"/>
  <c r="BA241" i="3"/>
  <c r="AZ241" i="3"/>
  <c r="BL241" i="3"/>
  <c r="BA244" i="3"/>
  <c r="BL244" i="3"/>
  <c r="BA246" i="3"/>
  <c r="BA252" i="3"/>
  <c r="AZ252" i="3"/>
  <c r="BA254" i="3"/>
  <c r="AZ254" i="3"/>
  <c r="BA256" i="3"/>
  <c r="BL256" i="3"/>
  <c r="BA258" i="3"/>
  <c r="BL264" i="3"/>
  <c r="BA267" i="3"/>
  <c r="AZ267" i="3"/>
  <c r="G270" i="3"/>
  <c r="BL270" i="3"/>
  <c r="AZ270" i="3"/>
  <c r="BA272" i="3"/>
  <c r="AZ272" i="3"/>
  <c r="BL275" i="3"/>
  <c r="AZ275" i="3"/>
  <c r="G277" i="3"/>
  <c r="BA281" i="3"/>
  <c r="BA286" i="3"/>
  <c r="BL287" i="3"/>
  <c r="BL290" i="3"/>
  <c r="BL291" i="3"/>
  <c r="AZ291" i="3"/>
  <c r="BL293" i="3"/>
  <c r="BL294" i="3"/>
  <c r="BA297" i="3"/>
  <c r="AZ297" i="3"/>
  <c r="BL297" i="3"/>
  <c r="BA148" i="3"/>
  <c r="AZ148" i="3"/>
  <c r="BA157" i="3"/>
  <c r="BA162" i="3"/>
  <c r="AZ162" i="3"/>
  <c r="BA177" i="3"/>
  <c r="AZ177" i="3"/>
  <c r="G25" i="3"/>
  <c r="BA27" i="3"/>
  <c r="G30" i="3"/>
  <c r="BL30" i="3"/>
  <c r="BL31" i="3"/>
  <c r="G35" i="3"/>
  <c r="G36" i="3"/>
  <c r="BA43" i="3"/>
  <c r="BL47" i="3"/>
  <c r="AZ47" i="3"/>
  <c r="BL54" i="3"/>
  <c r="BL55" i="3"/>
  <c r="AZ55" i="3"/>
  <c r="C55" i="71"/>
  <c r="D54" i="71"/>
  <c r="V24" i="71"/>
  <c r="E23" i="71"/>
  <c r="E22" i="71"/>
  <c r="E21" i="71"/>
  <c r="E20" i="71"/>
  <c r="BA116" i="3"/>
  <c r="AZ116" i="3"/>
  <c r="BA121" i="3"/>
  <c r="BL121" i="3"/>
  <c r="BA124" i="3"/>
  <c r="AZ124" i="3"/>
  <c r="BA126" i="3"/>
  <c r="BA129" i="3"/>
  <c r="BL133" i="3"/>
  <c r="AZ133" i="3"/>
  <c r="BL139" i="3"/>
  <c r="AZ139" i="3"/>
  <c r="BL141" i="3"/>
  <c r="BL143" i="3"/>
  <c r="AZ143" i="3"/>
  <c r="BL157" i="3"/>
  <c r="BL159" i="3"/>
  <c r="AZ159" i="3"/>
  <c r="BL177" i="3"/>
  <c r="BL183" i="3"/>
  <c r="AZ183" i="3"/>
  <c r="BA186" i="3"/>
  <c r="AZ186" i="3"/>
  <c r="BA190" i="3"/>
  <c r="BA197" i="3"/>
  <c r="BL201" i="3"/>
  <c r="AZ201" i="3"/>
  <c r="BL203" i="3"/>
  <c r="AZ203" i="3"/>
  <c r="BA204" i="3"/>
  <c r="AZ204" i="3"/>
  <c r="BA18" i="3"/>
  <c r="BL21" i="3"/>
  <c r="G23" i="3"/>
  <c r="BL48" i="3"/>
  <c r="BL56" i="3"/>
  <c r="BA61" i="3"/>
  <c r="AZ61" i="3"/>
  <c r="BA67" i="3"/>
  <c r="AZ67" i="3"/>
  <c r="BA68" i="3"/>
  <c r="BL70" i="3"/>
  <c r="N67" i="71"/>
  <c r="B66" i="71"/>
  <c r="F66" i="71"/>
  <c r="Q67" i="71"/>
  <c r="BL265" i="3"/>
  <c r="AZ265" i="3"/>
  <c r="G267" i="3"/>
  <c r="G269" i="3"/>
  <c r="BA273" i="3"/>
  <c r="AZ273" i="3"/>
  <c r="BA278" i="3"/>
  <c r="AZ278" i="3"/>
  <c r="BA280" i="3"/>
  <c r="AZ280" i="3"/>
  <c r="G283" i="3"/>
  <c r="BL283" i="3"/>
  <c r="AZ283" i="3"/>
  <c r="BL284" i="3"/>
  <c r="G285" i="3"/>
  <c r="G288" i="3"/>
  <c r="BL292" i="3"/>
  <c r="BA294" i="3"/>
  <c r="AZ294" i="3"/>
  <c r="BL295" i="3"/>
  <c r="BA298" i="3"/>
  <c r="AZ298" i="3"/>
  <c r="BL301" i="3"/>
  <c r="BL302" i="3"/>
  <c r="AZ302" i="3"/>
  <c r="BA114" i="3"/>
  <c r="BL123" i="3"/>
  <c r="AZ123" i="3"/>
  <c r="BA128" i="3"/>
  <c r="AZ128" i="3"/>
  <c r="BL134" i="3"/>
  <c r="BL137" i="3"/>
  <c r="AZ137" i="3"/>
  <c r="G143" i="3"/>
  <c r="BA146" i="3"/>
  <c r="AZ146" i="3"/>
  <c r="BA150" i="3"/>
  <c r="AZ150" i="3"/>
  <c r="G159" i="3"/>
  <c r="BL167" i="3"/>
  <c r="AZ167" i="3"/>
  <c r="G175" i="3"/>
  <c r="G176" i="3"/>
  <c r="BL178" i="3"/>
  <c r="BA180" i="3"/>
  <c r="AZ180" i="3"/>
  <c r="BL182" i="3"/>
  <c r="AZ182" i="3"/>
  <c r="G183" i="3"/>
  <c r="BA185" i="3"/>
  <c r="BL191" i="3"/>
  <c r="AZ191" i="3"/>
  <c r="BA193" i="3"/>
  <c r="BA196" i="3"/>
  <c r="AZ196" i="3"/>
  <c r="G203" i="3"/>
  <c r="BA205" i="3"/>
  <c r="AZ205" i="3"/>
  <c r="BL20" i="3"/>
  <c r="BA21" i="3"/>
  <c r="AZ21" i="3"/>
  <c r="BA25" i="3"/>
  <c r="AZ25" i="3"/>
  <c r="BA26" i="3"/>
  <c r="BL28" i="3"/>
  <c r="BA29" i="3"/>
  <c r="AZ29" i="3"/>
  <c r="BA36" i="3"/>
  <c r="BL38" i="3"/>
  <c r="AZ38" i="3"/>
  <c r="BA39" i="3"/>
  <c r="BA41" i="3"/>
  <c r="BA42" i="3"/>
  <c r="BL45" i="3"/>
  <c r="BA48" i="3"/>
  <c r="BA49" i="3"/>
  <c r="BL62" i="3"/>
  <c r="AZ62" i="3"/>
  <c r="BL63" i="3"/>
  <c r="BA65" i="3"/>
  <c r="AZ65" i="3"/>
  <c r="BL69" i="3"/>
  <c r="BA72" i="3"/>
  <c r="AZ72" i="3"/>
  <c r="BA73" i="3"/>
  <c r="D31" i="71"/>
  <c r="C32" i="71"/>
  <c r="C44" i="71"/>
  <c r="D43" i="71"/>
  <c r="C52" i="71"/>
  <c r="D51" i="71"/>
  <c r="BL113" i="3"/>
  <c r="BL115" i="3"/>
  <c r="AZ115" i="3"/>
  <c r="BA118" i="3"/>
  <c r="BL118" i="3"/>
  <c r="BA122" i="3"/>
  <c r="AZ122" i="3"/>
  <c r="BL125" i="3"/>
  <c r="AZ125" i="3"/>
  <c r="BL126" i="3"/>
  <c r="G130" i="3"/>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G191" i="3"/>
  <c r="BA192" i="3"/>
  <c r="AZ192" i="3"/>
  <c r="BL197" i="3"/>
  <c r="G198" i="3"/>
  <c r="BL199" i="3"/>
  <c r="AZ199" i="3"/>
  <c r="BA200" i="3"/>
  <c r="AZ200" i="3"/>
  <c r="BA202" i="3"/>
  <c r="BL207" i="3"/>
  <c r="BL18" i="3"/>
  <c r="G19" i="3"/>
  <c r="BL19" i="3"/>
  <c r="AZ19" i="3"/>
  <c r="BA20" i="3"/>
  <c r="AZ20" i="3"/>
  <c r="BL25" i="3"/>
  <c r="BL27" i="3"/>
  <c r="BA28" i="3"/>
  <c r="AZ28" i="3"/>
  <c r="BA31" i="3"/>
  <c r="AZ31" i="3"/>
  <c r="BA32" i="3"/>
  <c r="BA38" i="3"/>
  <c r="BL40" i="3"/>
  <c r="BL41" i="3"/>
  <c r="G51" i="3"/>
  <c r="BA52" i="3"/>
  <c r="AZ52" i="3"/>
  <c r="BA53" i="3"/>
  <c r="BA54" i="3"/>
  <c r="BL57" i="3"/>
  <c r="AZ70" i="3"/>
  <c r="BL79" i="3"/>
  <c r="BA59" i="3"/>
  <c r="AZ59" i="3"/>
  <c r="G61" i="3"/>
  <c r="BL61" i="3"/>
  <c r="G64" i="3"/>
  <c r="BA64" i="3"/>
  <c r="AZ64" i="3"/>
  <c r="G67" i="3"/>
  <c r="BL68" i="3"/>
  <c r="BA69" i="3"/>
  <c r="AZ69" i="3"/>
  <c r="G72" i="3"/>
  <c r="BL73" i="3"/>
  <c r="BA74" i="3"/>
  <c r="AZ74" i="3"/>
  <c r="BA75" i="3"/>
  <c r="G81" i="3"/>
  <c r="G85" i="3"/>
  <c r="BL85" i="3"/>
  <c r="BA86" i="3"/>
  <c r="AZ86" i="3"/>
  <c r="BA87" i="3"/>
  <c r="BA91" i="3"/>
  <c r="AZ91" i="3"/>
  <c r="G96" i="3"/>
  <c r="BL97" i="3"/>
  <c r="AZ97" i="3"/>
  <c r="BL101" i="3"/>
  <c r="BL102" i="3"/>
  <c r="G104" i="3"/>
  <c r="G105" i="3"/>
  <c r="BL106" i="3"/>
  <c r="BA108" i="3"/>
  <c r="AZ108" i="3"/>
  <c r="BA110" i="3"/>
  <c r="AZ110" i="3"/>
  <c r="F3" i="35"/>
  <c r="S21" i="33"/>
  <c r="S21" i="37"/>
  <c r="B77" i="43"/>
  <c r="AA18" i="35"/>
  <c r="AA28" i="71"/>
  <c r="AB27" i="71"/>
  <c r="E75" i="71"/>
  <c r="E74" i="71"/>
  <c r="AB25" i="71"/>
  <c r="X26" i="71"/>
  <c r="Y25" i="71"/>
  <c r="Z25" i="71"/>
  <c r="X38" i="71"/>
  <c r="C35" i="71"/>
  <c r="AB32" i="71"/>
  <c r="X33" i="71"/>
  <c r="AZ103" i="3"/>
  <c r="P66" i="71"/>
  <c r="AA27" i="71"/>
  <c r="AB26" i="71"/>
  <c r="C83" i="71"/>
  <c r="C79" i="71"/>
  <c r="C71" i="71"/>
  <c r="C39" i="71"/>
  <c r="X25" i="71"/>
  <c r="Y28" i="71"/>
  <c r="Z28" i="71"/>
  <c r="C28" i="71"/>
  <c r="Y37" i="71"/>
  <c r="Z37" i="71"/>
  <c r="X35" i="71"/>
  <c r="AA37" i="71"/>
  <c r="Y30" i="71"/>
  <c r="Z30" i="71"/>
  <c r="X28" i="71"/>
  <c r="X32" i="71"/>
  <c r="AA39" i="71"/>
  <c r="F75" i="71"/>
  <c r="F74" i="71"/>
  <c r="B79" i="71"/>
  <c r="B78" i="71"/>
  <c r="BL39" i="3"/>
  <c r="G43" i="3"/>
  <c r="G44" i="3"/>
  <c r="BA45" i="3"/>
  <c r="AZ45" i="3"/>
  <c r="BA46" i="3"/>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AZ88" i="3"/>
  <c r="G90" i="3"/>
  <c r="BL90" i="3"/>
  <c r="BL92" i="3"/>
  <c r="G101" i="3"/>
  <c r="BA101" i="3"/>
  <c r="AZ101" i="3"/>
  <c r="G108" i="3"/>
  <c r="G109" i="3"/>
  <c r="BL112" i="3"/>
  <c r="AB21" i="33"/>
  <c r="U25" i="40"/>
  <c r="S21" i="34"/>
  <c r="B68" i="43"/>
  <c r="B88" i="43"/>
  <c r="BL75" i="3"/>
  <c r="BL81" i="3"/>
  <c r="BA82" i="3"/>
  <c r="AZ82" i="3"/>
  <c r="BL83" i="3"/>
  <c r="BA90" i="3"/>
  <c r="BL94" i="3"/>
  <c r="AZ94" i="3"/>
  <c r="BA100" i="3"/>
  <c r="AZ100" i="3"/>
  <c r="BA102" i="3"/>
  <c r="AZ102" i="3"/>
  <c r="BL105" i="3"/>
  <c r="AZ105" i="3"/>
  <c r="BL107" i="3"/>
  <c r="BA111" i="3"/>
  <c r="AZ111" i="3"/>
  <c r="K13" i="1"/>
  <c r="M13" i="1"/>
  <c r="O13" i="1"/>
  <c r="P13" i="1"/>
  <c r="AB28" i="71"/>
  <c r="AB33" i="71"/>
  <c r="AA30" i="71"/>
  <c r="E35" i="71"/>
  <c r="E36" i="71"/>
  <c r="U36" i="71"/>
  <c r="AB31" i="71"/>
  <c r="AA36" i="71"/>
  <c r="B47" i="71"/>
  <c r="B48" i="71"/>
  <c r="S48" i="71"/>
  <c r="F9" i="1"/>
  <c r="G9" i="1"/>
  <c r="F10" i="1"/>
  <c r="G10" i="1"/>
  <c r="F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AZ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H67" i="43"/>
  <c r="H50" i="43"/>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G26" i="43"/>
  <c r="E29" i="6"/>
  <c r="K15" i="1"/>
  <c r="F30" i="6"/>
  <c r="G30" i="6"/>
  <c r="G31" i="6"/>
  <c r="E28" i="6"/>
  <c r="L19" i="6"/>
  <c r="L27" i="6"/>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21" i="69"/>
  <c r="J84" i="43"/>
  <c r="J85" i="43"/>
  <c r="J87" i="43"/>
  <c r="J88" i="43"/>
  <c r="J89" i="43"/>
  <c r="J90" i="43"/>
  <c r="D66" i="43"/>
  <c r="D64" i="43"/>
  <c r="D62" i="43"/>
  <c r="D67" i="43"/>
  <c r="D65" i="43"/>
  <c r="D63" i="43"/>
  <c r="D69" i="43"/>
  <c r="D73" i="43"/>
  <c r="D75" i="43"/>
  <c r="D79" i="43"/>
  <c r="D22" i="67"/>
  <c r="AQ13" i="1"/>
  <c r="E8" i="6"/>
  <c r="F27" i="6"/>
  <c r="E12" i="6"/>
  <c r="E57" i="40"/>
  <c r="E15" i="6"/>
  <c r="E64" i="39"/>
  <c r="E11" i="6"/>
  <c r="E60" i="39"/>
  <c r="E10" i="6"/>
  <c r="E13" i="6"/>
  <c r="P6" i="1"/>
  <c r="C13" i="12"/>
  <c r="P11" i="1"/>
  <c r="E59" i="40"/>
  <c r="K14"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D22" i="9"/>
  <c r="G19" i="9"/>
  <c r="B20" i="31"/>
  <c r="B21" i="31"/>
  <c r="D103" i="9"/>
  <c r="G20" i="9"/>
  <c r="C103" i="9"/>
  <c r="B13" i="70"/>
  <c r="C36" i="68"/>
  <c r="D9" i="68"/>
  <c r="M6" i="15"/>
  <c r="M26" i="15"/>
  <c r="F6" i="15"/>
  <c r="M23" i="15"/>
  <c r="F40" i="15"/>
  <c r="L47" i="15"/>
  <c r="J15" i="67"/>
  <c r="M23" i="67"/>
  <c r="C76" i="67"/>
  <c r="M24" i="67"/>
  <c r="M22" i="67"/>
  <c r="M26" i="67"/>
  <c r="M28" i="67"/>
  <c r="L47" i="67"/>
  <c r="F43" i="15"/>
  <c r="M22" i="15"/>
  <c r="F36" i="15"/>
  <c r="M29" i="15"/>
  <c r="F38" i="15"/>
  <c r="F13" i="15"/>
  <c r="J15" i="15"/>
  <c r="F8" i="15"/>
  <c r="M8" i="15"/>
  <c r="M29" i="67"/>
  <c r="M28" i="15"/>
  <c r="D3" i="73"/>
  <c r="F37" i="15"/>
  <c r="M24" i="15"/>
  <c r="F16" i="15"/>
  <c r="F42" i="15"/>
  <c r="M9" i="15"/>
  <c r="D4" i="73"/>
  <c r="F26" i="15"/>
  <c r="L48" i="15"/>
  <c r="C76" i="15"/>
  <c r="F9" i="15"/>
  <c r="F7" i="15"/>
  <c r="D7" i="73"/>
  <c r="L56" i="82"/>
  <c r="I54" i="82"/>
  <c r="Q50" i="82"/>
  <c r="L58" i="82"/>
  <c r="G8" i="1"/>
  <c r="F52" i="9"/>
  <c r="F32" i="67"/>
  <c r="F60" i="67"/>
  <c r="F48" i="9"/>
  <c r="O52" i="9"/>
  <c r="M18" i="67"/>
  <c r="M18" i="15"/>
  <c r="F30" i="11"/>
  <c r="D68" i="9"/>
  <c r="F54" i="9"/>
  <c r="N370" i="46"/>
  <c r="L59" i="15"/>
  <c r="Q74" i="15"/>
  <c r="M59" i="15"/>
  <c r="N59" i="15"/>
  <c r="F68" i="15"/>
  <c r="L59" i="67"/>
  <c r="Q61" i="67"/>
  <c r="L58" i="67"/>
  <c r="Q60" i="67"/>
  <c r="N59" i="67"/>
  <c r="M59" i="67"/>
  <c r="F68" i="67"/>
  <c r="F64" i="67"/>
  <c r="F66" i="67"/>
  <c r="F51" i="67"/>
  <c r="J18" i="67"/>
  <c r="F50" i="67"/>
  <c r="F71" i="67"/>
  <c r="I54" i="67"/>
  <c r="L56" i="67"/>
  <c r="Q50" i="67"/>
  <c r="Q71" i="67"/>
  <c r="J26" i="43"/>
  <c r="N94" i="46"/>
  <c r="E26" i="43"/>
  <c r="H26" i="43"/>
  <c r="F26" i="43"/>
  <c r="Q16" i="1"/>
  <c r="K16" i="1"/>
  <c r="H16" i="1"/>
  <c r="F65" i="67"/>
  <c r="F31" i="15"/>
  <c r="M7" i="15"/>
  <c r="J6" i="15"/>
  <c r="J18" i="15"/>
  <c r="F50" i="15"/>
  <c r="Q71" i="15"/>
  <c r="J57" i="15"/>
  <c r="J55" i="15"/>
  <c r="J58" i="15"/>
  <c r="Q50" i="15"/>
  <c r="I54" i="15"/>
  <c r="L58" i="15"/>
  <c r="Q60" i="15"/>
  <c r="J53" i="15"/>
  <c r="L56" i="15"/>
  <c r="C27" i="15"/>
  <c r="F65" i="15"/>
  <c r="F51" i="15"/>
  <c r="C49" i="15"/>
  <c r="C6" i="15"/>
  <c r="C32" i="15"/>
  <c r="F31" i="67"/>
  <c r="F66" i="15"/>
  <c r="F64" i="15"/>
  <c r="F71" i="15"/>
  <c r="J7" i="36"/>
  <c r="G16" i="1"/>
  <c r="F10" i="39"/>
  <c r="S10" i="39"/>
  <c r="C40" i="71"/>
  <c r="D39" i="71"/>
  <c r="AZ190" i="3"/>
  <c r="AZ367" i="3"/>
  <c r="AZ429" i="3"/>
  <c r="AZ483" i="3"/>
  <c r="AZ459" i="3"/>
  <c r="AZ421" i="3"/>
  <c r="AZ414" i="3"/>
  <c r="AA38" i="40"/>
  <c r="S38" i="40"/>
  <c r="AB44" i="39"/>
  <c r="U44" i="39"/>
  <c r="U23" i="35"/>
  <c r="AB23" i="35"/>
  <c r="S24" i="36"/>
  <c r="AA24" i="36"/>
  <c r="W12" i="40"/>
  <c r="AC12" i="40"/>
  <c r="AA32" i="36"/>
  <c r="S32" i="36"/>
  <c r="W12" i="35"/>
  <c r="AC12" i="35"/>
  <c r="U26" i="33"/>
  <c r="AB26" i="33"/>
  <c r="T28" i="71"/>
  <c r="D28" i="71"/>
  <c r="U28" i="71"/>
  <c r="C27" i="71"/>
  <c r="C70" i="71"/>
  <c r="D70" i="71"/>
  <c r="D71" i="71"/>
  <c r="D44" i="71"/>
  <c r="T44" i="71"/>
  <c r="N65" i="71"/>
  <c r="N66" i="71"/>
  <c r="AZ457" i="3"/>
  <c r="W38" i="40"/>
  <c r="AC38" i="40"/>
  <c r="U34" i="36"/>
  <c r="AB34" i="36"/>
  <c r="S25" i="35"/>
  <c r="AA25" i="35"/>
  <c r="AB24" i="36"/>
  <c r="U24" i="36"/>
  <c r="AB12" i="36"/>
  <c r="U12" i="36"/>
  <c r="S26" i="33"/>
  <c r="AA26" i="33"/>
  <c r="D79" i="71"/>
  <c r="C78" i="71"/>
  <c r="D78" i="71"/>
  <c r="C36" i="71"/>
  <c r="D35" i="71"/>
  <c r="AZ75" i="3"/>
  <c r="AZ53" i="3"/>
  <c r="T32" i="71"/>
  <c r="D32" i="71"/>
  <c r="AZ49" i="3"/>
  <c r="AZ41" i="3"/>
  <c r="AZ121" i="3"/>
  <c r="AZ157" i="3"/>
  <c r="AZ256" i="3"/>
  <c r="AZ397" i="3"/>
  <c r="AZ251" i="3"/>
  <c r="AZ247" i="3"/>
  <c r="AZ229" i="3"/>
  <c r="AZ218" i="3"/>
  <c r="AZ274" i="3"/>
  <c r="AB39" i="37"/>
  <c r="U39" i="37"/>
  <c r="AC24" i="36"/>
  <c r="W24" i="36"/>
  <c r="AB9" i="33"/>
  <c r="U9" i="33"/>
  <c r="U45" i="39"/>
  <c r="AB45" i="39"/>
  <c r="S12" i="36"/>
  <c r="AA12" i="36"/>
  <c r="W26" i="33"/>
  <c r="AC26" i="33"/>
  <c r="G5" i="3"/>
  <c r="B3" i="3"/>
  <c r="E212" i="3"/>
  <c r="AZ79" i="3"/>
  <c r="D83" i="71"/>
  <c r="C82" i="71"/>
  <c r="D82" i="71"/>
  <c r="AZ27" i="3"/>
  <c r="AZ5" i="3"/>
  <c r="AZ178" i="3"/>
  <c r="AZ118" i="3"/>
  <c r="T52" i="71"/>
  <c r="D52" i="71"/>
  <c r="AZ39" i="3"/>
  <c r="AZ197" i="3"/>
  <c r="AZ126" i="3"/>
  <c r="C56" i="71"/>
  <c r="D55" i="71"/>
  <c r="AZ286" i="3"/>
  <c r="AZ244" i="3"/>
  <c r="AZ239" i="3"/>
  <c r="AZ282" i="3"/>
  <c r="AZ284" i="3"/>
  <c r="AZ453" i="3"/>
  <c r="AZ408" i="3"/>
  <c r="AA25" i="37"/>
  <c r="S25" i="37"/>
  <c r="AZ460" i="3"/>
  <c r="AZ415" i="3"/>
  <c r="AZ398" i="3"/>
  <c r="AC44" i="39"/>
  <c r="W44" i="39"/>
  <c r="AC39" i="37"/>
  <c r="W39" i="37"/>
  <c r="AA35" i="39"/>
  <c r="S35" i="39"/>
  <c r="AB32" i="36"/>
  <c r="U32" i="36"/>
  <c r="AC12" i="36"/>
  <c r="W12" i="36"/>
  <c r="J7" i="37"/>
  <c r="W7" i="37"/>
  <c r="K1" i="73"/>
  <c r="AL6" i="3"/>
  <c r="E408" i="3"/>
  <c r="E420" i="3"/>
  <c r="E16" i="3"/>
  <c r="L6" i="3"/>
  <c r="E38" i="3"/>
  <c r="E365" i="3"/>
  <c r="E48" i="3"/>
  <c r="E297" i="3"/>
  <c r="E187" i="3"/>
  <c r="E207" i="3"/>
  <c r="E547" i="3"/>
  <c r="E523" i="3"/>
  <c r="E481" i="3"/>
  <c r="E203" i="3"/>
  <c r="E334" i="3"/>
  <c r="E382" i="3"/>
  <c r="E85" i="3"/>
  <c r="E269" i="3"/>
  <c r="AR6" i="3"/>
  <c r="E261" i="3"/>
  <c r="E560" i="3"/>
  <c r="E273" i="3"/>
  <c r="AJ6" i="3"/>
  <c r="E263" i="3"/>
  <c r="AA26" i="37"/>
  <c r="S26" i="37"/>
  <c r="BA5" i="3"/>
  <c r="E27" i="6"/>
  <c r="K26" i="6"/>
  <c r="M26" i="6"/>
  <c r="I26" i="6"/>
  <c r="S26" i="6"/>
  <c r="C19" i="71"/>
  <c r="T20" i="71"/>
  <c r="D20" i="71"/>
  <c r="U20" i="71"/>
  <c r="E219" i="3"/>
  <c r="W40" i="40"/>
  <c r="AC40" i="40"/>
  <c r="AC12" i="21"/>
  <c r="W12" i="21"/>
  <c r="AB12" i="21"/>
  <c r="U12" i="21"/>
  <c r="AA27" i="34"/>
  <c r="S27" i="34"/>
  <c r="AC26" i="37"/>
  <c r="W26" i="37"/>
  <c r="BL5" i="3"/>
  <c r="B15" i="71"/>
  <c r="B14" i="71"/>
  <c r="B13" i="71"/>
  <c r="B12" i="71"/>
  <c r="S16" i="71"/>
  <c r="F7" i="36"/>
  <c r="H7" i="36"/>
  <c r="E94" i="3"/>
  <c r="AA9" i="36"/>
  <c r="S9" i="36"/>
  <c r="AA34" i="35"/>
  <c r="S34" i="35"/>
  <c r="E15" i="71"/>
  <c r="E14" i="71"/>
  <c r="E13" i="71"/>
  <c r="E12" i="71"/>
  <c r="V16" i="71"/>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9" i="68"/>
  <c r="E72" i="43"/>
  <c r="B70" i="43"/>
  <c r="E60" i="40"/>
  <c r="F31" i="6"/>
  <c r="E51" i="40"/>
  <c r="E16" i="6"/>
  <c r="E58" i="40"/>
  <c r="E62" i="39"/>
  <c r="M14" i="1"/>
  <c r="D5" i="43"/>
  <c r="C7" i="43"/>
  <c r="C5" i="43"/>
  <c r="D10" i="52"/>
  <c r="D125" i="9"/>
  <c r="D11" i="52"/>
  <c r="B7" i="74"/>
  <c r="C7" i="74"/>
  <c r="F67" i="39"/>
  <c r="F59" i="67"/>
  <c r="H7" i="37"/>
  <c r="AB7" i="37"/>
  <c r="T42" i="37"/>
  <c r="G42" i="37"/>
  <c r="H7" i="33"/>
  <c r="J7" i="33"/>
  <c r="D65" i="40"/>
  <c r="E63" i="40"/>
  <c r="F48" i="35"/>
  <c r="S7" i="36"/>
  <c r="AA7" i="36"/>
  <c r="R36" i="36"/>
  <c r="AC7" i="37"/>
  <c r="AB7" i="36"/>
  <c r="T36" i="36"/>
  <c r="G36" i="36"/>
  <c r="U7" i="36"/>
  <c r="F7" i="33"/>
  <c r="E58" i="21"/>
  <c r="AC7" i="36"/>
  <c r="V36" i="36"/>
  <c r="I36" i="36"/>
  <c r="W7" i="36"/>
  <c r="F7" i="37"/>
  <c r="M17" i="67"/>
  <c r="M17" i="15"/>
  <c r="P28" i="43"/>
  <c r="B66" i="40"/>
  <c r="P25" i="43"/>
  <c r="P29" i="43"/>
  <c r="P27" i="43"/>
  <c r="B70" i="39"/>
  <c r="C32" i="9"/>
  <c r="F11" i="15"/>
  <c r="M11" i="15"/>
  <c r="J10" i="15"/>
  <c r="Q61" i="15"/>
  <c r="AE11" i="1"/>
  <c r="AE9" i="1"/>
  <c r="AE8" i="1"/>
  <c r="AE12" i="1"/>
  <c r="AE10" i="1"/>
  <c r="C16" i="15"/>
  <c r="Q60" i="82"/>
  <c r="Q73" i="82"/>
  <c r="F1" i="82"/>
  <c r="Q52" i="82"/>
  <c r="F69" i="82"/>
  <c r="C53" i="82"/>
  <c r="C48" i="82"/>
  <c r="J24" i="82"/>
  <c r="C48" i="11"/>
  <c r="C30" i="11"/>
  <c r="C49" i="67"/>
  <c r="Q74" i="67"/>
  <c r="J24" i="67"/>
  <c r="Q73" i="67"/>
  <c r="D26" i="43"/>
  <c r="C25" i="43"/>
  <c r="Q52" i="67"/>
  <c r="F27" i="68"/>
  <c r="F45" i="68"/>
  <c r="F28" i="12"/>
  <c r="C29" i="12"/>
  <c r="D28" i="12"/>
  <c r="E148" i="3"/>
  <c r="E106" i="3"/>
  <c r="E505" i="3"/>
  <c r="E239" i="3"/>
  <c r="E304" i="3"/>
  <c r="E136" i="3"/>
  <c r="E460" i="3"/>
  <c r="E543" i="3"/>
  <c r="E235" i="3"/>
  <c r="F27" i="11"/>
  <c r="C29" i="11"/>
  <c r="D27" i="11"/>
  <c r="F45" i="69"/>
  <c r="Q52" i="15"/>
  <c r="E570" i="3"/>
  <c r="E368" i="3"/>
  <c r="E301" i="3"/>
  <c r="E331" i="3"/>
  <c r="E458" i="3"/>
  <c r="E551" i="3"/>
  <c r="E252" i="3"/>
  <c r="E303" i="3"/>
  <c r="E317" i="3"/>
  <c r="E474" i="3"/>
  <c r="E374" i="3"/>
  <c r="E24" i="3"/>
  <c r="E392" i="3"/>
  <c r="AH6" i="3"/>
  <c r="E428" i="3"/>
  <c r="E102" i="3"/>
  <c r="E233" i="3"/>
  <c r="E139" i="3"/>
  <c r="E278" i="3"/>
  <c r="E345" i="3"/>
  <c r="E568" i="3"/>
  <c r="E508" i="3"/>
  <c r="E111" i="3"/>
  <c r="E415" i="3"/>
  <c r="E581" i="3"/>
  <c r="E434" i="3"/>
  <c r="E328" i="3"/>
  <c r="E168" i="3"/>
  <c r="AD6" i="3"/>
  <c r="E500" i="3"/>
  <c r="E340" i="3"/>
  <c r="E108" i="3"/>
  <c r="E49" i="3"/>
  <c r="E173" i="3"/>
  <c r="E309" i="3"/>
  <c r="E369" i="3"/>
  <c r="E275" i="3"/>
  <c r="E535" i="3"/>
  <c r="E247" i="3"/>
  <c r="E28" i="3"/>
  <c r="E315" i="3"/>
  <c r="E228" i="3"/>
  <c r="E503" i="3"/>
  <c r="E337" i="3"/>
  <c r="E27" i="3"/>
  <c r="E318" i="3"/>
  <c r="E45" i="3"/>
  <c r="E117" i="3"/>
  <c r="E229" i="3"/>
  <c r="E121" i="3"/>
  <c r="E580" i="3"/>
  <c r="E177" i="3"/>
  <c r="E302" i="3"/>
  <c r="E285" i="3"/>
  <c r="E92" i="3"/>
  <c r="E14" i="3"/>
  <c r="E224" i="3"/>
  <c r="E87" i="3"/>
  <c r="E584" i="3"/>
  <c r="E446" i="3"/>
  <c r="E58" i="3"/>
  <c r="E62" i="3"/>
  <c r="E234" i="3"/>
  <c r="E276" i="3"/>
  <c r="E422" i="3"/>
  <c r="E158" i="3"/>
  <c r="E115" i="3"/>
  <c r="E405" i="3"/>
  <c r="E34" i="3"/>
  <c r="E198" i="3"/>
  <c r="E246" i="3"/>
  <c r="E335" i="3"/>
  <c r="E217" i="3"/>
  <c r="Z6" i="3"/>
  <c r="E587" i="3"/>
  <c r="E124" i="3"/>
  <c r="E380" i="3"/>
  <c r="E175" i="3"/>
  <c r="E515" i="3"/>
  <c r="E571" i="3"/>
  <c r="E336" i="3"/>
  <c r="E294" i="3"/>
  <c r="E366" i="3"/>
  <c r="E448" i="3"/>
  <c r="E429" i="3"/>
  <c r="E280" i="3"/>
  <c r="E321" i="3"/>
  <c r="E319" i="3"/>
  <c r="E411" i="3"/>
  <c r="E537" i="3"/>
  <c r="E127" i="3"/>
  <c r="E163" i="3"/>
  <c r="E149" i="3"/>
  <c r="E244" i="3"/>
  <c r="E141" i="3"/>
  <c r="E112" i="3"/>
  <c r="E473" i="3"/>
  <c r="E401" i="3"/>
  <c r="E105" i="3"/>
  <c r="E220" i="3"/>
  <c r="E497" i="3"/>
  <c r="E22" i="3"/>
  <c r="E18" i="3"/>
  <c r="E63" i="3"/>
  <c r="F1" i="15"/>
  <c r="J5" i="15"/>
  <c r="J24" i="15"/>
  <c r="J10" i="39"/>
  <c r="W10" i="39"/>
  <c r="Q73" i="15"/>
  <c r="AA10" i="39"/>
  <c r="F10" i="40"/>
  <c r="S10" i="40"/>
  <c r="H10" i="39"/>
  <c r="U10" i="39"/>
  <c r="H10" i="40"/>
  <c r="AB10" i="40"/>
  <c r="J10" i="40"/>
  <c r="AC10" i="40"/>
  <c r="F59" i="15"/>
  <c r="AY6" i="3"/>
  <c r="AY473" i="3"/>
  <c r="E3" i="6"/>
  <c r="E67" i="3"/>
  <c r="E310" i="3"/>
  <c r="E267" i="3"/>
  <c r="E64" i="3"/>
  <c r="E409" i="3"/>
  <c r="E389" i="3"/>
  <c r="E241" i="3"/>
  <c r="E95" i="3"/>
  <c r="E417" i="3"/>
  <c r="E554" i="3"/>
  <c r="E449" i="3"/>
  <c r="E442" i="3"/>
  <c r="E575" i="3"/>
  <c r="E536" i="3"/>
  <c r="D56" i="71"/>
  <c r="T56" i="7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6" i="71"/>
  <c r="D26" i="71"/>
  <c r="D27" i="71"/>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K19" i="6"/>
  <c r="S6" i="1"/>
  <c r="O14" i="1"/>
  <c r="O16" i="1"/>
  <c r="AY366" i="3"/>
  <c r="AY463" i="3"/>
  <c r="AY247" i="3"/>
  <c r="AY491" i="3"/>
  <c r="AY355" i="3"/>
  <c r="AY356" i="3"/>
  <c r="AY326" i="3"/>
  <c r="AY324" i="3"/>
  <c r="AY266" i="3"/>
  <c r="AY509" i="3"/>
  <c r="AY469" i="3"/>
  <c r="AY38" i="3"/>
  <c r="AY354" i="3"/>
  <c r="AY32" i="3"/>
  <c r="AY431" i="3"/>
  <c r="AY233" i="3"/>
  <c r="AY136" i="3"/>
  <c r="AY153" i="3"/>
  <c r="AY538" i="3"/>
  <c r="AY359" i="3"/>
  <c r="AY240" i="3"/>
  <c r="D3" i="21"/>
  <c r="E6" i="6"/>
  <c r="D37" i="11"/>
  <c r="D14" i="12"/>
  <c r="M18" i="9"/>
  <c r="B118" i="9"/>
  <c r="B1" i="74"/>
  <c r="D3" i="34"/>
  <c r="D19" i="11"/>
  <c r="C19" i="11"/>
  <c r="L18" i="9"/>
  <c r="C17" i="4"/>
  <c r="B4" i="52"/>
  <c r="B43" i="72"/>
  <c r="D3" i="33"/>
  <c r="D3" i="37"/>
  <c r="C39" i="43"/>
  <c r="C42" i="43"/>
  <c r="E42" i="43"/>
  <c r="C38" i="43"/>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C53" i="67"/>
  <c r="C53" i="15"/>
  <c r="C48" i="15"/>
  <c r="C66" i="15"/>
  <c r="C10" i="15"/>
  <c r="C5" i="15"/>
  <c r="C38" i="15"/>
  <c r="C35" i="9"/>
  <c r="M27" i="82"/>
  <c r="M27" i="15"/>
  <c r="M27" i="67"/>
  <c r="F41" i="15"/>
  <c r="C48" i="67"/>
  <c r="C66" i="82"/>
  <c r="C60" i="82"/>
  <c r="L36" i="43"/>
  <c r="L37" i="43"/>
  <c r="M37" i="43"/>
  <c r="C29" i="68"/>
  <c r="D27" i="68"/>
  <c r="C47" i="68"/>
  <c r="D45" i="68"/>
  <c r="C47" i="11"/>
  <c r="D45" i="11"/>
  <c r="AY39" i="3"/>
  <c r="AY221" i="3"/>
  <c r="AY93" i="3"/>
  <c r="AY276" i="3"/>
  <c r="AY301" i="3"/>
  <c r="AY72" i="3"/>
  <c r="AY320" i="3"/>
  <c r="AY453"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124" i="3"/>
  <c r="AY58" i="3"/>
  <c r="AY335" i="3"/>
  <c r="AY123" i="3"/>
  <c r="AY460" i="3"/>
  <c r="AY260" i="3"/>
  <c r="AY452" i="3"/>
  <c r="BE6" i="3"/>
  <c r="AY44" i="3"/>
  <c r="AY149" i="3"/>
  <c r="AY262" i="3"/>
  <c r="AY360" i="3"/>
  <c r="AY197" i="3"/>
  <c r="AY388" i="3"/>
  <c r="AY475" i="3"/>
  <c r="AY581"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64" i="3"/>
  <c r="AY434" i="3"/>
  <c r="AY567" i="3"/>
  <c r="AY203" i="3"/>
  <c r="AY492" i="3"/>
  <c r="AY511" i="3"/>
  <c r="AY224" i="3"/>
  <c r="AY91" i="3"/>
  <c r="AY579" i="3"/>
  <c r="AY189" i="3"/>
  <c r="AY350" i="3"/>
  <c r="AY237" i="3"/>
  <c r="AY242" i="3"/>
  <c r="AY165" i="3"/>
  <c r="AY245" i="3"/>
  <c r="AY566" i="3"/>
  <c r="AY107" i="3"/>
  <c r="AY62" i="3"/>
  <c r="AY432" i="3"/>
  <c r="AY13" i="3"/>
  <c r="AY563" i="3"/>
  <c r="AY352" i="3"/>
  <c r="AY429" i="3"/>
  <c r="AY277" i="3"/>
  <c r="AY560" i="3"/>
  <c r="AY167" i="3"/>
  <c r="AY519" i="3"/>
  <c r="AY286" i="3"/>
  <c r="AY112" i="3"/>
  <c r="AY117" i="3"/>
  <c r="AY495" i="3"/>
  <c r="AY202" i="3"/>
  <c r="AY60" i="3"/>
  <c r="AY155" i="3"/>
  <c r="AY477" i="3"/>
  <c r="AY408" i="3"/>
  <c r="AY545" i="3"/>
  <c r="AY396" i="3"/>
  <c r="AY375" i="3"/>
  <c r="AY330" i="3"/>
  <c r="AY575" i="3"/>
  <c r="AY298" i="3"/>
  <c r="AY490" i="3"/>
  <c r="AY148" i="3"/>
  <c r="AY437" i="3"/>
  <c r="AY94" i="3"/>
  <c r="AY313" i="3"/>
  <c r="AY536" i="3"/>
  <c r="AY84" i="3"/>
  <c r="AY516" i="3"/>
  <c r="AY89" i="3"/>
  <c r="AY411" i="3"/>
  <c r="AY357" i="3"/>
  <c r="AY533" i="3"/>
  <c r="AY183" i="3"/>
  <c r="AC6" i="3"/>
  <c r="D116" i="43"/>
  <c r="H6" i="3"/>
  <c r="AA10" i="40"/>
  <c r="AB10" i="39"/>
  <c r="AC10" i="39"/>
  <c r="W10" i="40"/>
  <c r="U10" i="40"/>
  <c r="F24" i="15"/>
  <c r="C24" i="15"/>
  <c r="F41" i="69"/>
  <c r="F22" i="68"/>
  <c r="F41" i="68"/>
  <c r="F25" i="12"/>
  <c r="C26" i="12"/>
  <c r="D25" i="12"/>
  <c r="F22" i="11"/>
  <c r="C44" i="11"/>
  <c r="D41" i="11"/>
  <c r="E49" i="34"/>
  <c r="C17" i="71"/>
  <c r="D18" i="71"/>
  <c r="O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34" i="9"/>
  <c r="C66" i="67"/>
  <c r="C60" i="67"/>
  <c r="D10" i="68"/>
  <c r="C17" i="15"/>
  <c r="N37" i="43"/>
  <c r="M36" i="43"/>
  <c r="P37" i="43"/>
  <c r="N36" i="43"/>
  <c r="Q37" i="43"/>
  <c r="Q36" i="43"/>
  <c r="P36" i="43"/>
  <c r="O36" i="43"/>
  <c r="F41" i="81"/>
  <c r="C24" i="11"/>
  <c r="H22" i="6"/>
  <c r="H25" i="6"/>
  <c r="E6" i="3"/>
  <c r="C25" i="11"/>
  <c r="C23" i="11"/>
  <c r="C26" i="68"/>
  <c r="D22" i="68"/>
  <c r="C23" i="68"/>
  <c r="C26" i="11"/>
  <c r="D22" i="11"/>
  <c r="C44" i="68"/>
  <c r="D41" i="68"/>
  <c r="C16" i="71"/>
  <c r="D17" i="71"/>
  <c r="H23" i="6"/>
  <c r="R23" i="6"/>
  <c r="R10" i="1"/>
  <c r="C30" i="43"/>
  <c r="B2" i="43"/>
  <c r="B3" i="43"/>
  <c r="C31" i="43"/>
  <c r="H20" i="6"/>
  <c r="R20" i="6"/>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R21" i="6"/>
  <c r="R8" i="1"/>
  <c r="F50" i="11"/>
  <c r="F50" i="68"/>
  <c r="C4" i="52"/>
  <c r="B45" i="72"/>
  <c r="A10" i="51"/>
  <c r="B9" i="72"/>
  <c r="A7" i="51"/>
  <c r="B7" i="72"/>
  <c r="C21" i="9"/>
  <c r="D21" i="9"/>
  <c r="G21" i="9"/>
  <c r="R25" i="6"/>
  <c r="R12" i="1"/>
  <c r="C10" i="68"/>
  <c r="D19" i="68"/>
  <c r="H69" i="39"/>
  <c r="I67" i="39"/>
  <c r="G65" i="40"/>
  <c r="H63" i="40"/>
  <c r="C43" i="37"/>
  <c r="C42" i="37"/>
  <c r="I48" i="35"/>
  <c r="C48" i="33"/>
  <c r="C49" i="33"/>
  <c r="H58" i="21"/>
  <c r="E47" i="37"/>
  <c r="F47" i="37"/>
  <c r="E46" i="37"/>
  <c r="F46" i="37"/>
  <c r="I47" i="37"/>
  <c r="J47" i="37"/>
  <c r="E53" i="33"/>
  <c r="F53" i="33"/>
  <c r="E52" i="33"/>
  <c r="F52" i="33"/>
  <c r="C33" i="15"/>
  <c r="J19" i="67"/>
  <c r="C34" i="68"/>
  <c r="C14" i="15"/>
  <c r="B6" i="76"/>
  <c r="E6" i="76"/>
  <c r="Q49" i="82"/>
  <c r="C57" i="82"/>
  <c r="C64" i="82"/>
  <c r="J14" i="82"/>
  <c r="J22" i="82"/>
  <c r="C56" i="82"/>
  <c r="C65" i="82"/>
  <c r="C75" i="82"/>
  <c r="Q70" i="82"/>
  <c r="Q48" i="82"/>
  <c r="C22" i="11"/>
  <c r="C31" i="11"/>
  <c r="C15" i="71"/>
  <c r="T16" i="71"/>
  <c r="D16" i="71"/>
  <c r="U16" i="71"/>
  <c r="T16" i="1"/>
  <c r="C18" i="15"/>
  <c r="C15" i="15"/>
  <c r="C38" i="68"/>
  <c r="C35" i="68"/>
  <c r="C36" i="11"/>
  <c r="C37" i="11"/>
  <c r="C34" i="11"/>
  <c r="C23" i="12"/>
  <c r="C14" i="12"/>
  <c r="C16" i="12"/>
  <c r="C21" i="12"/>
  <c r="C22" i="12"/>
  <c r="H19" i="6"/>
  <c r="S19" i="6"/>
  <c r="S27" i="6"/>
  <c r="I27" i="6"/>
  <c r="C19" i="68"/>
  <c r="D37" i="68"/>
  <c r="C37" i="68"/>
  <c r="C19" i="69"/>
  <c r="I5" i="6"/>
  <c r="I6" i="6"/>
  <c r="E2" i="76"/>
  <c r="B2" i="76"/>
  <c r="I69" i="39"/>
  <c r="J67" i="39"/>
  <c r="I63" i="40"/>
  <c r="H65" i="40"/>
  <c r="I58" i="21"/>
  <c r="J58" i="21"/>
  <c r="K58" i="21"/>
  <c r="L58" i="21"/>
  <c r="M58" i="21"/>
  <c r="N58" i="21"/>
  <c r="O58" i="21"/>
  <c r="H7" i="21"/>
  <c r="J48" i="35"/>
  <c r="J13" i="82"/>
  <c r="J23" i="82"/>
  <c r="C14" i="71"/>
  <c r="D15" i="71"/>
  <c r="F7" i="21"/>
  <c r="S7" i="21"/>
  <c r="J7" i="21"/>
  <c r="AC7" i="21"/>
  <c r="V48" i="21"/>
  <c r="I48" i="21"/>
  <c r="Q48" i="67"/>
  <c r="C19" i="15"/>
  <c r="C20" i="15"/>
  <c r="C26" i="15"/>
  <c r="C33" i="68"/>
  <c r="C39" i="68"/>
  <c r="C30" i="12"/>
  <c r="C28" i="12"/>
  <c r="C38" i="11"/>
  <c r="C35" i="11"/>
  <c r="H27" i="6"/>
  <c r="R19" i="6"/>
  <c r="C27" i="12"/>
  <c r="C25" i="12"/>
  <c r="C20" i="68"/>
  <c r="C28" i="68"/>
  <c r="C27" i="68"/>
  <c r="C24" i="68"/>
  <c r="B3" i="76"/>
  <c r="J69" i="39"/>
  <c r="K67" i="39"/>
  <c r="U7" i="21"/>
  <c r="AB7" i="21"/>
  <c r="T48" i="21"/>
  <c r="G48" i="21"/>
  <c r="J63" i="40"/>
  <c r="I65" i="40"/>
  <c r="K48" i="35"/>
  <c r="L48" i="35"/>
  <c r="M48" i="35"/>
  <c r="N48" i="35"/>
  <c r="O48" i="35"/>
  <c r="H7" i="35"/>
  <c r="C57" i="81"/>
  <c r="C56" i="81"/>
  <c r="D14" i="71"/>
  <c r="C13" i="71"/>
  <c r="W7" i="21"/>
  <c r="AA7" i="21"/>
  <c r="R48" i="21"/>
  <c r="R49" i="21"/>
  <c r="J7" i="35"/>
  <c r="W7" i="35"/>
  <c r="Q49" i="67"/>
  <c r="J14" i="67"/>
  <c r="J13" i="67"/>
  <c r="J23" i="67"/>
  <c r="C57" i="67"/>
  <c r="C64" i="67"/>
  <c r="Q70" i="67"/>
  <c r="C33" i="11"/>
  <c r="C39" i="11"/>
  <c r="C61" i="67"/>
  <c r="C42" i="68"/>
  <c r="C32" i="12"/>
  <c r="B2" i="12"/>
  <c r="B3" i="12"/>
  <c r="C23" i="15"/>
  <c r="C29" i="15"/>
  <c r="R27" i="6"/>
  <c r="C25" i="68"/>
  <c r="C22" i="68"/>
  <c r="C31" i="68"/>
  <c r="C46" i="68"/>
  <c r="C45" i="68"/>
  <c r="C43" i="68"/>
  <c r="L67" i="39"/>
  <c r="K69" i="39"/>
  <c r="J65" i="40"/>
  <c r="K63" i="40"/>
  <c r="I52" i="21"/>
  <c r="J52" i="21"/>
  <c r="U7" i="35"/>
  <c r="AB7" i="35"/>
  <c r="T38" i="35"/>
  <c r="G38" i="35"/>
  <c r="E48" i="21"/>
  <c r="G52" i="21"/>
  <c r="H52" i="21"/>
  <c r="G53" i="21"/>
  <c r="H53" i="21"/>
  <c r="F7" i="35"/>
  <c r="M21" i="82"/>
  <c r="F35" i="15"/>
  <c r="M21" i="67"/>
  <c r="M21" i="15"/>
  <c r="F63" i="82"/>
  <c r="C62" i="82"/>
  <c r="C59" i="82"/>
  <c r="C58" i="82"/>
  <c r="C67" i="82"/>
  <c r="C68" i="82"/>
  <c r="C71" i="82"/>
  <c r="J20" i="82"/>
  <c r="J17" i="82"/>
  <c r="J16" i="82"/>
  <c r="J25" i="82"/>
  <c r="AC7" i="35"/>
  <c r="V38" i="35"/>
  <c r="I38" i="35"/>
  <c r="C12" i="71"/>
  <c r="D13"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L51" i="82"/>
  <c r="L57" i="82"/>
  <c r="L60" i="82"/>
  <c r="Q67" i="82"/>
  <c r="C80" i="82"/>
  <c r="C79" i="82"/>
  <c r="C45" i="82"/>
  <c r="C46" i="82"/>
  <c r="Q69" i="82"/>
  <c r="Q68" i="82"/>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Q66" i="82"/>
  <c r="Q57" i="82"/>
  <c r="Q47" i="82"/>
  <c r="Q53" i="82"/>
  <c r="Q56" i="82"/>
  <c r="C43" i="82"/>
  <c r="C83" i="82"/>
  <c r="C82" i="82"/>
  <c r="Q65" i="82"/>
  <c r="C10" i="71"/>
  <c r="D11" i="7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L51" i="67"/>
  <c r="Q75" i="82"/>
  <c r="Q62" i="82"/>
  <c r="B2" i="82"/>
  <c r="D10" i="71"/>
  <c r="C9" i="71"/>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2" i="36"/>
  <c r="L51" i="15"/>
  <c r="D2" i="34"/>
  <c r="D2" i="37"/>
  <c r="D2" i="35"/>
  <c r="C8" i="71"/>
  <c r="D9" i="71"/>
  <c r="Q57" i="67"/>
  <c r="Q62" i="67"/>
  <c r="Q66" i="67"/>
  <c r="Q75"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9" i="1"/>
  <c r="AO10" i="1"/>
  <c r="AO12" i="1"/>
  <c r="AO8" i="1"/>
  <c r="AO11" i="1"/>
  <c r="AO6"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E81" i="9"/>
  <c r="E80" i="9"/>
  <c r="C80" i="9"/>
  <c r="C6" i="74"/>
  <c r="C105" i="9"/>
  <c r="I4" i="52"/>
  <c r="C72" i="9"/>
  <c r="C79" i="9"/>
  <c r="C81" i="9"/>
  <c r="N61" i="9"/>
  <c r="N59" i="9"/>
  <c r="N60" i="9"/>
  <c r="N58" i="9"/>
  <c r="D55" i="9"/>
  <c r="M53" i="9"/>
  <c r="N57" i="9"/>
  <c r="P57" i="9"/>
  <c r="D8" i="52"/>
  <c r="B20" i="72"/>
  <c r="C73" i="9"/>
  <c r="C78" i="9"/>
  <c r="D53" i="9"/>
  <c r="D52" i="9"/>
  <c r="C104" i="9"/>
  <c r="H4" i="52"/>
  <c r="F4" i="52"/>
  <c r="B51" i="72"/>
  <c r="D4" i="52"/>
  <c r="B47" i="72"/>
  <c r="B30" i="72"/>
  <c r="M48" i="9"/>
  <c r="C96" i="9"/>
  <c r="E96" i="9"/>
  <c r="E97" i="9"/>
  <c r="C5" i="74"/>
  <c r="G4" i="52"/>
  <c r="B52" i="72"/>
  <c r="B49" i="72"/>
  <c r="D5" i="52"/>
  <c r="D118" i="9"/>
  <c r="D119" i="9"/>
  <c r="D54" i="9"/>
  <c r="C68" i="9"/>
  <c r="D5" i="53"/>
  <c r="D6" i="53"/>
  <c r="B22" i="72"/>
  <c r="D13" i="53"/>
  <c r="D14" i="53"/>
  <c r="B32" i="72"/>
  <c r="H102" i="9"/>
  <c r="D7" i="53"/>
  <c r="B21" i="72"/>
  <c r="E118" i="9"/>
  <c r="E4" i="52"/>
  <c r="B48" i="72"/>
  <c r="M54" i="9"/>
  <c r="D56" i="9"/>
  <c r="D58" i="9"/>
  <c r="C85" i="9"/>
  <c r="C95" i="9"/>
  <c r="C97" i="9"/>
  <c r="H108" i="9"/>
  <c r="D15" i="53"/>
  <c r="B31" i="72"/>
  <c r="H107" i="9"/>
  <c r="D122" i="9"/>
  <c r="D123" i="9"/>
  <c r="D9" i="52"/>
  <c r="H119" i="9"/>
  <c r="H5" i="52"/>
  <c r="C93" i="9"/>
  <c r="C86" i="9"/>
  <c r="I118" i="9"/>
  <c r="H118" i="9"/>
  <c r="H101" i="9"/>
  <c r="D45" i="9"/>
  <c r="C64" i="9"/>
  <c r="C63" i="9"/>
  <c r="C67" i="9"/>
  <c r="D59" i="9"/>
  <c r="M55" i="9"/>
  <c r="G118" i="9"/>
  <c r="F118" i="9"/>
  <c r="F119" i="9"/>
  <c r="F5" i="5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<sst xmlns="http://schemas.openxmlformats.org/spreadsheetml/2006/main" count="8405" uniqueCount="3459">
  <si>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</si>
  <si>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</si>
  <si>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</si>
  <si>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</si>
  <si>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</si>
  <si>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</si>
  <si>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</si>
  <si>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</si>
  <si>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</si>
  <si>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</si>
  <si>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</si>
  <si>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</si>
  <si>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</si>
  <si>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</si>
  <si>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</si>
  <si>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</si>
  <si>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</si>
  <si>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</si>
  <si>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</si>
  <si>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</si>
  <si>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</si>
  <si>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</si>
  <si>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</si>
  <si>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</si>
  <si>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</si>
  <si>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</si>
  <si>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</si>
  <si>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</si>
  <si>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</si>
  <si>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</si>
  <si>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</si>
  <si>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</si>
  <si>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</si>
  <si>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</si>
  <si>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</si>
  <si>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</si>
  <si>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</si>
  <si>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</si>
  <si>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</si>
  <si>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</si>
  <si>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</si>
  <si>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</si>
  <si>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</si>
  <si>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</si>
  <si>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</si>
  <si>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</si>
  <si>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</si>
  <si>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</si>
  <si>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</si>
  <si>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</si>
  <si>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</si>
  <si>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</si>
  <si>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</si>
  <si>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</si>
  <si>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</si>
  <si>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</si>
  <si>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</si>
  <si>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</si>
  <si>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</si>
  <si>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</si>
  <si>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</si>
  <si>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</si>
  <si>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</si>
  <si>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</si>
  <si>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</si>
  <si>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</si>
  <si>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</si>
  <si>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</si>
  <si>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</si>
  <si>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</si>
  <si>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</si>
  <si>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</si>
  <si>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</si>
  <si>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</si>
  <si>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</si>
  <si>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</si>
  <si>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</si>
  <si>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</si>
  <si>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</si>
  <si>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</si>
  <si>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</si>
  <si>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</si>
  <si>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</si>
  <si>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</si>
  <si>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</si>
  <si>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</si>
  <si>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</si>
  <si>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</si>
  <si>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</si>
  <si>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</si>
  <si>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</si>
  <si>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</si>
  <si>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</si>
  <si>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</si>
  <si>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</si>
  <si>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</si>
  <si>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</si>
  <si>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</si>
  <si>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</si>
  <si>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</si>
  <si>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</si>
  <si>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</si>
  <si>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</si>
  <si>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</si>
  <si>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</si>
  <si>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</si>
  <si>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</si>
  <si>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</si>
  <si>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</si>
  <si>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</si>
  <si>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</si>
  <si>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</si>
  <si>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</si>
  <si>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</si>
  <si>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</si>
  <si>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</si>
  <si>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</si>
  <si>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</si>
  <si>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</si>
  <si>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</si>
  <si>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</si>
  <si>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</si>
  <si>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</si>
  <si>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</si>
  <si>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</si>
  <si>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</si>
  <si>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</si>
  <si>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</si>
  <si>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</si>
  <si>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</si>
  <si>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</si>
  <si>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</si>
  <si>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</si>
  <si>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</si>
  <si>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</si>
  <si>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</si>
  <si>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</si>
  <si>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</si>
  <si>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</si>
  <si>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</si>
  <si>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</si>
  <si>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</si>
  <si>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</si>
  <si>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</si>
  <si>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</si>
  <si>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</si>
  <si>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</si>
  <si>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</si>
  <si>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</si>
  <si>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</si>
  <si>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</si>
  <si>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</si>
  <si>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</si>
  <si>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</si>
  <si>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</si>
  <si>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</si>
  <si>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</si>
  <si>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</si>
  <si>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</si>
  <si>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</si>
  <si>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</si>
  <si>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</si>
  <si>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</si>
  <si>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</si>
  <si>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</si>
  <si>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</si>
  <si>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</si>
  <si>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</si>
  <si>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</si>
  <si>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</si>
  <si>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</si>
  <si>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</si>
  <si>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</si>
  <si>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</si>
  <si>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</si>
  <si>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</si>
  <si>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</si>
  <si>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</si>
  <si>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</si>
  <si>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</si>
  <si>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</si>
  <si>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</si>
  <si>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</si>
  <si>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</si>
  <si>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</si>
  <si>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</si>
  <si>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</si>
  <si>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</si>
  <si>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</si>
  <si>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</si>
  <si>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</si>
  <si>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</si>
  <si>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</si>
  <si>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</si>
  <si>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</si>
  <si>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</si>
  <si>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</si>
  <si>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</si>
  <si>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</si>
  <si>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</si>
  <si>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</si>
  <si>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</si>
  <si>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</si>
  <si>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</si>
  <si>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</si>
  <si>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</si>
  <si>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</si>
  <si>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</si>
  <si>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</si>
  <si>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</si>
  <si>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</si>
  <si>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</si>
  <si>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</si>
  <si>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</si>
  <si>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</si>
  <si>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</si>
  <si>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</si>
  <si>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</si>
  <si>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</si>
  <si>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</si>
  <si>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</si>
  <si>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</si>
  <si>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</si>
  <si>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</si>
  <si>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</si>
  <si>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</si>
  <si>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</si>
  <si>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</si>
  <si>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</si>
  <si>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</si>
  <si>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</si>
  <si>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</si>
  <si>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</si>
  <si>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</si>
  <si>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</si>
  <si>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</si>
  <si>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</si>
  <si>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</si>
  <si>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</si>
  <si>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</si>
  <si>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</si>
  <si>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</si>
  <si>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</si>
  <si>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</si>
  <si>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</si>
  <si>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</si>
  <si>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</si>
  <si>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</si>
  <si>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</si>
  <si>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</si>
  <si>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</si>
  <si>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</si>
  <si>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</si>
  <si>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</si>
  <si>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</si>
  <si>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</si>
  <si>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</si>
  <si>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</si>
  <si>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</si>
  <si>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</si>
  <si>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</si>
  <si>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</si>
  <si>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</si>
  <si>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</si>
  <si>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</si>
  <si>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</si>
  <si>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</si>
  <si>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</si>
  <si>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</si>
  <si>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</si>
  <si>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</si>
  <si>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</si>
  <si>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</si>
  <si>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</si>
  <si>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</si>
  <si>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</si>
  <si>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</si>
  <si>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</si>
  <si>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</si>
  <si>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</si>
  <si>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</si>
  <si>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</si>
  <si>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</si>
  <si>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</si>
  <si>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</si>
  <si>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</si>
  <si>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</si>
  <si>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</si>
  <si>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</si>
  <si>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</si>
  <si>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</si>
  <si>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</si>
  <si>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</si>
  <si>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</si>
  <si>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</si>
  <si>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</si>
  <si>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</si>
  <si>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</si>
  <si>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</si>
  <si>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</si>
  <si>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</si>
  <si>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</si>
  <si>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</si>
  <si>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</si>
  <si>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</si>
  <si>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</si>
  <si>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</si>
  <si>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</si>
  <si>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</si>
  <si>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</si>
  <si>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</si>
  <si>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</si>
  <si>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</si>
  <si>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</si>
  <si>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</si>
  <si>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</si>
  <si>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</si>
  <si>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</si>
  <si>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</si>
  <si>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</si>
  <si>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</si>
  <si>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</si>
  <si>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</si>
  <si>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</si>
  <si>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</si>
  <si>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</si>
  <si>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</si>
  <si>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</si>
  <si>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</si>
  <si>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</si>
  <si>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</si>
  <si>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</si>
  <si>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</si>
  <si>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</si>
  <si>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</si>
  <si>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</si>
  <si>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</si>
  <si>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</si>
  <si>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</si>
  <si>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</si>
  <si>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</si>
  <si>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</si>
  <si>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</si>
  <si>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</si>
  <si>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</si>
  <si>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</si>
  <si>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</si>
  <si>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</si>
  <si>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</si>
  <si>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</si>
  <si>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</si>
  <si>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</si>
  <si>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</si>
  <si>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</si>
  <si>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</si>
  <si>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</si>
  <si>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</si>
  <si>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</si>
  <si>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</si>
  <si>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</si>
  <si>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</si>
  <si>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</si>
  <si>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</si>
  <si>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</si>
  <si>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</si>
  <si>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</si>
  <si>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</si>
  <si>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</si>
  <si>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</si>
  <si>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</si>
  <si>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</si>
  <si>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</si>
  <si>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</si>
  <si>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</si>
  <si>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</si>
  <si>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</si>
  <si>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</si>
  <si>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</si>
  <si>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</si>
  <si>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</si>
  <si>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</si>
  <si>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</si>
  <si>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</si>
  <si>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</si>
  <si>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</si>
  <si>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</si>
  <si>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</si>
  <si>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</si>
  <si>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</si>
  <si>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</si>
  <si>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</si>
  <si>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</si>
  <si>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</si>
  <si>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</si>
  <si>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</si>
  <si>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</si>
  <si>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</si>
  <si>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</si>
  <si>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</si>
  <si>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</si>
  <si>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</si>
  <si>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</si>
  <si>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</si>
  <si>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</si>
  <si>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</si>
  <si>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</si>
  <si>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</si>
  <si>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</si>
  <si>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</si>
  <si>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</si>
  <si>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</si>
  <si>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</si>
  <si>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</si>
  <si>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</si>
  <si>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</si>
  <si>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</si>
  <si>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</si>
  <si>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</si>
  <si>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</si>
  <si>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</si>
  <si>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</si>
  <si>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</si>
  <si>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</si>
  <si>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</si>
  <si>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</si>
  <si>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</si>
  <si>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</si>
  <si>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</si>
  <si>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</si>
  <si>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</si>
  <si>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</si>
  <si>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</si>
  <si>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</si>
  <si>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</si>
  <si>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</si>
  <si>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</si>
  <si>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</si>
  <si>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</si>
  <si>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</si>
  <si>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</si>
  <si>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</si>
  <si>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</si>
  <si>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</si>
  <si>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</si>
  <si>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</si>
  <si>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</si>
  <si>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</si>
  <si>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</si>
  <si>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</si>
  <si>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</si>
  <si>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</si>
  <si>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</si>
  <si>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</si>
  <si>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</si>
  <si>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</si>
  <si>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</si>
  <si>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</si>
  <si>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</si>
  <si>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</si>
  <si>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</si>
  <si>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</si>
  <si>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</si>
  <si>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</si>
  <si>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</si>
  <si>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</si>
  <si>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</si>
  <si>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</si>
  <si>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</si>
  <si>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</si>
  <si>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</si>
  <si>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</si>
  <si>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</si>
  <si>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</si>
  <si>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</si>
  <si>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</si>
  <si>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</si>
  <si>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</si>
  <si>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</si>
  <si>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</si>
  <si>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</si>
  <si>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</si>
  <si>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</si>
  <si>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</si>
  <si>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</si>
  <si>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</si>
  <si>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</si>
  <si>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</si>
  <si>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</si>
  <si>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</si>
  <si>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</si>
  <si>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</si>
  <si>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</si>
  <si>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</si>
  <si>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</si>
  <si>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</si>
  <si>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</si>
  <si>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</si>
  <si>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</si>
  <si>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</si>
  <si>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</si>
  <si>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</si>
  <si>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</si>
  <si>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</si>
  <si>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</si>
  <si>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</si>
  <si>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</si>
  <si>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</si>
  <si>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</si>
  <si>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</si>
  <si>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</si>
  <si>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</si>
  <si>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</si>
  <si>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</si>
  <si>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</si>
  <si>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</si>
  <si>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</si>
  <si>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</si>
  <si>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</si>
  <si>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</si>
  <si>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</si>
  <si>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</si>
  <si>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</si>
  <si>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</si>
  <si>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</si>
  <si>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</si>
  <si>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</si>
  <si>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</si>
  <si>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</si>
  <si>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</si>
  <si>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</si>
  <si>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</si>
  <si>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</si>
  <si>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</si>
  <si>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</si>
  <si>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</si>
  <si>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</si>
  <si>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</si>
  <si>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</si>
  <si>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</si>
  <si>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</si>
  <si>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</si>
  <si>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</si>
  <si>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</si>
  <si>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</si>
  <si>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</si>
  <si>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</si>
  <si>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</si>
  <si>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</si>
  <si>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</si>
  <si>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</si>
  <si>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</si>
  <si>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</si>
  <si>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</si>
  <si>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</si>
  <si>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</si>
  <si>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</si>
  <si>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</si>
  <si>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</si>
  <si>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</si>
  <si>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</si>
  <si>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</si>
  <si>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</si>
  <si>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</si>
  <si>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</si>
  <si>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</si>
  <si>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</si>
  <si>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</si>
  <si>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</si>
  <si>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</si>
  <si>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</si>
  <si>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</si>
  <si>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</si>
  <si>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</si>
  <si>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</si>
  <si>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</si>
  <si>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</si>
  <si>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</si>
  <si>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</si>
  <si>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</si>
  <si>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</si>
  <si>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</si>
  <si>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</si>
  <si>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</si>
  <si>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</si>
  <si>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</si>
  <si>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</si>
  <si>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</si>
  <si>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</si>
  <si>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</si>
  <si>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</si>
  <si>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</si>
  <si>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</si>
  <si>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</si>
  <si>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</si>
  <si>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</si>
  <si>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</si>
  <si>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</si>
  <si>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</si>
  <si>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</si>
  <si>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</si>
  <si>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</si>
  <si>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</si>
  <si>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</si>
  <si>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</si>
  <si>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</si>
  <si>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</si>
  <si>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</si>
  <si>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</si>
  <si>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</si>
  <si>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</si>
  <si>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</si>
  <si>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</si>
  <si>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</si>
  <si>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</si>
  <si>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</si>
  <si>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</si>
  <si>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</si>
  <si>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</si>
  <si>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</si>
  <si>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</si>
  <si>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</si>
  <si>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</si>
  <si>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</si>
  <si>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</si>
  <si>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</si>
  <si>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</si>
  <si>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</si>
  <si>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</si>
  <si>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</si>
  <si>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</si>
  <si>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</si>
  <si>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</si>
  <si>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</si>
  <si>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</si>
  <si>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</si>
  <si>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</si>
  <si>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</si>
  <si>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</si>
  <si>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</si>
  <si>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</si>
  <si>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</si>
  <si>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</si>
  <si>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</si>
  <si>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</si>
  <si>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</si>
  <si>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</si>
  <si>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</si>
  <si>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</si>
  <si>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</si>
  <si>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</si>
  <si>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</si>
  <si>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</si>
  <si>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</si>
  <si>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</si>
  <si>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</si>
  <si>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</si>
  <si>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</si>
  <si>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</si>
  <si>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</si>
  <si>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</si>
  <si>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</si>
  <si>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</si>
  <si>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</si>
  <si>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</si>
  <si>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</si>
  <si>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</si>
  <si>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</si>
  <si>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</si>
  <si>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</si>
  <si>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</si>
  <si>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</si>
  <si>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</si>
  <si>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</si>
  <si>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</si>
  <si>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</si>
  <si>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</si>
  <si>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</si>
  <si>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</si>
  <si>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</si>
  <si>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</si>
  <si>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</si>
  <si>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</si>
  <si>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</si>
  <si>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</si>
  <si>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</si>
  <si>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</si>
  <si>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</si>
  <si>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</si>
  <si>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</si>
  <si>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</si>
  <si>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</si>
  <si>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</si>
  <si>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</si>
  <si>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</si>
  <si>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</si>
  <si>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</si>
  <si>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</si>
  <si>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</si>
  <si>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</si>
  <si>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</si>
  <si>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</si>
  <si>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</si>
  <si>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</si>
  <si>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</si>
  <si>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</si>
  <si>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</si>
  <si>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</si>
  <si>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</si>
  <si>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</si>
  <si>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</si>
  <si>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</si>
  <si>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</si>
  <si>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</si>
  <si>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</si>
  <si>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</si>
  <si>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</si>
  <si>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</si>
  <si>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</si>
  <si>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</si>
  <si>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</si>
  <si>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</si>
  <si>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</si>
  <si>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</si>
  <si>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</si>
  <si>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</si>
  <si>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</si>
  <si>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</si>
  <si>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</si>
  <si>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</si>
  <si>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</si>
  <si>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</si>
  <si>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</si>
  <si>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</si>
  <si>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</si>
  <si>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</si>
  <si>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</si>
  <si>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</si>
  <si>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</si>
  <si>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</si>
  <si>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</si>
  <si>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</si>
  <si>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</si>
  <si>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</si>
  <si>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</si>
  <si>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</si>
  <si>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</si>
  <si>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</si>
  <si>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</si>
  <si>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</si>
  <si>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</si>
  <si>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</si>
  <si>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</si>
  <si>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</si>
  <si>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</si>
  <si>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</si>
  <si>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</si>
  <si>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</si>
  <si>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</si>
  <si>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</si>
  <si>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</si>
  <si>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</si>
  <si>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</si>
  <si>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</si>
  <si>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</si>
  <si>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</si>
  <si>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</si>
  <si>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</si>
  <si>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</si>
  <si>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</si>
  <si>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</si>
  <si>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</si>
  <si>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</si>
  <si>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</si>
  <si>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</si>
  <si>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</si>
  <si>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</si>
  <si>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</si>
  <si>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</si>
  <si>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</si>
  <si>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</si>
  <si>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</si>
  <si>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</si>
  <si>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</si>
  <si>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</si>
  <si>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</si>
  <si>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</si>
  <si>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</si>
  <si>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</si>
  <si>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</si>
  <si>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</si>
  <si>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</si>
  <si>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</si>
  <si>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</si>
  <si>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</si>
  <si>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</si>
  <si>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</si>
  <si>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</si>
  <si>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</si>
  <si>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</si>
  <si>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</si>
  <si>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</si>
  <si>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</si>
  <si>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</si>
  <si>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</si>
  <si>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</si>
  <si>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</si>
  <si>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</si>
  <si>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</si>
  <si>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</si>
  <si>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</si>
  <si>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</si>
  <si>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</si>
  <si>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</si>
  <si>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</si>
  <si>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</si>
  <si>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</si>
  <si>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</si>
  <si>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</si>
  <si>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</si>
  <si>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</si>
  <si>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</si>
  <si>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</si>
  <si>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</si>
  <si>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</si>
  <si>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</si>
  <si>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</si>
  <si>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</si>
  <si>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</si>
  <si>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</si>
  <si>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</si>
  <si>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</si>
  <si>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</si>
  <si>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</si>
  <si>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</si>
  <si>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</si>
  <si>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</si>
  <si>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</si>
  <si>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</si>
  <si>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</si>
  <si>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</si>
  <si>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</si>
  <si>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</si>
  <si>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</si>
  <si>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</si>
  <si>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</si>
  <si>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</si>
  <si>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</si>
  <si>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</si>
  <si>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</si>
  <si>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</si>
  <si>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</si>
  <si>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</si>
  <si>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</si>
  <si>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</si>
  <si>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</si>
  <si>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</si>
  <si>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</si>
  <si>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</si>
  <si>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</si>
  <si>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</si>
  <si>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</si>
  <si>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</si>
  <si>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</si>
  <si>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</si>
  <si>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</si>
  <si>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</si>
  <si>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</si>
  <si>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</si>
  <si>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</si>
  <si>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</si>
  <si>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</si>
  <si>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</si>
  <si>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</si>
  <si>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</si>
  <si>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</si>
  <si>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</si>
  <si>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</si>
  <si>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</si>
  <si>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</si>
  <si>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</si>
  <si>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</si>
  <si>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</si>
  <si>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</si>
  <si>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</si>
  <si>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</si>
  <si>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</si>
  <si>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</si>
  <si>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</si>
  <si>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</si>
  <si>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</si>
  <si>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</si>
  <si>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</si>
  <si>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</si>
  <si>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</si>
  <si>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</si>
  <si>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</si>
  <si>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</si>
  <si>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</si>
  <si>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</si>
  <si>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</si>
  <si>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</si>
  <si>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</si>
  <si>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</si>
  <si>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</si>
  <si>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</si>
  <si>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</si>
  <si>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</si>
  <si>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</si>
  <si>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</si>
  <si>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</si>
  <si>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</si>
  <si>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</si>
  <si>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</si>
  <si>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</si>
  <si>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</si>
  <si>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</si>
  <si>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</si>
  <si>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</si>
  <si>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</si>
  <si>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</si>
  <si>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</si>
  <si>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</si>
  <si>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</si>
  <si>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</si>
  <si>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</si>
  <si>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</si>
  <si>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</si>
  <si>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</si>
  <si>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</si>
  <si>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</si>
  <si>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</si>
  <si>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</si>
  <si>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</si>
  <si>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</si>
  <si>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</si>
  <si>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</si>
  <si>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</si>
  <si>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</si>
  <si>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</si>
  <si>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</si>
  <si>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</si>
  <si>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</si>
  <si>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</si>
  <si>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</si>
  <si>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</si>
  <si>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</si>
  <si>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</si>
  <si>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</si>
  <si>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</si>
  <si>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</si>
  <si>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</si>
  <si>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</si>
  <si>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</si>
  <si>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</si>
  <si>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</si>
  <si>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</si>
  <si>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</si>
  <si>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</si>
  <si>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</si>
  <si>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</si>
  <si>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</si>
  <si>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</si>
  <si>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</si>
  <si>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</si>
  <si>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</si>
  <si>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</si>
  <si>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</si>
  <si>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</si>
  <si>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</si>
  <si>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</si>
  <si>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</si>
  <si>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</si>
  <si>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</si>
  <si>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</si>
  <si>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</si>
  <si>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</si>
  <si>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</si>
  <si>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</si>
  <si>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</si>
  <si>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</si>
  <si>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</si>
  <si>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</si>
  <si>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</si>
  <si>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</si>
  <si>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</si>
  <si>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</si>
  <si>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</si>
  <si>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</si>
  <si>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</si>
  <si>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</si>
  <si>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</si>
  <si>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</si>
  <si>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</si>
  <si>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</si>
  <si>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</si>
  <si>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</si>
  <si>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</si>
  <si>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</si>
  <si>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</si>
  <si>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</si>
  <si>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</si>
  <si>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</si>
  <si>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</si>
  <si>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</si>
  <si>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</si>
  <si>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</si>
  <si>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</si>
  <si>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</si>
  <si>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</si>
  <si>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</si>
  <si>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</si>
  <si>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</si>
  <si>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</si>
  <si>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</si>
  <si>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</si>
  <si>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</si>
  <si>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</si>
  <si>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</si>
  <si>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</si>
  <si>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</si>
  <si>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</si>
  <si>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</si>
  <si>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</si>
  <si>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</si>
  <si>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</si>
  <si>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</si>
  <si>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</si>
  <si>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</si>
  <si>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</si>
  <si>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</si>
  <si>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</si>
  <si>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</si>
  <si>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</si>
  <si>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</si>
  <si>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</si>
  <si>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</si>
  <si>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</si>
  <si>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</si>
  <si>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</si>
  <si>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</si>
  <si>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</si>
  <si>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</si>
  <si>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</si>
  <si>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</si>
  <si>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</si>
  <si>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</si>
  <si>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</si>
  <si>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</si>
  <si>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</si>
  <si>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</si>
  <si>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</si>
  <si>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</si>
  <si>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</si>
  <si>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</si>
  <si>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</si>
  <si>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</si>
  <si>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</si>
  <si>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</si>
  <si>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</si>
  <si>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</si>
  <si>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</si>
  <si>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</si>
  <si>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</si>
  <si>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</si>
  <si>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</si>
  <si>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</si>
  <si>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</si>
  <si>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</si>
  <si>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</si>
  <si>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</si>
  <si>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</si>
  <si>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</si>
  <si>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</si>
  <si>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</si>
  <si>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</si>
  <si>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</si>
  <si>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</si>
  <si>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</si>
  <si>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</si>
  <si>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</si>
  <si>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</si>
  <si>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</si>
  <si>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</si>
  <si>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</si>
  <si>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</si>
  <si>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</si>
  <si>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</si>
  <si>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</si>
  <si>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</si>
  <si>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</si>
  <si>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</si>
  <si>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</si>
  <si>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</si>
  <si>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</si>
  <si>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</si>
  <si>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</si>
  <si>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</si>
  <si>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</si>
  <si>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</si>
  <si>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</si>
  <si>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</si>
  <si>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</si>
  <si>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</si>
  <si>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</si>
  <si>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</si>
  <si>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</si>
  <si>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</si>
  <si>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</si>
  <si>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</si>
  <si>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</si>
  <si>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</si>
  <si>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</si>
  <si>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</si>
  <si>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</si>
  <si>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</si>
  <si>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</si>
  <si>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</si>
  <si>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</si>
  <si>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</si>
  <si>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</si>
  <si>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</si>
  <si>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</si>
  <si>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</si>
  <si>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</si>
  <si>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</si>
  <si>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</si>
  <si>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</si>
  <si>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</si>
  <si>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</si>
  <si>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</si>
  <si>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</si>
  <si>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</si>
  <si>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</si>
  <si>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</si>
  <si>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</si>
  <si>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</si>
  <si>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</si>
  <si>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</si>
  <si>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</si>
  <si>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</si>
  <si>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</si>
  <si>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</si>
  <si>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</si>
  <si>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</si>
  <si>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</si>
  <si>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</si>
  <si>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</si>
  <si>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</si>
  <si>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</si>
  <si>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</si>
  <si>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</si>
  <si>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</si>
  <si>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</si>
  <si>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</si>
  <si>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</si>
  <si>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</si>
  <si>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</si>
  <si>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</si>
  <si>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</si>
  <si>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</si>
  <si>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</si>
  <si>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</si>
  <si>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</si>
  <si>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</si>
  <si>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</si>
  <si>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</si>
  <si>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</si>
  <si>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</si>
  <si>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</si>
  <si>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</si>
  <si>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</si>
  <si>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</si>
  <si>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</si>
  <si>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</si>
  <si>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</si>
  <si>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</si>
  <si>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</si>
  <si>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</si>
  <si>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</si>
  <si>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</si>
  <si>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</si>
  <si>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</si>
  <si>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</si>
  <si>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</si>
  <si>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</si>
  <si>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</si>
  <si>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</si>
  <si>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</si>
  <si>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</si>
  <si>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</si>
  <si>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</si>
  <si>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</si>
  <si>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</si>
  <si>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</si>
  <si>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</si>
  <si>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</si>
  <si>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</si>
  <si>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</si>
  <si>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</si>
  <si>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</si>
  <si>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</si>
  <si>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</si>
  <si>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</si>
  <si>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</si>
  <si>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</si>
  <si>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</si>
  <si>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</si>
  <si>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</si>
  <si>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</si>
  <si>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</si>
  <si>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</si>
  <si>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</si>
  <si>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</si>
  <si>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</si>
  <si>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</si>
  <si>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</si>
  <si>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</si>
  <si>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</si>
  <si>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</si>
  <si>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</si>
  <si>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</si>
  <si>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</si>
  <si>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</si>
  <si>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</si>
  <si>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</si>
  <si>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</si>
  <si>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</si>
  <si>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</si>
  <si>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</si>
  <si>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</si>
  <si>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</si>
  <si>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</si>
  <si>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</si>
  <si>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</si>
  <si>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</si>
  <si>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</si>
  <si>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</si>
  <si>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</si>
  <si>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</si>
  <si>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</si>
  <si>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</si>
  <si>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</si>
  <si>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</si>
  <si>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</si>
  <si>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</si>
  <si>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</si>
  <si>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</si>
  <si>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</si>
  <si>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</si>
  <si>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</si>
  <si>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</si>
  <si>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</si>
  <si>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</si>
  <si>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</si>
  <si>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</si>
  <si>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</si>
  <si>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</si>
  <si>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</si>
  <si>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</si>
  <si>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</si>
  <si>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</si>
  <si>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</si>
  <si>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</si>
  <si>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</si>
  <si>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</si>
  <si>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</si>
  <si>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</si>
  <si>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</si>
  <si>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</si>
  <si>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</si>
  <si>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</si>
  <si>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</si>
  <si>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</si>
  <si>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</si>
  <si>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</si>
  <si>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</si>
  <si>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</si>
  <si>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</si>
  <si>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</si>
  <si>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</si>
  <si>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</si>
  <si>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</si>
  <si>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</si>
  <si>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</si>
  <si>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</si>
  <si>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</si>
  <si>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</si>
  <si>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</si>
  <si>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</si>
  <si>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</si>
  <si>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</si>
  <si>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</si>
  <si>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</si>
  <si>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</si>
  <si>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</si>
  <si>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</si>
  <si>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</si>
  <si>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</si>
  <si>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</si>
  <si>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</si>
  <si>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</si>
  <si>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</si>
  <si>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</si>
  <si>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</si>
  <si>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</si>
  <si>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</si>
  <si>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</si>
  <si>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</si>
  <si>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</si>
  <si>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</si>
  <si>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</si>
  <si>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</si>
  <si>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</si>
  <si>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</si>
  <si>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</si>
  <si>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</si>
  <si>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</si>
  <si>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</si>
  <si>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</si>
  <si>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</si>
  <si>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</si>
  <si>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</si>
  <si>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</si>
  <si>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</si>
  <si>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</si>
  <si>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</si>
  <si>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</si>
  <si>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</si>
  <si>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</si>
  <si>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</si>
  <si>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</si>
  <si>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</si>
  <si>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</si>
  <si>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</si>
  <si>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</si>
  <si>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</si>
  <si>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</si>
  <si>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</si>
  <si>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</si>
  <si>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</si>
  <si>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</si>
  <si>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</si>
  <si>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</si>
  <si>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</si>
  <si>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</si>
  <si>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</si>
  <si>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</si>
  <si>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</si>
  <si>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</si>
  <si>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</si>
  <si>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</si>
  <si>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</si>
  <si>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</si>
  <si>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</si>
  <si>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</si>
  <si>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</si>
  <si>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</si>
  <si>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</si>
  <si>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</si>
  <si>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</si>
  <si>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</si>
  <si>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</si>
  <si>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</si>
  <si>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</si>
  <si>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</si>
  <si>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</si>
  <si>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</si>
  <si>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</si>
  <si>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</si>
  <si>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</si>
  <si>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</si>
  <si>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</si>
  <si>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</si>
  <si>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</si>
  <si>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</si>
  <si>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</si>
  <si>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</si>
  <si>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</si>
  <si>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</si>
  <si>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</si>
  <si>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</si>
  <si>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</si>
  <si>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</si>
  <si>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</si>
  <si>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</si>
  <si>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</si>
  <si>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</si>
  <si>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</si>
  <si>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</si>
  <si>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</si>
  <si>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</si>
  <si>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</si>
  <si>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</si>
  <si>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</si>
  <si>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</si>
  <si>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</si>
  <si>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</si>
  <si>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</si>
  <si>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</si>
  <si>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</si>
  <si>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</si>
  <si>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</si>
  <si>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</si>
  <si>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</si>
  <si>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</si>
  <si>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</si>
  <si>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</si>
  <si>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</si>
  <si>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</si>
  <si>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</si>
  <si>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</si>
  <si>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</si>
  <si>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</si>
  <si>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</si>
  <si>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</si>
  <si>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</si>
  <si>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</si>
  <si>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</si>
  <si>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</si>
  <si>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</si>
  <si>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</si>
  <si>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</si>
  <si>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</si>
  <si>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</si>
  <si>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</si>
  <si>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</si>
  <si>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</si>
  <si>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</si>
  <si>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</si>
  <si>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</si>
  <si>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</si>
  <si>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</si>
  <si>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</si>
  <si>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</si>
  <si>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</si>
  <si>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</si>
  <si>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</si>
  <si>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</si>
  <si>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</si>
  <si>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</si>
  <si>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</si>
  <si>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</si>
  <si>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</si>
  <si>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</si>
  <si>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</si>
  <si>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</si>
  <si>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</si>
  <si>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</si>
  <si>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</si>
  <si>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</si>
  <si>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</si>
  <si>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</si>
  <si>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</si>
  <si>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</si>
  <si>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</si>
  <si>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</si>
  <si>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</si>
  <si>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</si>
  <si>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</si>
  <si>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</si>
  <si>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</si>
  <si>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</si>
  <si>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</si>
  <si>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</si>
  <si>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</si>
  <si>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</si>
  <si>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</si>
  <si>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</si>
  <si>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</si>
  <si>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</si>
  <si>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</si>
  <si>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</si>
  <si>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</si>
  <si>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</si>
  <si>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</si>
  <si>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</si>
  <si>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</si>
  <si>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</si>
  <si>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</si>
  <si>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</si>
  <si>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</si>
  <si>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</si>
  <si>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</si>
  <si>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</si>
  <si>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</si>
  <si>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</si>
  <si>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</si>
  <si>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</si>
  <si>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</si>
  <si>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</si>
  <si>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</si>
  <si>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</si>
  <si>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</si>
  <si>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</si>
  <si>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</si>
  <si>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</si>
  <si>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</si>
  <si>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</si>
  <si>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</si>
  <si>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</si>
  <si>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</si>
  <si>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</si>
  <si>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</si>
  <si>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</si>
  <si>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</si>
  <si>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</si>
  <si>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</si>
  <si>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</si>
  <si>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</si>
  <si>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</si>
  <si>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</si>
  <si>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</si>
  <si>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</si>
  <si>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</si>
  <si>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</si>
  <si>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</si>
  <si>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</si>
  <si>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</si>
  <si>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</si>
  <si>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</si>
  <si>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</si>
  <si>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</si>
  <si>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</si>
  <si>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</si>
  <si>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</si>
  <si>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</si>
  <si>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</si>
  <si>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</si>
  <si>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</si>
  <si>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</si>
  <si>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</si>
  <si>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</si>
  <si>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</si>
  <si>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</si>
  <si>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</si>
  <si>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</si>
  <si>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</si>
  <si>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</si>
  <si>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</si>
  <si>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</si>
  <si>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</si>
  <si>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</si>
  <si>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</si>
  <si>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</si>
  <si>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</si>
  <si>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</si>
  <si>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</si>
  <si>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</si>
  <si>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</si>
  <si>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</si>
  <si>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</si>
  <si>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</si>
  <si>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</si>
  <si>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</si>
  <si>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</si>
  <si>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</si>
  <si>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</si>
  <si>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</si>
  <si>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</si>
  <si>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</si>
  <si>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</si>
  <si>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</si>
  <si>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</si>
  <si>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</si>
  <si>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</si>
  <si>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</si>
  <si>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</si>
  <si>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</si>
  <si>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</si>
  <si>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</si>
  <si>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</si>
  <si>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</si>
  <si>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</si>
  <si>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</si>
  <si>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</si>
  <si>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</si>
  <si>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</si>
  <si>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</si>
  <si>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</si>
  <si>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</si>
  <si>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</si>
  <si>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</si>
  <si>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</si>
  <si>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</si>
  <si>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</si>
  <si>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</si>
  <si>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</si>
  <si>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</si>
  <si>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</si>
  <si>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</si>
  <si>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</si>
  <si>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</si>
  <si>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</si>
  <si>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</si>
  <si>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</si>
  <si>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</si>
  <si>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</si>
  <si>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</si>
  <si>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</si>
  <si>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</si>
  <si>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</si>
  <si>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</si>
  <si>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</si>
  <si>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</si>
  <si>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</si>
  <si>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</si>
  <si>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</si>
  <si>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</si>
  <si>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</si>
  <si>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</si>
  <si>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</si>
  <si>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</si>
  <si>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</si>
  <si>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</si>
  <si>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</si>
  <si>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</si>
  <si>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</si>
  <si>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</si>
  <si>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</si>
  <si>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</si>
  <si>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</si>
  <si>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</si>
  <si>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</si>
  <si>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</si>
  <si>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</si>
  <si>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</si>
  <si>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</si>
  <si>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</si>
  <si>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</si>
  <si>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</si>
  <si>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</si>
  <si>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</si>
  <si>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</si>
  <si>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</si>
  <si>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</si>
  <si>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</si>
  <si>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</si>
  <si>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</si>
  <si>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</si>
  <si>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</si>
  <si>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</si>
  <si>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</si>
  <si>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</si>
  <si>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</si>
  <si>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</si>
  <si>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</si>
  <si>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</si>
  <si>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</si>
  <si>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</si>
  <si>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</si>
  <si>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</si>
  <si>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</si>
  <si>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</si>
  <si>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</si>
  <si>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</si>
  <si>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</si>
  <si>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</si>
  <si>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</si>
  <si>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</si>
  <si>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</si>
  <si>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</si>
  <si>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</si>
  <si>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</si>
  <si>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</si>
  <si>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</si>
  <si>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</si>
  <si>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</si>
  <si>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</si>
  <si>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</si>
  <si>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</si>
  <si>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</si>
  <si>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</si>
  <si>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</si>
  <si>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</si>
  <si>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</si>
  <si>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</si>
  <si>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</si>
  <si>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</si>
  <si>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</si>
  <si>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</si>
  <si>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</si>
  <si>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</si>
  <si>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</si>
  <si>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</si>
  <si>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</si>
  <si>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</si>
  <si>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</si>
  <si>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</si>
  <si>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</si>
  <si>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</si>
  <si>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</si>
  <si>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</si>
  <si>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</si>
  <si>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</si>
  <si>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</si>
  <si>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</si>
  <si>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</si>
  <si>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</si>
  <si>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</si>
  <si>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</si>
  <si>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</si>
  <si>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</si>
  <si>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</si>
  <si>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</si>
  <si>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</si>
  <si>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</si>
  <si>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</si>
  <si>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</si>
  <si>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</si>
  <si>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</si>
  <si>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</si>
  <si>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</si>
  <si>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</si>
  <si>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</si>
  <si>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</si>
  <si>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</si>
  <si>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</si>
  <si>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</si>
  <si>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</si>
  <si>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</si>
  <si>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</si>
  <si>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</si>
  <si>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</si>
  <si>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</si>
  <si>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</si>
  <si>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</si>
  <si>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</si>
  <si>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</si>
  <si>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</si>
  <si>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</si>
  <si>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</si>
  <si>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</si>
  <si>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</si>
  <si>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</si>
  <si>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</si>
  <si>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</si>
  <si>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</si>
  <si>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</si>
  <si>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</si>
  <si>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</si>
  <si>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</si>
  <si>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</si>
  <si>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</si>
  <si>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</si>
  <si>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</si>
  <si>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</si>
  <si>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</si>
  <si>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</si>
  <si>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</si>
  <si>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</si>
  <si>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</si>
  <si>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</si>
  <si>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</si>
  <si>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</si>
  <si>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</si>
  <si>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</si>
  <si>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</si>
  <si>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</si>
  <si>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</si>
  <si>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</si>
  <si>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</si>
  <si>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</si>
  <si>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</si>
  <si>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</si>
  <si>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</si>
  <si>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</si>
  <si>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</si>
  <si>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</si>
  <si>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</si>
  <si>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</si>
  <si>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</si>
  <si>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</si>
  <si>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</si>
  <si>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</si>
  <si>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</si>
  <si>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</si>
  <si>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</si>
  <si>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</si>
  <si>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</si>
  <si>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</si>
  <si>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</si>
  <si>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</si>
  <si>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</si>
  <si>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</si>
  <si>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</si>
  <si>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</si>
  <si>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</si>
  <si>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</si>
  <si>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</si>
  <si>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</si>
  <si>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</si>
  <si>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</si>
  <si>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</si>
  <si>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</si>
  <si>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</si>
  <si>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</si>
  <si>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</si>
  <si>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</si>
  <si>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</si>
  <si>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</si>
  <si>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</si>
  <si>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</si>
  <si>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</si>
  <si>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</si>
  <si>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</si>
  <si>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</si>
  <si>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</si>
  <si>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</si>
  <si>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</si>
  <si>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</si>
  <si>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</si>
  <si>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</si>
  <si>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</si>
  <si>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</si>
  <si>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</si>
  <si>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</si>
  <si>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</si>
  <si>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</si>
  <si>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</si>
  <si>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</si>
  <si>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</si>
  <si>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</si>
  <si>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</si>
  <si>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</si>
  <si>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</si>
  <si>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</si>
  <si>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</si>
  <si>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</si>
  <si>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</si>
  <si>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</si>
  <si>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</si>
  <si>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</si>
  <si>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</si>
  <si>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</si>
  <si>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</si>
  <si>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</si>
  <si>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</si>
  <si>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</si>
  <si>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</si>
  <si>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</si>
  <si>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</si>
  <si>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</si>
  <si>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</si>
  <si>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</si>
  <si>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</si>
  <si>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</si>
  <si>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</si>
  <si>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</si>
  <si>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</si>
  <si>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</si>
  <si>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</si>
  <si>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</si>
  <si>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</si>
  <si>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</si>
  <si>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</si>
  <si>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</si>
  <si>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</si>
  <si>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</si>
  <si>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</si>
  <si>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</si>
  <si>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</si>
  <si>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</si>
  <si>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</si>
  <si>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</si>
  <si>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</si>
  <si>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</si>
  <si>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</si>
  <si>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</si>
  <si>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</si>
  <si>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</si>
  <si>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</si>
  <si>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</si>
  <si>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</si>
  <si>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</si>
  <si>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</si>
  <si>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</si>
  <si>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</si>
  <si>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</si>
  <si>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</si>
  <si>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</si>
  <si>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</si>
  <si>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</si>
  <si>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</si>
  <si>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</si>
  <si>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</si>
  <si>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</si>
  <si>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</si>
  <si>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</si>
  <si>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</si>
  <si>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</si>
  <si>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</si>
  <si>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</si>
  <si>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</si>
  <si>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</si>
  <si>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</si>
  <si>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</si>
  <si>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</si>
  <si>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</si>
  <si>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</si>
  <si>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</si>
  <si>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</si>
  <si>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</si>
  <si>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</si>
  <si>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</si>
  <si>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</si>
  <si>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</si>
  <si>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</si>
  <si>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</si>
  <si>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</si>
  <si>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</si>
  <si>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</si>
  <si>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</si>
  <si>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</si>
  <si>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</si>
  <si>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</si>
  <si>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</si>
  <si>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</si>
  <si>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</si>
  <si>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</si>
  <si>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</si>
  <si>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</si>
  <si>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</si>
  <si>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</si>
  <si>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</si>
  <si>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</si>
  <si>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</si>
  <si>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</si>
  <si>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</si>
  <si>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</si>
  <si>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</si>
  <si>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</si>
  <si>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</si>
  <si>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</si>
  <si>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</si>
  <si>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</si>
  <si>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</si>
  <si>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</si>
  <si>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</si>
  <si>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</si>
  <si>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</si>
  <si>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</si>
  <si>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</si>
  <si>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</si>
  <si>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</si>
  <si>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</si>
  <si>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</si>
  <si>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</si>
  <si>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</si>
  <si>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</si>
  <si>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</si>
  <si>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</si>
  <si>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</si>
  <si>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</si>
  <si>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</si>
  <si>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</si>
  <si>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</si>
  <si>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</si>
  <si>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</si>
  <si>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</si>
  <si>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</si>
  <si>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</si>
  <si>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</si>
  <si>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</si>
  <si>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</si>
  <si>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</si>
  <si>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</si>
  <si>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</si>
  <si>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</si>
  <si>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</si>
  <si>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</si>
  <si>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</si>
  <si>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</si>
  <si>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</si>
  <si>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</si>
  <si>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</si>
  <si>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</si>
  <si>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</si>
  <si>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</si>
  <si>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</si>
  <si>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</si>
  <si>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</si>
  <si>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</si>
  <si>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</si>
  <si>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</si>
  <si>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</si>
  <si>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</si>
  <si>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</si>
  <si>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</si>
  <si>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</si>
  <si>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</si>
  <si>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</si>
  <si>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</si>
  <si>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</si>
  <si>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</si>
  <si>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</si>
  <si>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</si>
  <si>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</si>
  <si>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</si>
  <si>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</si>
  <si>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</si>
  <si>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</si>
  <si>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</si>
  <si>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</si>
  <si>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</si>
  <si>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</si>
  <si>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</si>
  <si>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</si>
  <si>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</si>
  <si>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</si>
  <si>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</si>
  <si>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</si>
  <si>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</si>
  <si>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</si>
  <si>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</si>
  <si>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</si>
  <si>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</si>
  <si>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</si>
  <si>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</si>
  <si>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</si>
  <si>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</si>
  <si>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</si>
  <si>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</si>
  <si>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</si>
  <si>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</si>
  <si>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</si>
  <si>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</si>
  <si>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</si>
  <si>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</si>
  <si>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</si>
  <si>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</si>
  <si>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</si>
  <si>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</si>
  <si>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</si>
  <si>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</si>
  <si>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</si>
  <si>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</si>
  <si>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</si>
  <si>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</si>
  <si>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</si>
  <si>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</si>
  <si>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</si>
  <si>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</si>
  <si>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</si>
  <si>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</si>
  <si>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</si>
  <si>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</si>
  <si>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</si>
  <si>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</si>
  <si>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</si>
  <si>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</si>
  <si>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</si>
  <si>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</si>
  <si>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</si>
  <si>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</si>
  <si>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</si>
  <si>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</si>
  <si>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</si>
  <si>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</si>
  <si>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</si>
  <si>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</si>
  <si>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</si>
  <si>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</si>
  <si>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</si>
  <si>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</si>
  <si>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</si>
  <si>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</si>
  <si>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</si>
  <si>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</si>
  <si>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</si>
  <si>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</si>
  <si>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</si>
  <si>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</si>
  <si>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</si>
  <si>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</si>
  <si>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</si>
  <si>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</si>
  <si>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</si>
  <si>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</si>
  <si>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</si>
  <si>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</si>
  <si>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</si>
  <si>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</si>
  <si>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</si>
  <si>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</si>
  <si>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</si>
  <si>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</si>
  <si>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</si>
  <si>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</si>
  <si>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</si>
  <si>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</si>
  <si>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</si>
  <si>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</si>
  <si>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</si>
  <si>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</si>
  <si>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</si>
  <si>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</si>
  <si>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</si>
  <si>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</si>
  <si>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</si>
  <si>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</si>
  <si>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</si>
  <si>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</si>
  <si>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</si>
  <si>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</si>
  <si>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</si>
  <si>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</si>
  <si>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</si>
  <si>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</si>
  <si>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</si>
  <si>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</si>
  <si>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</si>
  <si>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</si>
  <si>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</si>
  <si>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</si>
  <si>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</si>
  <si>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</si>
  <si>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</si>
  <si>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</si>
  <si>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</si>
  <si>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</si>
  <si>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</si>
  <si>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</si>
  <si>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</si>
  <si>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</si>
  <si>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</si>
  <si>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</si>
  <si>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</si>
  <si>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</si>
  <si>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</si>
  <si>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</si>
  <si>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</si>
  <si>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</si>
  <si>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</si>
  <si>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</si>
  <si>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</si>
  <si>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</si>
  <si>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</si>
  <si>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</si>
  <si>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</si>
  <si>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</si>
  <si>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</si>
  <si>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</si>
  <si>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</si>
  <si>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</si>
  <si>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</si>
  <si>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</si>
  <si>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</si>
  <si>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</si>
  <si>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</si>
  <si>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</si>
  <si>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</si>
  <si>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</si>
  <si>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</si>
  <si>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</si>
  <si>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</si>
  <si>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</si>
  <si>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</si>
  <si>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</si>
  <si>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</si>
  <si>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</si>
  <si>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</si>
  <si>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</si>
  <si>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</si>
  <si>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</si>
  <si>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</si>
  <si>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</si>
  <si>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</si>
  <si>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</si>
  <si>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</si>
  <si>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</si>
  <si>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</si>
  <si>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</si>
  <si>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</si>
  <si>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</si>
  <si>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</si>
  <si>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</si>
  <si>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</si>
  <si>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</si>
  <si>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</si>
  <si>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</si>
  <si>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</si>
  <si>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</si>
  <si>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</si>
  <si>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</si>
  <si>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</si>
  <si>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</si>
  <si>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</si>
  <si>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</si>
  <si>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</si>
  <si>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</si>
  <si>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</si>
  <si>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</si>
  <si>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</si>
  <si>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</si>
  <si>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</si>
  <si>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</si>
  <si>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</si>
  <si>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</si>
  <si>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</si>
  <si>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</si>
  <si>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</si>
  <si>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</si>
  <si>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</si>
  <si>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</si>
  <si>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</si>
  <si>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</si>
  <si>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</si>
  <si>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</si>
  <si>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</si>
  <si>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</si>
  <si>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</si>
  <si>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</si>
  <si>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</si>
  <si>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</si>
  <si>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</si>
  <si>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</si>
  <si>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</si>
  <si>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</si>
  <si>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</si>
  <si>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</si>
  <si>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</si>
  <si>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</si>
  <si>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</si>
  <si>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</si>
  <si>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</si>
  <si>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</si>
  <si>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</si>
  <si>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</si>
  <si>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</si>
  <si>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</si>
  <si>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</si>
  <si>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</si>
  <si>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</si>
  <si>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</si>
  <si>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</si>
  <si>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</si>
  <si>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</si>
  <si>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</si>
  <si>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</si>
  <si>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</si>
  <si>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</si>
  <si>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</si>
  <si>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</si>
  <si>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</si>
  <si>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</si>
  <si>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</si>
  <si>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</si>
  <si>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</si>
  <si>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</si>
  <si>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</si>
  <si>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</si>
  <si>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</si>
  <si>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</si>
  <si>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</si>
  <si>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</si>
  <si>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</si>
  <si>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</si>
  <si>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</si>
  <si>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</si>
  <si>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</si>
  <si>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</si>
  <si>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</si>
  <si>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</si>
  <si>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</si>
  <si>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</si>
  <si>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</si>
  <si>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</si>
  <si>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</si>
  <si>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</si>
  <si>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</si>
  <si>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</si>
  <si>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</si>
  <si>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</si>
  <si>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</si>
  <si>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</si>
  <si>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</si>
  <si>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</si>
  <si>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</si>
  <si>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</si>
  <si>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</si>
  <si>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</si>
  <si>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</si>
  <si>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</si>
  <si>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</si>
  <si>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</si>
  <si>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</si>
  <si>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</si>
  <si>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</si>
  <si>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</si>
  <si>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</si>
  <si>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</si>
  <si>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</si>
  <si>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</si>
  <si>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</si>
  <si>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</si>
  <si>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</si>
  <si>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</si>
  <si>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</si>
  <si>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</si>
  <si>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</si>
  <si>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</si>
  <si>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</si>
  <si>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</si>
  <si>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</si>
  <si>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</si>
  <si>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</si>
  <si>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</si>
  <si>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</si>
  <si>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</si>
  <si>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</si>
  <si>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</si>
  <si>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</si>
  <si>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</si>
  <si>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</si>
  <si>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</si>
  <si>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</si>
  <si>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</si>
  <si>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</si>
  <si>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</si>
  <si>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</si>
  <si>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</si>
  <si>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</si>
  <si>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</si>
  <si>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</si>
  <si>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</si>
  <si>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</si>
  <si>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</si>
  <si>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</si>
  <si>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</si>
  <si>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</si>
  <si>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</si>
  <si>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</si>
  <si>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</si>
  <si>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</si>
  <si>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</si>
  <si>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</si>
  <si>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</si>
  <si>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</si>
  <si>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</si>
  <si>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</si>
  <si>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</si>
  <si>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</si>
  <si>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</si>
  <si>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</si>
  <si>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</si>
  <si>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</si>
  <si>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</si>
  <si>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</si>
  <si>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</si>
  <si>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</si>
  <si>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</si>
  <si>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</si>
  <si>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</si>
  <si>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</si>
  <si>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</si>
  <si>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</si>
  <si>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</si>
  <si>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</si>
  <si>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</si>
  <si>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</si>
  <si>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</si>
  <si>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</si>
  <si>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</si>
  <si>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</si>
  <si>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</si>
  <si>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</si>
  <si>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</si>
  <si>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</si>
  <si>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</si>
  <si>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</si>
  <si>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</si>
  <si>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</si>
  <si>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</si>
  <si>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</si>
  <si>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</si>
  <si>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</si>
  <si>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</si>
  <si>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</si>
  <si>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</si>
  <si>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</si>
  <si>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</si>
  <si>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</si>
  <si>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</si>
  <si>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</si>
  <si>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</si>
  <si>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</si>
  <si>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</si>
  <si>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</si>
  <si>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</si>
  <si>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</si>
  <si>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</si>
  <si>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</si>
  <si>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</si>
  <si>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</si>
  <si>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</si>
  <si>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</si>
  <si>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</si>
  <si>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</si>
  <si>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</si>
  <si>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</si>
  <si>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</si>
  <si>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</si>
  <si>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</si>
  <si>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</si>
  <si>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</si>
  <si>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</si>
  <si>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</si>
  <si>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</si>
  <si>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</si>
  <si>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</si>
  <si>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</si>
  <si>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</si>
  <si>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</si>
  <si>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</si>
  <si>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</si>
  <si>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</si>
  <si>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</si>
  <si>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</si>
  <si>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</si>
  <si>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</si>
  <si>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</si>
  <si>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</si>
  <si>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</si>
  <si>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</si>
  <si>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</si>
  <si>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</si>
  <si>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</si>
  <si>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</si>
  <si>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</si>
  <si>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</si>
  <si>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</si>
  <si>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</si>
  <si>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</si>
  <si>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</si>
  <si>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</si>
  <si>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</si>
  <si>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</si>
  <si>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</si>
  <si>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</si>
  <si>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</si>
  <si>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</si>
  <si>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</si>
  <si>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</si>
  <si>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</si>
  <si>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</si>
  <si>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</si>
  <si>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</si>
  <si>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</si>
  <si>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</si>
  <si>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</si>
  <si>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</si>
  <si>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</si>
  <si>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</si>
  <si>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</si>
  <si>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</si>
  <si>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</si>
  <si>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</si>
  <si>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</si>
  <si>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</si>
  <si>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</si>
  <si>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</si>
  <si>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</si>
  <si>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</si>
  <si>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</si>
  <si>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</si>
  <si>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</si>
  <si>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</si>
  <si>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</si>
  <si>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</si>
  <si>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</si>
  <si>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</si>
  <si>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</si>
  <si>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</si>
  <si>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</si>
  <si>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</si>
  <si>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</si>
  <si>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</si>
  <si>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</si>
  <si>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</si>
  <si>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</si>
  <si>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</si>
  <si>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</si>
  <si>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</si>
  <si>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</si>
  <si>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</si>
  <si>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</si>
  <si>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</si>
  <si>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</si>
  <si>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</si>
  <si>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</si>
  <si>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</si>
  <si>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</si>
  <si>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</si>
  <si>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</si>
  <si>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</si>
  <si>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</si>
  <si>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</si>
  <si>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</si>
  <si>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</si>
  <si>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</si>
  <si>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</si>
  <si>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</si>
  <si>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</si>
  <si>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</si>
  <si>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</si>
  <si>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</si>
  <si>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</si>
  <si>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</si>
  <si>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</si>
  <si>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</si>
  <si>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</si>
  <si>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</si>
  <si>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</si>
  <si>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</si>
  <si>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</si>
  <si>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</si>
  <si>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</si>
  <si>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</si>
  <si>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</si>
  <si>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</si>
  <si>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</si>
  <si>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</si>
  <si>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</si>
  <si>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</si>
  <si>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</si>
  <si>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</si>
  <si>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</si>
  <si>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</si>
  <si>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</si>
  <si>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</si>
  <si>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</si>
  <si>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</si>
  <si>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</si>
  <si>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</si>
  <si>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</si>
  <si>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</si>
  <si>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</si>
  <si>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</si>
  <si>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</si>
  <si>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</si>
  <si>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</si>
  <si>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</si>
  <si>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</si>
  <si>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</si>
  <si>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</si>
  <si>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</si>
  <si>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</si>
  <si>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</si>
  <si>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</si>
  <si>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</si>
  <si>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</si>
  <si>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</si>
  <si>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</si>
  <si>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</si>
  <si>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</si>
  <si>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</si>
  <si>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</si>
  <si>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</si>
  <si>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</si>
  <si>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</si>
  <si>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</si>
  <si>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</si>
  <si>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</si>
  <si>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</si>
  <si>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</si>
  <si>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</si>
  <si>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</si>
  <si>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</si>
  <si>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</si>
  <si>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</si>
  <si>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</si>
  <si>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</si>
  <si>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</si>
  <si>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</si>
  <si>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</si>
  <si>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</si>
  <si>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</si>
  <si>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</si>
  <si>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</si>
  <si>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</si>
  <si>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</si>
  <si>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</si>
  <si>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</si>
  <si>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</si>
  <si>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</si>
  <si>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</si>
  <si>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</si>
  <si>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</si>
  <si>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</si>
  <si>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</si>
  <si>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</si>
  <si>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</si>
  <si>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</si>
  <si>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</si>
  <si>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</si>
  <si>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</si>
  <si>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</si>
  <si>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</si>
  <si>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</si>
  <si>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</si>
  <si>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</si>
  <si>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</si>
  <si>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</si>
  <si>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</si>
  <si>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</si>
  <si>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</si>
  <si>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</si>
  <si>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</si>
  <si>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</si>
  <si>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</si>
  <si>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</si>
  <si>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</si>
  <si>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</si>
  <si>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</si>
  <si>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</si>
  <si>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</si>
  <si>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</si>
  <si>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</si>
  <si>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</si>
  <si>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</si>
  <si>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</si>
  <si>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</si>
  <si>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</si>
  <si>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</si>
  <si>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</si>
  <si>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</si>
  <si>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</si>
  <si>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</si>
  <si>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</si>
  <si>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</si>
  <si>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</si>
  <si>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</si>
  <si>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</si>
  <si>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</si>
  <si>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</si>
  <si>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</si>
  <si>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</si>
  <si>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</si>
  <si>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</si>
  <si>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</si>
  <si>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</si>
  <si>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</si>
  <si>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</si>
  <si>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</si>
  <si>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</si>
  <si>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</si>
  <si>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</si>
  <si>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</si>
  <si>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</si>
  <si>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</si>
  <si>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</si>
  <si>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</si>
  <si>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</si>
  <si>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</si>
  <si>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</si>
  <si>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</si>
  <si>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</si>
  <si>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</si>
  <si>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</si>
  <si>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</si>
  <si>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</si>
  <si>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</si>
  <si>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</si>
  <si>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</si>
  <si>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</si>
  <si>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</si>
  <si>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</si>
  <si>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</si>
  <si>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</si>
  <si>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</si>
  <si>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</si>
  <si>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</si>
  <si>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</si>
  <si>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</si>
  <si>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</si>
  <si>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</si>
  <si>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</si>
  <si>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</si>
  <si>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</si>
  <si>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</si>
  <si>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</si>
  <si>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</si>
  <si>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</si>
  <si>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</si>
  <si>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</si>
  <si>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</si>
  <si>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</si>
  <si>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</si>
  <si>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</si>
  <si>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</si>
  <si>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</si>
  <si>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</si>
  <si>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</si>
  <si>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</si>
  <si>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</si>
  <si>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</si>
  <si>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</si>
  <si>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</si>
  <si>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</si>
  <si>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</si>
  <si>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</si>
  <si>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</si>
  <si>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</si>
  <si>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</si>
  <si>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</si>
  <si>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</si>
  <si>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</si>
  <si>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</si>
  <si>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</si>
  <si>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</si>
  <si>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</si>
  <si>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</si>
  <si>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</si>
  <si>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</si>
  <si>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</si>
  <si>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</si>
  <si>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</si>
  <si>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</si>
  <si>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</si>
  <si>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</si>
  <si>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</si>
  <si>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</si>
  <si>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</si>
  <si>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</si>
  <si>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</si>
  <si>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</si>
  <si>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</si>
  <si>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</si>
  <si>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</si>
  <si>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</si>
  <si>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</si>
  <si>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</si>
  <si>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</si>
  <si>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</si>
  <si>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</si>
  <si>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</si>
  <si>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</si>
  <si>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</si>
  <si>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</si>
  <si>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</si>
  <si>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</si>
  <si>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</si>
  <si>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</si>
  <si>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</si>
  <si>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</si>
  <si>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</si>
  <si>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</si>
  <si>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</si>
  <si>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</si>
  <si>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</si>
  <si>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</si>
  <si>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</si>
  <si>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</si>
  <si>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</si>
  <si>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</si>
  <si>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</si>
  <si>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</si>
  <si>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</si>
  <si>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</si>
  <si>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</si>
  <si>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</si>
  <si>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</si>
  <si>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</si>
  <si>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</si>
  <si>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</si>
  <si>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</si>
  <si>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</si>
  <si>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</si>
  <si>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</si>
  <si>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</si>
  <si>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</si>
  <si>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</si>
  <si>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</si>
  <si>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</si>
  <si>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</si>
  <si>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</si>
  <si>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</si>
  <si>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</si>
  <si>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</si>
  <si>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</si>
  <si>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</si>
  <si>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</si>
  <si>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</si>
  <si>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</si>
  <si>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</si>
  <si>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</si>
  <si>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</si>
  <si>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</si>
  <si>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</si>
  <si>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</si>
  <si>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</si>
  <si>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</si>
  <si>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</si>
  <si>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</si>
  <si>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</si>
  <si>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</si>
  <si>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</si>
  <si>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</si>
  <si>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</si>
  <si>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</si>
  <si>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</si>
  <si>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</si>
  <si>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</si>
  <si>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</si>
  <si>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</si>
  <si>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</si>
  <si>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</si>
  <si>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</si>
  <si>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</si>
  <si>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</si>
  <si>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</si>
  <si>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</si>
  <si>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</si>
  <si>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</si>
  <si>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</si>
  <si>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</si>
  <si>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</si>
  <si>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</si>
  <si>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</si>
  <si>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</si>
  <si>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</si>
  <si>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</si>
  <si>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</si>
  <si>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</si>
  <si>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</si>
  <si>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</si>
  <si>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</si>
  <si>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</si>
  <si>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</si>
  <si>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</si>
  <si>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</si>
  <si>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</si>
  <si>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</si>
  <si>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</si>
  <si>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</si>
  <si>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</si>
  <si>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</si>
  <si>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</si>
  <si>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</si>
  <si>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</si>
  <si>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</si>
  <si>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</si>
  <si>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</si>
  <si>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</si>
  <si>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</si>
  <si>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</si>
  <si>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</si>
  <si>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</si>
  <si>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</si>
  <si>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</si>
  <si>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</si>
  <si>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</si>
  <si>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</si>
  <si>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</si>
  <si>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</si>
  <si>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</si>
  <si>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</si>
  <si>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</si>
  <si>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</si>
  <si>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</si>
  <si>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</si>
  <si>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</si>
  <si>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</si>
  <si>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</si>
  <si>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</si>
  <si>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</si>
  <si>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</si>
  <si>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</si>
  <si>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</si>
  <si>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</si>
  <si>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</si>
  <si>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</si>
  <si>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</si>
  <si>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</si>
  <si>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</si>
  <si>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</si>
  <si>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</si>
  <si>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</si>
  <si>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</si>
  <si>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</si>
  <si>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</si>
  <si>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</si>
  <si>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</si>
  <si>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</si>
  <si>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</si>
  <si>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</si>
  <si>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</si>
  <si>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</si>
  <si>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</si>
  <si>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</si>
  <si>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</si>
  <si>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</si>
  <si>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</si>
  <si>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</si>
  <si>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</si>
  <si>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</si>
  <si>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</si>
  <si>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</si>
  <si>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</si>
  <si>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</si>
  <si>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</si>
  <si>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</si>
  <si>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</si>
  <si>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</si>
  <si>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</si>
  <si>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</si>
  <si>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</si>
  <si>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</si>
  <si>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</si>
  <si>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</si>
  <si>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</si>
  <si>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</si>
  <si>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</si>
  <si>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</si>
  <si>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</si>
  <si>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</si>
  <si>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</si>
  <si>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</si>
  <si>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</si>
  <si>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</si>
  <si>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</si>
  <si>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</si>
  <si>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</si>
  <si>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</si>
  <si>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</si>
  <si>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</si>
  <si>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</si>
  <si>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</si>
  <si>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</si>
  <si>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</si>
  <si>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</si>
  <si>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</si>
  <si>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</si>
  <si>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</si>
  <si>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</si>
  <si>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</si>
  <si>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</si>
  <si>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</si>
  <si>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</si>
  <si>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</si>
  <si>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</si>
  <si>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</si>
  <si>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</si>
  <si>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</si>
  <si>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</si>
  <si>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</si>
  <si>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</si>
  <si>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</si>
  <si>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</si>
  <si>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</si>
  <si>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</si>
  <si>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</si>
  <si>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</si>
  <si>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</si>
  <si>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</si>
  <si>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</si>
  <si>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</si>
  <si>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</si>
  <si>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</si>
  <si>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</si>
  <si>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</si>
  <si>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</si>
  <si>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</si>
  <si>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</si>
  <si>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</si>
  <si>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</si>
  <si>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</si>
  <si>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</si>
  <si>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</si>
  <si>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</si>
  <si>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</si>
  <si>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</si>
  <si>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</si>
  <si>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</si>
  <si>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</si>
  <si>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</si>
  <si>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</si>
  <si>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</si>
  <si>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</si>
  <si>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</si>
  <si>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</si>
  <si>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</si>
  <si>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</si>
  <si>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</si>
  <si>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</si>
  <si>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</si>
  <si>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</si>
  <si>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</si>
  <si>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</si>
  <si>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</si>
  <si>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</si>
  <si>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</si>
  <si>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</si>
  <si>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</si>
  <si>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</si>
  <si>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</si>
  <si>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</si>
  <si>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</si>
  <si>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</si>
  <si>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</si>
  <si>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</si>
  <si>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</si>
  <si>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</si>
  <si>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</si>
  <si>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</si>
  <si>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</si>
  <si>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</si>
  <si>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</si>
  <si>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</si>
  <si>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</si>
  <si>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</si>
  <si>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</si>
  <si>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</si>
  <si>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</si>
  <si>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</si>
  <si>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</si>
  <si>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</si>
  <si>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</si>
  <si>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</si>
  <si>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</si>
  <si>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</si>
  <si>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</si>
  <si>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</si>
  <si>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</si>
  <si>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</si>
  <si>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</si>
  <si>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</si>
  <si>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</si>
  <si>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</si>
  <si>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</si>
  <si>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</si>
  <si>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</si>
  <si>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</si>
  <si>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</si>
  <si>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</si>
  <si>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</si>
  <si>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</si>
  <si>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</si>
  <si>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</si>
  <si>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</si>
  <si>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</si>
  <si>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</si>
  <si>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</si>
  <si>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</si>
  <si>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</si>
  <si>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</si>
  <si>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</si>
  <si>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</si>
  <si>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</si>
  <si>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</si>
  <si>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</si>
  <si>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</si>
  <si>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</si>
  <si>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</si>
  <si>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</si>
  <si>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</si>
  <si>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</si>
  <si>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</si>
  <si>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</si>
  <si>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</si>
  <si>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</si>
  <si>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</si>
  <si>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</si>
  <si>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</si>
  <si>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</si>
  <si>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</si>
  <si>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</si>
  <si>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</si>
  <si>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</si>
  <si>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</si>
  <si>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</si>
  <si>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</si>
  <si>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</si>
  <si>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</si>
  <si>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</si>
  <si>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</si>
  <si>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</si>
  <si>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</si>
  <si>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</si>
  <si>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</si>
  <si>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</si>
  <si>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</si>
  <si>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</si>
  <si>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</si>
  <si>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</si>
  <si>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</si>
  <si>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</si>
  <si>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</si>
  <si>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</si>
  <si>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</si>
  <si>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</si>
  <si>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</si>
  <si>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</si>
  <si>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</si>
  <si>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</si>
  <si>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</si>
  <si>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</si>
  <si>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</si>
  <si>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</si>
  <si>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</si>
  <si>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</si>
  <si>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</si>
  <si>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</si>
  <si>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</si>
  <si>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</si>
  <si>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</si>
  <si>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</si>
  <si>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</si>
  <si>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</si>
  <si>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</si>
  <si>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</si>
  <si>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</si>
  <si>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</si>
  <si>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</si>
  <si>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</si>
  <si>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</si>
  <si>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</si>
  <si>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</si>
  <si>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</si>
  <si>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</si>
  <si>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</si>
  <si>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</si>
  <si>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</si>
  <si>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</si>
  <si>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</si>
  <si>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</si>
  <si>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</si>
  <si>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</si>
  <si>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</si>
  <si>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</si>
  <si>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</si>
  <si>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</si>
  <si>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</si>
  <si>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</si>
  <si>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</si>
  <si>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</si>
  <si>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</si>
  <si>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</si>
  <si>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</si>
  <si>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</si>
  <si>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</si>
  <si>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</si>
  <si>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</si>
  <si>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</si>
  <si>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</si>
  <si>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</si>
  <si>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</si>
  <si>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</si>
  <si>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</si>
  <si>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</si>
  <si>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</si>
  <si>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</si>
  <si>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</si>
  <si>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</si>
  <si>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</si>
  <si>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</si>
  <si>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</si>
  <si>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</si>
  <si>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</si>
  <si>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</si>
  <si>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</si>
  <si>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</si>
  <si>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</si>
  <si>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</si>
  <si>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</si>
  <si>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</si>
  <si>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</si>
  <si>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</si>
  <si>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</si>
  <si>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</si>
  <si>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</si>
  <si>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</si>
  <si>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</si>
  <si>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</si>
  <si>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</si>
  <si>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</si>
  <si>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</si>
  <si>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</si>
  <si>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</si>
  <si>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</si>
  <si>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</si>
  <si>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</si>
  <si>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</si>
  <si>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</si>
  <si>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</si>
  <si>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</si>
  <si>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</si>
  <si>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</si>
  <si>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</si>
  <si>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</si>
  <si>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</si>
  <si>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</si>
  <si>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</si>
  <si>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</si>
  <si>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</si>
  <si>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</si>
  <si>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</si>
  <si>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</si>
  <si>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</si>
  <si>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</si>
  <si>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</si>
  <si>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</si>
  <si>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</si>
  <si>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</si>
  <si>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</si>
  <si>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</si>
  <si>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</si>
  <si>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</si>
  <si>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</si>
  <si>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</si>
  <si>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</si>
  <si>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</si>
  <si>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</si>
  <si>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</si>
  <si>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</si>
  <si>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</si>
  <si>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</si>
  <si>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</si>
  <si>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</si>
  <si>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</si>
  <si>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</si>
  <si>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</si>
  <si>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</si>
  <si>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</si>
  <si>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</si>
  <si>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</si>
  <si>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</si>
  <si>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</si>
  <si>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</si>
  <si>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</si>
  <si>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</si>
  <si>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</si>
  <si>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</si>
  <si>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</si>
  <si>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</si>
  <si>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</si>
  <si>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</si>
  <si>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</si>
  <si>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</si>
  <si>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</si>
  <si>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</si>
  <si>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</si>
  <si>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</si>
  <si>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</si>
  <si>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</si>
  <si>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</si>
  <si>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</si>
  <si>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</si>
  <si>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</si>
  <si>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</si>
  <si>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</si>
  <si>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</si>
  <si>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</si>
  <si>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</si>
  <si>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</si>
  <si>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</si>
  <si>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</si>
  <si>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</si>
  <si>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</si>
  <si>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</si>
  <si>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</si>
  <si>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</si>
  <si>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</si>
  <si>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</si>
  <si>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</si>
  <si>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</si>
  <si>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</si>
  <si>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</si>
  <si>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</si>
  <si>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</si>
  <si>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</si>
  <si>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</si>
  <si>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</si>
  <si>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</si>
  <si>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</si>
  <si>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</si>
  <si>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</si>
  <si>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</si>
  <si>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</si>
  <si>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</si>
  <si>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</si>
  <si>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</si>
  <si>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</si>
  <si>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</si>
  <si>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</si>
  <si>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</si>
  <si>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</si>
  <si>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</si>
  <si>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</si>
  <si>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</si>
  <si>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</si>
  <si>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</si>
  <si>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</si>
  <si>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</si>
  <si>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</si>
  <si>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</si>
  <si>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</si>
  <si>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</si>
  <si>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</si>
  <si>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</si>
  <si>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</si>
  <si>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</si>
  <si>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</si>
  <si>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</si>
  <si>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</si>
  <si>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</si>
  <si>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</si>
  <si>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</si>
  <si>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</si>
  <si>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</si>
  <si>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</si>
  <si>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</si>
  <si>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</si>
  <si>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</si>
  <si>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</si>
  <si>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</si>
  <si>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</si>
  <si>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</si>
  <si>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</si>
  <si>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</si>
  <si>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</si>
  <si>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</si>
  <si>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</si>
  <si>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</si>
  <si>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</si>
  <si>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</si>
  <si>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</si>
  <si>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</si>
  <si>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</si>
  <si>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</si>
  <si>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</si>
  <si>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</si>
  <si>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</si>
  <si>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</si>
  <si>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</si>
  <si>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</si>
  <si>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</si>
  <si>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</si>
  <si>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</si>
  <si>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</si>
  <si>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</si>
  <si>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</si>
  <si>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</si>
  <si>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</si>
  <si>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</si>
  <si>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</si>
  <si>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</si>
  <si>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</si>
  <si>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</si>
  <si>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</si>
  <si>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</si>
  <si>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</si>
  <si>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</si>
  <si>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</si>
  <si>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</si>
  <si>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</si>
  <si>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</si>
  <si>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</si>
  <si>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</si>
  <si>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</si>
  <si>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</si>
  <si>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</si>
  <si>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</si>
  <si>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</si>
  <si>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</si>
  <si>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</si>
  <si>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</si>
  <si>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</si>
  <si>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</si>
  <si>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</si>
  <si>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</si>
  <si>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</si>
  <si>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</si>
  <si>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</si>
  <si>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</si>
  <si>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</si>
  <si>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</si>
  <si>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</si>
  <si>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</si>
  <si>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</si>
  <si>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</si>
  <si>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</si>
  <si>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</si>
  <si>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</si>
  <si>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</si>
  <si>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</si>
  <si>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</si>
  <si>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</si>
  <si>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</si>
  <si>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</si>
  <si>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</si>
  <si>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</si>
  <si>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</si>
  <si>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</si>
  <si>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</si>
  <si>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</si>
  <si>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</si>
  <si>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</si>
  <si>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</si>
  <si>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</si>
  <si>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</si>
  <si>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</si>
  <si>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</si>
  <si>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</si>
  <si>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</si>
  <si>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</si>
  <si>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</si>
  <si>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企业</t>
  </si>
  <si>
    <t>Ⅸ-亦1</t>
  </si>
  <si>
    <t>地上</t>
  </si>
  <si>
    <t>办公楼</t>
  </si>
  <si>
    <t>是</t>
  </si>
  <si>
    <t>办公楼</t>
    <phoneticPr fontId="7" type="noConversion"/>
  </si>
  <si>
    <t>仓库</t>
  </si>
  <si>
    <t>仓库</t>
    <phoneticPr fontId="7" type="noConversion"/>
  </si>
  <si>
    <t>成新度</t>
  </si>
  <si>
    <t>通路</t>
  </si>
  <si>
    <t>通电</t>
  </si>
  <si>
    <t>通讯</t>
  </si>
  <si>
    <t>通上水</t>
  </si>
  <si>
    <t>通下水</t>
  </si>
  <si>
    <t>平整</t>
  </si>
  <si>
    <t>利息：取LPR加浮动点数</t>
  </si>
  <si>
    <t>收益法-办公楼1</t>
  </si>
  <si>
    <t>收益法-办公楼1</t>
    <phoneticPr fontId="16" type="noConversion"/>
  </si>
  <si>
    <t>成本法-办公楼1</t>
    <phoneticPr fontId="16" type="noConversion"/>
  </si>
  <si>
    <t>收益法-仓库5.6</t>
  </si>
  <si>
    <t>收益法-仓库5.6</t>
    <phoneticPr fontId="16" type="noConversion"/>
  </si>
  <si>
    <t>成本法-仓库5.6</t>
    <phoneticPr fontId="16" type="noConversion"/>
  </si>
  <si>
    <t>押一</t>
  </si>
  <si>
    <t>钢混</t>
  </si>
  <si>
    <t>非生产用房</t>
  </si>
  <si>
    <t>否</t>
  </si>
  <si>
    <t>钢</t>
  </si>
  <si>
    <t>基准地价</t>
  </si>
  <si>
    <t>未包含在土地购买价格中</t>
  </si>
  <si>
    <t>已包含在土地取得成本中</t>
  </si>
  <si>
    <t>与级别开发程度不一致</t>
  </si>
  <si>
    <t>自定义容积率</t>
  </si>
  <si>
    <t>办公楼1</t>
    <phoneticPr fontId="134" type="noConversion"/>
  </si>
  <si>
    <t>收益法</t>
    <phoneticPr fontId="134" type="noConversion"/>
  </si>
  <si>
    <t>权重</t>
    <phoneticPr fontId="134" type="noConversion"/>
  </si>
  <si>
    <t>成本法</t>
    <phoneticPr fontId="134" type="noConversion"/>
  </si>
  <si>
    <t>权重</t>
    <phoneticPr fontId="134" type="noConversion"/>
  </si>
  <si>
    <t>单价</t>
    <phoneticPr fontId="134" type="noConversion"/>
  </si>
  <si>
    <t>建筑面积</t>
    <phoneticPr fontId="134" type="noConversion"/>
  </si>
  <si>
    <t>总价</t>
    <phoneticPr fontId="134" type="noConversion"/>
  </si>
  <si>
    <t>一般</t>
  </si>
  <si>
    <t>较好</t>
  </si>
  <si>
    <t>好</t>
  </si>
  <si>
    <t>较差</t>
  </si>
  <si>
    <t>仓库5.6</t>
    <phoneticPr fontId="134" type="noConversion"/>
  </si>
  <si>
    <t>办公及附属用房2.3</t>
    <phoneticPr fontId="134" type="noConversion"/>
  </si>
  <si>
    <t>仓库4</t>
    <phoneticPr fontId="134" type="noConversion"/>
  </si>
  <si>
    <t>市场价</t>
    <phoneticPr fontId="134" type="noConversion"/>
  </si>
  <si>
    <t>扣除项</t>
    <phoneticPr fontId="134" type="noConversion"/>
  </si>
  <si>
    <t>增值额</t>
    <phoneticPr fontId="134" type="noConversion"/>
  </si>
  <si>
    <t>税率</t>
    <phoneticPr fontId="134" type="noConversion"/>
  </si>
  <si>
    <t>土增税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</si>
</sst>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44" fillId="6" borderId="23" xfId="0" applyNumberFormat="1" applyFont="1" applyFill="1" applyBorder="1" applyAlignment="1" applyProtection="1">
      <alignment horizontal="center" vertical="center"/>
    </xf>
    <xf numFmtId="0" fontId="95" fillId="0" borderId="0" xfId="0" applyFont="1">
      <alignment vertical="center"/>
    </xf>
    <xf numFmtId="9" fontId="0" fillId="0" borderId="0" xfId="0" applyNumberFormat="1">
      <alignment vertical="center"/>
    </xf>
    <xf numFmtId="0" fontId="107" fillId="5" borderId="1" xfId="0" applyFont="1" applyFill="1" applyBorder="1" applyAlignment="1" applyProtection="1">
      <alignment horizontal="center" vertical="center" wrapText="1"/>
      <protection locked="0"/>
    </xf>
    <xf numFmtId="10"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554922</xdr:colOff>
      <xdr:row>26</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60522" cy="4777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139823</xdr:rowOff>
    </xdr:from>
    <xdr:to>
      <xdr:col>15</xdr:col>
      <xdr:colOff>26981</xdr:colOff>
      <xdr:row>28</xdr:row>
      <xdr:rowOff>18619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34383"/>
          <a:ext cx="10374941" cy="28048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8738;&#20113;&#24215;&#24066;&#22330;&#20215;1996&#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2303;&#22686;&#31246;/&#27979;&#31639;-&#22303;&#22686;&#31246;2002-1&#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汇总表"/>
      <sheetName val="成本法-2.3办公及附属用房"/>
      <sheetName val="成本法-4仓库"/>
      <sheetName val="基准地价修正"/>
      <sheetName val="成本法"/>
      <sheetName val="假设开发法"/>
      <sheetName val="收益法"/>
      <sheetName val="Sheet2"/>
      <sheetName val="收益法-2.3办公及附属用房"/>
      <sheetName val="收益法-4仓库"/>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D2">
            <v>378.96000000000004</v>
          </cell>
          <cell r="E2">
            <v>2169</v>
          </cell>
          <cell r="G2">
            <v>3015</v>
          </cell>
        </row>
        <row r="3">
          <cell r="D3">
            <v>537.48</v>
          </cell>
          <cell r="E3">
            <v>1940</v>
          </cell>
          <cell r="G3">
            <v>3120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结果表"/>
      <sheetName val="结果汇总表"/>
      <sheetName val="数据表"/>
      <sheetName val="主表"/>
      <sheetName val="工作表1"/>
      <sheetName val="2002基准地价"/>
      <sheetName val="2014基准地价"/>
      <sheetName val="2014因素修正幅度"/>
      <sheetName val="2014区片价"/>
      <sheetName val="2014修正"/>
      <sheetName val="2014容积率修正"/>
      <sheetName val="2002地价表"/>
      <sheetName val="2002容积率修正"/>
      <sheetName val="2002因素修正幅度"/>
      <sheetName val="1993基准地价"/>
      <sheetName val="比较法"/>
      <sheetName val="存贷款利率"/>
      <sheetName val="地价"/>
      <sheetName val="系统读取表"/>
      <sheetName val="地价（废）"/>
      <sheetName val="Sheet1"/>
    </sheetNames>
    <sheetDataSet>
      <sheetData sheetId="0" refreshError="1"/>
      <sheetData sheetId="1" refreshError="1"/>
      <sheetData sheetId="2" refreshError="1"/>
      <sheetData sheetId="3" refreshError="1"/>
      <sheetData sheetId="4">
        <row r="10">
          <cell r="N10">
            <v>8554393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估价对象为北京市房地产，为所有。根据《国有土地使用证》[]，估价对象（分摊）出让国有建设用地使用权面积为3333平方米，建筑面积为2464.74平方米。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估价对象为北京市房地产,属开发建设的，该项目尚在开发建设中。根据《国有土地使用证》[]，估价对象（分摊）出让国有建设用地使用权面积为3333平方米，规划建筑面积为2464.74平方米。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2025年1月23日（评估专业人员实地查勘之日）</v>
      </c>
    </row>
    <row r="13" spans="1:2" s="1203" customFormat="1">
      <c r="A13" s="1201" t="s">
        <v>529</v>
      </c>
      <c r="B13" s="1202" t="str">
        <f>'预评函-1'!A18</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2464.7399999999998</v>
      </c>
    </row>
    <row r="44" spans="1:2" s="1203" customFormat="1" ht="31.2">
      <c r="A44" s="1201" t="s">
        <v>575</v>
      </c>
      <c r="B44" s="1202" t="str">
        <f>'预评函-3'!C2</f>
        <v>(分摊)土地面积</v>
      </c>
    </row>
    <row r="45" spans="1:2" s="1203" customFormat="1">
      <c r="A45" s="1201" t="s">
        <v>547</v>
      </c>
      <c r="B45" s="1202">
        <f>'预评函-3'!C4</f>
        <v>3333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5" sqref="B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3424</v>
      </c>
      <c r="C19" s="1547"/>
    </row>
    <row r="20" spans="1:3">
      <c r="A20" s="1546" t="s">
        <v>1048</v>
      </c>
      <c r="B20" s="1546" t="s">
        <v>3425</v>
      </c>
      <c r="C20" s="1547"/>
    </row>
    <row r="21" spans="1:3">
      <c r="A21" s="1546" t="s">
        <v>1049</v>
      </c>
      <c r="B21" s="1546" t="s">
        <v>3427</v>
      </c>
      <c r="C21" s="1547"/>
    </row>
    <row r="22" spans="1:3">
      <c r="A22" s="1546" t="s">
        <v>1050</v>
      </c>
      <c r="B22" s="1546" t="s">
        <v>3428</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120" zoomScaleNormal="120" workbookViewId="0">
      <selection activeCell="C31" sqref="C31"/>
    </sheetView>
  </sheetViews>
  <sheetFormatPr defaultRowHeight="14.4"/>
  <sheetData/>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56" sqref="B5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15" t="s">
        <v>2579</v>
      </c>
      <c r="J2" s="3515"/>
      <c r="K2" s="3515"/>
      <c r="L2" s="3515"/>
      <c r="M2" s="3515"/>
      <c r="N2" s="3515"/>
      <c r="O2" s="3515"/>
      <c r="P2" s="3515"/>
      <c r="Q2" s="3515"/>
      <c r="R2" s="3515"/>
    </row>
    <row r="3" spans="1:18">
      <c r="A3" s="3020" t="s">
        <v>2500</v>
      </c>
      <c r="B3" s="3021">
        <f>项目基本情况!D3</f>
        <v>45680</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1.9</v>
      </c>
      <c r="D5" s="3025">
        <f>IF(ISERROR(ROUND(POWER(1+E5,A5-C5)*(POWER(1+E5,C5)-1)/(POWER(1+E5,A5)-1),3)),0,ROUND(POWER(1+E5,A5-C5)*(POWER(1+E5,C5)-1)/(POWER(1+E5,A5)-1),4))</f>
        <v>9.0700000000000003E-2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11.91</v>
      </c>
      <c r="D6" s="3025">
        <f>IF(ISERROR(ROUND(POWER(1+E6,A6-C6)*(POWER(1+E6,C6)-1)/(POWER(1+E6,A6)-1),3)),0,ROUND(POWER(1+E6,A6-C6)*(POWER(1+E6,C6)-1)/(POWER(1+E6,A6)-1),4))</f>
        <v>0.43430000000000002</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31.92</v>
      </c>
      <c r="D7" s="3025">
        <f>IF(ISERROR(ROUND(POWER(1+E7,A7-C7)*(POWER(1+E7,C7)-1)/(POWER(1+E7,A7)-1),3)),0,ROUND(POWER(1+E7,A7-C7)*(POWER(1+E7,C7)-1)/(POWER(1+E7,A7)-1),4))</f>
        <v>0.76300000000000001</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5" thickBot="1">
      <c r="A18" s="3031" t="s">
        <v>2515</v>
      </c>
      <c r="B18" s="3032">
        <f>ROUND(B17*F11/F12,2)</f>
        <v>5541.87</v>
      </c>
      <c r="C18" s="3032">
        <f>ROUND(F11/F12,4)</f>
        <v>1.1521999999999999</v>
      </c>
      <c r="D18" s="3033"/>
      <c r="E18" s="3033"/>
      <c r="F18" s="3034"/>
    </row>
    <row r="19" spans="1:14" ht="15" thickBot="1"/>
    <row r="20" spans="1:14" s="3069" customFormat="1" ht="1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9" sqref="E3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45680</v>
      </c>
      <c r="C3" s="2374" t="s">
        <v>2171</v>
      </c>
      <c r="D3" s="2373">
        <f>B3</f>
        <v>45680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19" t="s">
        <v>2177</v>
      </c>
      <c r="E8" s="2391"/>
      <c r="F8" s="2392"/>
      <c r="G8" s="2663"/>
      <c r="H8" s="2663"/>
      <c r="I8" s="2663"/>
      <c r="J8" s="2439"/>
      <c r="K8" s="2614"/>
      <c r="L8" s="2613"/>
      <c r="M8" s="2613"/>
      <c r="N8" s="2439"/>
      <c r="O8" s="2450"/>
      <c r="P8" s="2439"/>
      <c r="Q8" s="2439"/>
      <c r="R8" s="2439"/>
    </row>
    <row r="9" spans="1:30" ht="13.8" thickBot="1">
      <c r="A9" s="2393" t="s">
        <v>2178</v>
      </c>
      <c r="B9" s="2394" t="s">
        <v>3405</v>
      </c>
      <c r="C9" s="2395"/>
      <c r="D9" s="3520"/>
      <c r="E9" s="2394"/>
      <c r="F9" s="2396"/>
      <c r="G9" s="2665"/>
      <c r="H9" s="2665"/>
      <c r="I9" s="2665"/>
      <c r="J9" s="2439"/>
      <c r="K9" s="2616"/>
      <c r="L9" s="2613"/>
      <c r="M9" s="2613"/>
      <c r="N9" s="2439"/>
      <c r="O9" s="2450"/>
      <c r="P9" s="2439"/>
      <c r="Q9" s="2439"/>
      <c r="R9" s="2439"/>
    </row>
    <row r="10" spans="1:30" ht="13.8"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2575</v>
      </c>
      <c r="J12" s="3062"/>
      <c r="K12" s="2613"/>
      <c r="L12" s="2613"/>
      <c r="M12" s="2439"/>
      <c r="N12" s="2450"/>
      <c r="O12" s="2439"/>
      <c r="P12" s="2439"/>
      <c r="Q12" s="2439"/>
      <c r="AD12" s="1745"/>
    </row>
    <row r="13" spans="1:30">
      <c r="A13" s="3423" t="s">
        <v>3331</v>
      </c>
      <c r="B13" s="2407" t="s">
        <v>2190</v>
      </c>
      <c r="C13" s="856"/>
      <c r="D13" s="856"/>
      <c r="E13" s="856">
        <v>55876</v>
      </c>
      <c r="F13" s="856"/>
      <c r="G13" s="856">
        <f>E13</f>
        <v>55876</v>
      </c>
      <c r="H13" s="856">
        <f>G13</f>
        <v>55876</v>
      </c>
      <c r="I13" s="856"/>
      <c r="J13" s="3062"/>
      <c r="K13" s="2613"/>
      <c r="L13" s="2613"/>
      <c r="M13" s="2439"/>
      <c r="N13" s="2450"/>
      <c r="O13" s="2439"/>
      <c r="P13" s="2439"/>
      <c r="Q13" s="2439"/>
      <c r="AD13" s="1745"/>
    </row>
    <row r="14" spans="1:30">
      <c r="A14" s="1081"/>
      <c r="B14" s="2407" t="s">
        <v>2191</v>
      </c>
      <c r="C14" s="2408"/>
      <c r="D14" s="2408"/>
      <c r="E14" s="2408">
        <v>50</v>
      </c>
      <c r="F14" s="2408"/>
      <c r="G14" s="2408">
        <v>50</v>
      </c>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27.93</v>
      </c>
      <c r="F15" s="2410" t="str">
        <f>IF(A13="出让",IF(F13="","",ROUNDDOWN(MIN((F13-$D$3)/365,F14),2)),F14)</f>
        <v/>
      </c>
      <c r="G15" s="2410">
        <f>IF(A13="出让",IF(G13="","",ROUNDDOWN(MIN((G13-$D$3)/365,G14),2)),G14)</f>
        <v>27.93</v>
      </c>
      <c r="H15" s="2410">
        <f>IF(A13="出让",IF(H13="","",ROUNDDOWN(MIN((H13-$D$3)/365,H14),2)),H14)</f>
        <v>27.93</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2464.7399999999998</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3333</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0"/>
      <c r="B30" s="302" t="s">
        <v>2218</v>
      </c>
      <c r="C30" s="3541"/>
      <c r="D30" s="3542"/>
      <c r="E30" s="2664"/>
      <c r="F30" s="2664"/>
      <c r="G30" s="2664"/>
      <c r="H30" s="2664"/>
      <c r="I30" s="2664"/>
      <c r="J30" s="2439"/>
      <c r="K30" s="2616"/>
      <c r="L30" s="2613"/>
      <c r="M30" s="2613"/>
      <c r="N30" s="2439"/>
      <c r="O30" s="2450"/>
      <c r="P30" s="2439"/>
      <c r="Q30" s="2439"/>
      <c r="R30" s="2439"/>
      <c r="S30" s="2439"/>
      <c r="T30" s="2439"/>
      <c r="U30" s="2439"/>
      <c r="V30" s="2439"/>
    </row>
    <row r="31" spans="1:28">
      <c r="A31" s="354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8" t="s">
        <v>2228</v>
      </c>
      <c r="T34" s="2428" t="str">
        <f>NUMBERSTRING(7-K34,1)&amp;"通"</f>
        <v>七通</v>
      </c>
      <c r="U34" s="2439"/>
      <c r="V34" s="2439"/>
    </row>
    <row r="35" spans="1:30">
      <c r="A35" s="2429"/>
      <c r="B35" s="3545" t="s">
        <v>2229</v>
      </c>
      <c r="C35" s="3545"/>
      <c r="D35" s="3545"/>
      <c r="E35" s="354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2578</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3408</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I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3333</v>
      </c>
      <c r="B3" s="11">
        <f>IF(C3="否",G5-AT5,G5)</f>
        <v>2464.7399999999998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2464.7399999999998</v>
      </c>
      <c r="H5" s="13">
        <f t="shared" ref="H5:AT5" si="0">SUM(H13:H656)</f>
        <v>2464.7399999999998</v>
      </c>
      <c r="I5" s="13">
        <f t="shared" si="0"/>
        <v>1220.99</v>
      </c>
      <c r="J5" s="13">
        <f t="shared" si="0"/>
        <v>0</v>
      </c>
      <c r="K5" s="13">
        <f t="shared" si="0"/>
        <v>528.82000000000005</v>
      </c>
      <c r="L5" s="13">
        <f t="shared" si="0"/>
        <v>0</v>
      </c>
      <c r="M5" s="13">
        <f t="shared" si="0"/>
        <v>714.93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2464.7399999999998</v>
      </c>
      <c r="BA5" s="15">
        <f t="shared" si="1"/>
        <v>2464.7399999999998</v>
      </c>
      <c r="BB5" s="15">
        <f t="shared" si="1"/>
        <v>1220.99</v>
      </c>
      <c r="BC5" s="15">
        <f t="shared" si="1"/>
        <v>528.82000000000005</v>
      </c>
      <c r="BD5" s="15">
        <f t="shared" si="1"/>
        <v>714.93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3333</v>
      </c>
      <c r="F6" s="13" t="s">
        <v>0</v>
      </c>
      <c r="G6" s="13" t="s">
        <v>1</v>
      </c>
      <c r="H6" s="17">
        <f>SUMIF(I$12:AB$12,"总值",I6:AB6)</f>
        <v>3333</v>
      </c>
      <c r="I6" s="13">
        <f t="shared" ref="I6:AB6" si="2">ROUND($A$3*I5/$B$3,2)</f>
        <v>1651.11</v>
      </c>
      <c r="J6" s="13">
        <f t="shared" si="2"/>
        <v>0</v>
      </c>
      <c r="K6" s="13">
        <f t="shared" si="2"/>
        <v>715.11</v>
      </c>
      <c r="L6" s="13">
        <f t="shared" si="2"/>
        <v>0</v>
      </c>
      <c r="M6" s="13">
        <f t="shared" si="2"/>
        <v>966.78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3333</v>
      </c>
      <c r="AZ6" s="13" t="s">
        <v>2</v>
      </c>
      <c r="BA6" s="13">
        <f>ROUND($AY$6*BA5/$AZ$5,2)</f>
        <v>3333</v>
      </c>
      <c r="BB6" s="13">
        <f>ROUND($AY$6*BB5/$AZ$5,2)</f>
        <v>1651.11</v>
      </c>
      <c r="BC6" s="13">
        <f t="shared" ref="BC6:BH6" si="4">ROUND($AY$6*BC5/$AZ$5,2)</f>
        <v>715.11</v>
      </c>
      <c r="BD6" s="13">
        <f t="shared" si="4"/>
        <v>966.78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3409</v>
      </c>
      <c r="J9" s="809"/>
      <c r="K9" s="1603" t="s">
        <v>3409</v>
      </c>
      <c r="L9" s="809"/>
      <c r="M9" s="1603" t="s">
        <v>3409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t="s">
        <v>3</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地上</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3410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工业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3411</v>
      </c>
      <c r="E13" s="13">
        <f>IF($C$3="是",ROUND($A$3*G13/$B$3,2),ROUND($A$3*(G13-AT13)/$B$3,2))</f>
        <v>3333</v>
      </c>
      <c r="F13" s="29"/>
      <c r="G13" s="30">
        <f>H13+AC13+AT13</f>
        <v>2464.7399999999998</v>
      </c>
      <c r="H13" s="17">
        <f>SUMIF(I$12:AB$12,"总值",I13:AB13)</f>
        <v>2464.7399999999998</v>
      </c>
      <c r="I13" s="1626">
        <v>1220.99</v>
      </c>
      <c r="J13" s="1626"/>
      <c r="K13" s="1626">
        <v>528.82000000000005</v>
      </c>
      <c r="L13" s="1626"/>
      <c r="M13" s="1626">
        <v>714.93</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3333</v>
      </c>
      <c r="AZ13" s="13">
        <f>BA13+BL13</f>
        <v>2464.7399999999998</v>
      </c>
      <c r="BA13" s="13">
        <f>SUM(BB13:BK13)</f>
        <v>2464.7399999999998</v>
      </c>
      <c r="BB13" s="13">
        <f>IF($D13="是",I13-J13,0)</f>
        <v>1220.99</v>
      </c>
      <c r="BC13" s="13">
        <f>IF($D13="是",K13-L13,0)</f>
        <v>528.82000000000005</v>
      </c>
      <c r="BD13" s="13">
        <f>IF($D13="是",M13-N13,0)</f>
        <v>714.93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9" sqref="G59"/>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5" t="s">
        <v>1131</v>
      </c>
      <c r="B2" s="3555"/>
      <c r="C2" s="3555"/>
      <c r="D2" s="796" t="s">
        <v>1107</v>
      </c>
      <c r="E2" s="1639" t="s">
        <v>1108</v>
      </c>
      <c r="F2" s="2659"/>
      <c r="G2" s="2650"/>
      <c r="H2" s="2651"/>
      <c r="I2" s="2325" t="s">
        <v>1132</v>
      </c>
      <c r="J2" s="2659"/>
      <c r="K2" s="2659"/>
      <c r="L2" s="2659"/>
      <c r="M2" s="2659"/>
      <c r="N2" s="2661"/>
      <c r="O2" s="2659"/>
      <c r="P2" s="2659"/>
    </row>
    <row r="3" spans="1:16" ht="15" thickBot="1">
      <c r="A3" s="3556" t="s">
        <v>1105</v>
      </c>
      <c r="B3" s="3556"/>
      <c r="C3" s="3556"/>
      <c r="D3" s="43">
        <f>'数据-基础表'!AY6</f>
        <v>3333</v>
      </c>
      <c r="E3" s="43">
        <f>'数据-基础表'!AZ5</f>
        <v>2464.7399999999998</v>
      </c>
      <c r="F3" s="2659"/>
      <c r="G3" s="1145"/>
      <c r="H3" s="1026" t="s">
        <v>1106</v>
      </c>
      <c r="I3" s="855">
        <f>ROUND('数据-基础表'!B3/'数据-基础表'!A3,2)</f>
        <v>0.74</v>
      </c>
      <c r="J3" s="2659"/>
      <c r="K3" s="2659"/>
      <c r="L3" s="2659"/>
      <c r="M3" s="2659"/>
      <c r="N3" s="2661"/>
      <c r="O3" s="2659"/>
      <c r="P3" s="2659"/>
    </row>
    <row r="4" spans="1:16" ht="14.4">
      <c r="A4" s="3557"/>
      <c r="B4" s="3558"/>
      <c r="C4" s="3559"/>
      <c r="D4" s="1641" t="s">
        <v>1107</v>
      </c>
      <c r="E4" s="1642" t="s">
        <v>1108</v>
      </c>
      <c r="F4" s="2659"/>
      <c r="G4" s="2652" t="s">
        <v>1133</v>
      </c>
      <c r="H4" s="1026" t="s">
        <v>1113</v>
      </c>
      <c r="I4" s="855">
        <f>ROUND(SUMIF('数据-基础表'!I9:AS9,"地上",'数据-基础表'!I5:AS5)/'数据-基础表'!A3,2)</f>
        <v>0.74</v>
      </c>
      <c r="J4" s="2659"/>
      <c r="K4" s="2659"/>
      <c r="L4" s="2659"/>
      <c r="M4" s="2659"/>
      <c r="N4" s="2661"/>
      <c r="O4" s="2659"/>
      <c r="P4" s="2659"/>
    </row>
    <row r="5" spans="1:16" ht="14.4">
      <c r="A5" s="44" t="s">
        <v>1109</v>
      </c>
      <c r="B5" s="3560" t="s">
        <v>1110</v>
      </c>
      <c r="C5" s="3560"/>
      <c r="D5" s="45">
        <f>ROUND($D$3*E5/$E$3,2)</f>
        <v>0</v>
      </c>
      <c r="E5" s="46">
        <f>SUMIF('数据-基础表'!$11:$11,"住宅",'数据-基础表'!$5:$5)</f>
        <v>0</v>
      </c>
      <c r="F5" s="2659"/>
      <c r="G5" s="1145"/>
      <c r="H5" s="1026" t="s">
        <v>1106</v>
      </c>
      <c r="I5" s="855">
        <f>ROUND(E31/D31,2)</f>
        <v>0.74</v>
      </c>
      <c r="J5" s="2659"/>
      <c r="K5" s="2659"/>
      <c r="L5" s="2659"/>
      <c r="M5" s="2659"/>
      <c r="N5" s="2659"/>
      <c r="O5" s="2659"/>
      <c r="P5" s="2659"/>
    </row>
    <row r="6" spans="1:16" ht="15" thickBot="1">
      <c r="A6" s="1644"/>
      <c r="B6" s="3560" t="s">
        <v>1111</v>
      </c>
      <c r="C6" s="3560"/>
      <c r="D6" s="45">
        <f>ROUND($D$3*E6/$E$3,2)</f>
        <v>3333</v>
      </c>
      <c r="E6" s="46">
        <f>E3-E5</f>
        <v>2464.7399999999998</v>
      </c>
      <c r="F6" s="2659"/>
      <c r="G6" s="2653" t="s">
        <v>1112</v>
      </c>
      <c r="H6" s="1146" t="s">
        <v>1113</v>
      </c>
      <c r="I6" s="2654">
        <f>ROUND(F31/D31,2)</f>
        <v>0.74</v>
      </c>
      <c r="J6" s="2659"/>
      <c r="K6" s="2659"/>
      <c r="L6" s="2659"/>
      <c r="M6" s="2659"/>
      <c r="N6" s="2659"/>
      <c r="O6" s="2659"/>
      <c r="P6" s="2659"/>
    </row>
    <row r="7" spans="1:16" ht="15" thickBot="1">
      <c r="A7" s="3552"/>
      <c r="B7" s="3553"/>
      <c r="C7" s="3554"/>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3333</v>
      </c>
      <c r="E8" s="48">
        <f>SUMIF('数据-基础表'!BB10:BK10,"地上",'数据-基础表'!BB5:BK5)</f>
        <v>2464.7399999999998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3333</v>
      </c>
      <c r="E16" s="50">
        <f>SUM(E8:E15)</f>
        <v>2464.7399999999998</v>
      </c>
      <c r="F16" s="2659"/>
      <c r="G16" s="2660"/>
      <c r="H16" s="1648" t="s">
        <v>1135</v>
      </c>
      <c r="I16" s="1649"/>
      <c r="J16" s="1139"/>
      <c r="K16" s="3549" t="s">
        <v>1135</v>
      </c>
      <c r="L16" s="3550"/>
      <c r="M16" s="3550"/>
      <c r="N16" s="3550"/>
      <c r="O16" s="3550"/>
      <c r="P16" s="3551"/>
    </row>
    <row r="17" spans="1:19" ht="14.4">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3412</v>
      </c>
      <c r="D19" s="45">
        <f>ROUND($D$3*E19/$E$3,2)</f>
        <v>1651.11</v>
      </c>
      <c r="E19" s="53">
        <f t="shared" ref="E19:E26" si="1">SUM(F19:G19)</f>
        <v>1220.99</v>
      </c>
      <c r="F19" s="2795">
        <f>'数据-基础表'!I13</f>
        <v>1220.99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1651.11</v>
      </c>
      <c r="S19" s="1027">
        <f t="shared" si="5"/>
        <v>1220.99</v>
      </c>
    </row>
    <row r="20" spans="1:19" ht="14.4">
      <c r="A20" s="1670"/>
      <c r="B20" s="47" t="s">
        <v>1153</v>
      </c>
      <c r="C20" s="3417" t="s">
        <v>3414</v>
      </c>
      <c r="D20" s="45">
        <f t="shared" ref="D20:D26" si="6">ROUND($D$3*E20/$E$3,2)</f>
        <v>1681.89</v>
      </c>
      <c r="E20" s="53">
        <f t="shared" si="1"/>
        <v>1243.75</v>
      </c>
      <c r="F20" s="2795">
        <f>'数据-基础表'!K13+'数据-基础表'!M13</f>
        <v>1243.75</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1681.89</v>
      </c>
      <c r="S20" s="1027">
        <f t="shared" si="5"/>
        <v>1243.75</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3333</v>
      </c>
      <c r="E27" s="1141">
        <f>IF(SUM(E19:E26)='数据-基础表'!BA5,SUM(E19:E26),IF(F27="地上面积有误","面积有误","地下面积有误"))</f>
        <v>2464.7399999999998</v>
      </c>
      <c r="F27" s="1140">
        <f>IF(SUM(F19:F26)=E8,SUM(F19:F26),"地上面积有误")</f>
        <v>2464.7399999999998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3333</v>
      </c>
      <c r="S27" s="1026">
        <f>IF(SUM(S19:S26)=$E$3,SUM(S19:S26),SUM(S19:S26)&amp;"误差"&amp;ROUND(SUM(S19:S26)-E3,2))</f>
        <v>2464.7399999999998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3333</v>
      </c>
      <c r="E31" s="676">
        <f>E27+E30</f>
        <v>2464.7399999999998</v>
      </c>
      <c r="F31" s="677">
        <f>F27+F30</f>
        <v>2464.7399999999998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G31" sqref="G3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6" width="8.88671875" style="1682" customWidth="1"/>
    <col min="7" max="7" width="11.88671875" style="1682" customWidth="1"/>
    <col min="8"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3" width="7.21875" style="1682" customWidth="1"/>
    <col min="34" max="34" width="10.1093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45680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3.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办公楼</v>
      </c>
      <c r="B6" s="1713" t="str">
        <f>IF(A6=0,"","经营性")</f>
        <v>经营性</v>
      </c>
      <c r="C6" s="1714" t="s">
        <v>3</v>
      </c>
      <c r="D6" s="858">
        <f>SUMIF(项目基本情况!C$12:I$12,C6,项目基本情况!C$14:I$14)</f>
        <v>50</v>
      </c>
      <c r="E6" s="857">
        <f>IF(B6="","",SUMIF(项目基本情况!C$12:I$12,C6,项目基本情况!C$13:I$13))</f>
        <v>55876</v>
      </c>
      <c r="F6" s="64">
        <f>SUMIF(项目基本情况!C$12:I$12,C6,项目基本情况!C$15:I$15)</f>
        <v>27.93</v>
      </c>
      <c r="G6" s="65">
        <f>IF(ISERROR(ROUND(POWER(1+H6,D6-F6)*(POWER(1+H6,F6)-1)/(POWER(1+H6,D6)-1),3)),0,ROUND(POWER(1+H6,D6-F6)*(POWER(1+H6,F6)-1)/(POWER(1+H6,D6)-1),3))</f>
        <v>0.752</v>
      </c>
      <c r="H6" s="732">
        <v>3.5000000000000003E-2</v>
      </c>
      <c r="I6" s="732">
        <v>0.04</v>
      </c>
      <c r="J6" s="66">
        <v>0.05</v>
      </c>
      <c r="K6" s="1030">
        <f>SUMIF('数据-汇总表'!C$19:C$33,A6,'数据-汇总表'!E$19:E$33)</f>
        <v>1220.99</v>
      </c>
      <c r="L6" s="733">
        <v>2800</v>
      </c>
      <c r="M6" s="67">
        <f t="shared" ref="M6:M14" si="0">ROUND(K6*L6/10000,0)</f>
        <v>342</v>
      </c>
      <c r="N6" s="731">
        <v>0.82499999999999996</v>
      </c>
      <c r="O6" s="67" t="str">
        <f>IF($N$5="成新度","——",ROUND(M6*N6,0))</f>
        <v>——</v>
      </c>
      <c r="P6" s="68" t="str">
        <f>IF($N$5="成新度","——",M6-O6)</f>
        <v>——</v>
      </c>
      <c r="Q6" s="734">
        <v>0.15</v>
      </c>
      <c r="R6" s="69">
        <f ca="1">SUMIF('数据-汇总表'!C$19:C$33,A6,'数据-汇总表'!R$19:R$27)</f>
        <v>1651.11</v>
      </c>
      <c r="S6" s="51">
        <f>IF('数据-汇总表'!$I$17="按面积比例",SUMIF('数据-汇总表'!C$19:C$33,A6,'数据-汇总表'!K$19:K$33),SUMIF('数据-汇总表'!C$19:C$33,A6,'数据-汇总表'!N$19:N$33))</f>
        <v>0</v>
      </c>
      <c r="T6" s="1172">
        <f>ROUND($L$14*S6/10000,0)</f>
        <v>0</v>
      </c>
      <c r="U6" s="3428">
        <v>1</v>
      </c>
      <c r="V6" s="70">
        <v>5.0000000000000001E-3</v>
      </c>
      <c r="W6" s="70">
        <v>0.1</v>
      </c>
      <c r="X6" s="1040"/>
      <c r="Y6" s="71">
        <f>N6</f>
        <v>0.82499999999999996</v>
      </c>
      <c r="Z6" s="72"/>
      <c r="AA6" s="66"/>
      <c r="AB6" s="66"/>
      <c r="AC6" s="1040"/>
      <c r="AD6" s="73"/>
      <c r="AE6" s="3469">
        <f>F6</f>
        <v>27.93</v>
      </c>
      <c r="AF6" s="1348"/>
      <c r="AG6" s="138">
        <f>IF(AF6="",0,AE6-AF6)</f>
        <v>0</v>
      </c>
      <c r="AH6" s="3428">
        <f>K6</f>
        <v>1220.99</v>
      </c>
      <c r="AI6" s="76">
        <v>365</v>
      </c>
      <c r="AJ6" s="77"/>
      <c r="AK6" s="78">
        <v>0.01</v>
      </c>
      <c r="AL6" s="79">
        <v>1E-3</v>
      </c>
      <c r="AM6" s="80">
        <v>0.01</v>
      </c>
      <c r="AN6" s="1715" t="s">
        <v>3423</v>
      </c>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仓库</v>
      </c>
      <c r="B7" s="1713" t="str">
        <f t="shared" ref="B7:B13" si="1">IF(A7=0,"","经营性")</f>
        <v>经营性</v>
      </c>
      <c r="C7" s="1714" t="s">
        <v>3</v>
      </c>
      <c r="D7" s="858">
        <f>SUMIF(项目基本情况!C$12:I$12,C7,项目基本情况!C$14:I$14)</f>
        <v>50</v>
      </c>
      <c r="E7" s="857">
        <f>IF(B7="","",SUMIF(项目基本情况!C$12:I$12,C7,项目基本情况!C$13:I$13))</f>
        <v>55876</v>
      </c>
      <c r="F7" s="64">
        <f>SUMIF(项目基本情况!C$12:I$12,C7,项目基本情况!C$15:I$15)</f>
        <v>27.93</v>
      </c>
      <c r="G7" s="65">
        <f t="shared" ref="G7:G11" si="2">IF(ISERROR(ROUND(POWER(1+H7,D7-F7)*(POWER(1+H7,F7)-1)/(POWER(1+H7,D7)-1),3)),0,ROUND(POWER(1+H7,D7-F7)*(POWER(1+H7,F7)-1)/(POWER(1+H7,D7)-1),3))</f>
        <v>0.752</v>
      </c>
      <c r="H7" s="732">
        <v>3.5000000000000003E-2</v>
      </c>
      <c r="I7" s="732">
        <v>0.04</v>
      </c>
      <c r="J7" s="66">
        <v>0.05</v>
      </c>
      <c r="K7" s="1030">
        <f>SUMIF('数据-汇总表'!C$19:C$33,A7,'数据-汇总表'!E$19:E$33)</f>
        <v>1243.75</v>
      </c>
      <c r="L7" s="733">
        <v>1500</v>
      </c>
      <c r="M7" s="67">
        <f t="shared" si="0"/>
        <v>187</v>
      </c>
      <c r="N7" s="731">
        <v>0.75839999999999996</v>
      </c>
      <c r="O7" s="67" t="str">
        <f t="shared" ref="O7:O14" si="3">IF($N$5="成新度","——",ROUND(M7*N7,0))</f>
        <v>——</v>
      </c>
      <c r="P7" s="68" t="str">
        <f t="shared" ref="P7:P14" si="4">IF($N$5="成新度","——",M7-O7)</f>
        <v>——</v>
      </c>
      <c r="Q7" s="734">
        <v>0.1</v>
      </c>
      <c r="R7" s="69">
        <f ca="1">SUMIF('数据-汇总表'!C$19:C$33,A7,'数据-汇总表'!R$19:R$27)</f>
        <v>1681.89</v>
      </c>
      <c r="S7" s="51">
        <f>IF('数据-汇总表'!$I$17="按面积比例",SUMIF('数据-汇总表'!C$19:C$33,A7,'数据-汇总表'!K$19:K$33),SUMIF('数据-汇总表'!C$19:C$33,A7,'数据-汇总表'!N$19:N$33))</f>
        <v>0</v>
      </c>
      <c r="T7" s="1172">
        <f t="shared" ref="T7:T13" si="5">ROUND($L$14*S7/10000,0)</f>
        <v>0</v>
      </c>
      <c r="U7" s="3428">
        <v>0.5</v>
      </c>
      <c r="V7" s="70">
        <f>V6</f>
        <v>5.0000000000000001E-3</v>
      </c>
      <c r="W7" s="70">
        <f>W6</f>
        <v>0.1</v>
      </c>
      <c r="X7" s="1040"/>
      <c r="Y7" s="71">
        <f>N7</f>
        <v>0.75839999999999996</v>
      </c>
      <c r="Z7" s="72"/>
      <c r="AA7" s="66"/>
      <c r="AB7" s="66"/>
      <c r="AC7" s="1040"/>
      <c r="AD7" s="73"/>
      <c r="AE7" s="1041">
        <f t="shared" ref="AE7:AE13" ca="1" si="6">IF(AN7="",0,SUMIF(INDIRECT("'"&amp;AN7&amp;"'"&amp;"!E:E"),$AE$5,INDIRECT("'"&amp;AN7&amp;"'"&amp;"!F:F")))</f>
        <v>27.93</v>
      </c>
      <c r="AF7" s="1348"/>
      <c r="AG7" s="138">
        <f t="shared" ref="AG7:AG13" si="7">IF(AF7="",0,AE7-AF7)</f>
        <v>0</v>
      </c>
      <c r="AH7" s="3428">
        <f>K7</f>
        <v>1243.75</v>
      </c>
      <c r="AI7" s="76">
        <v>365</v>
      </c>
      <c r="AJ7" s="77"/>
      <c r="AK7" s="78">
        <v>0.01</v>
      </c>
      <c r="AL7" s="79">
        <v>1E-3</v>
      </c>
      <c r="AM7" s="80">
        <v>0.01</v>
      </c>
      <c r="AN7" s="1715" t="s">
        <v>3426</v>
      </c>
      <c r="AO7" s="52">
        <f t="shared" ref="AO7:AO13" ca="1" si="8">SUMIF(INDIRECT("'"&amp;AN7&amp;"'"&amp;"!A:A"),"总价",INDIRECT("'"&amp;AN7&amp;"'"&amp;"!B:B"))</f>
        <v>257.8109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0.752</v>
      </c>
      <c r="H16" s="90">
        <f>ROUND(SUMPRODUCT(H6:H13,K6:K13)/SUMPRODUCT((H6:H13&gt;0)*(K6:K13)),3)</f>
        <v>3.5000000000000003E-2</v>
      </c>
      <c r="I16" s="91"/>
      <c r="J16" s="91"/>
      <c r="K16" s="92">
        <f>SUM(K6:K15)</f>
        <v>2464.7399999999998</v>
      </c>
      <c r="L16" s="93">
        <f>ROUND(M16*10000/SUM(K6:K14),0)</f>
        <v>2146</v>
      </c>
      <c r="M16" s="93">
        <f>SUM(M6:M14)</f>
        <v>529</v>
      </c>
      <c r="N16" s="94">
        <f>ROUND(SUMPRODUCT(M6:M14,N6:N14)/M16,3)</f>
        <v>0.80100000000000005</v>
      </c>
      <c r="O16" s="93">
        <f>SUM(O6:O14)</f>
        <v>0</v>
      </c>
      <c r="P16" s="93">
        <f>SUM(P6:P14)</f>
        <v>0</v>
      </c>
      <c r="Q16" s="95">
        <f>ROUND(SUMPRODUCT(Q6:Q13,K6:K13)/SUMPRODUCT((Q6:Q13&gt;0)*(K6:K13)),2)</f>
        <v>0.12</v>
      </c>
      <c r="R16" s="1034">
        <f ca="1">SUM(R6:R13)</f>
        <v>3333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0.5</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150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0.05</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3422</v>
      </c>
      <c r="B40" s="1078">
        <f ca="1">IF(A40="利息：取LPR",存贷款利率!G1,存贷款利率!G1+C40)</f>
        <v>4.3499999999999997E-2</v>
      </c>
      <c r="C40" s="2814">
        <v>1.2500000000000001E-2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1" t="s">
        <v>2286</v>
      </c>
      <c r="B1" s="3562"/>
      <c r="C1" s="3562"/>
      <c r="D1" s="3562"/>
      <c r="E1" s="3562"/>
      <c r="F1" s="3562"/>
      <c r="G1" s="356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3381.18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45680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1193.5795000000001</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汇总表!D6</f>
        <v>3381.18</v>
      </c>
      <c r="C14" s="2518"/>
      <c r="D14" s="2518">
        <f ca="1">汇总表!J6/10000</f>
        <v>1193.5795000000001</v>
      </c>
      <c r="E14" s="2518">
        <f ca="1">ROUND(D14*10000/B14,0)</f>
        <v>3530</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32" sqref="I3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0" t="str">
        <f>项目基本情况!S2</f>
        <v>北京市房地产</v>
      </c>
      <c r="B2" s="3631"/>
      <c r="C2" s="3631"/>
      <c r="D2" s="3631"/>
      <c r="E2" s="3631"/>
      <c r="F2" s="3631"/>
      <c r="G2" s="3631"/>
      <c r="H2" s="3631"/>
      <c r="I2" s="3632"/>
    </row>
    <row r="3" spans="1:12" ht="13.2">
      <c r="A3" s="3634" t="s">
        <v>1264</v>
      </c>
      <c r="B3" s="3635"/>
      <c r="C3" s="3635"/>
      <c r="D3" s="3635"/>
      <c r="E3" s="3635"/>
      <c r="F3" s="3635"/>
      <c r="G3" s="3635"/>
      <c r="H3" s="3635"/>
      <c r="I3" s="3635"/>
    </row>
    <row r="4" spans="1:12" ht="14.4">
      <c r="A4" s="1754" t="s">
        <v>1265</v>
      </c>
      <c r="B4" s="1755" t="s">
        <v>1266</v>
      </c>
      <c r="C4" s="1756"/>
      <c r="D4" s="1756"/>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78" t="s">
        <v>1268</v>
      </c>
      <c r="B5" s="3633">
        <v>25</v>
      </c>
      <c r="C5" s="3636"/>
      <c r="D5" s="3624"/>
      <c r="E5" s="131" t="s">
        <v>1269</v>
      </c>
      <c r="F5" s="1757"/>
      <c r="G5" s="1757"/>
      <c r="H5" s="1757"/>
      <c r="I5" s="1373"/>
    </row>
    <row r="6" spans="1:12" ht="13.2">
      <c r="A6" s="3578"/>
      <c r="B6" s="3633"/>
      <c r="C6" s="3638"/>
      <c r="D6" s="3624"/>
      <c r="E6" s="131" t="s">
        <v>1270</v>
      </c>
      <c r="F6" s="1757"/>
      <c r="G6" s="1757"/>
      <c r="H6" s="1757"/>
      <c r="I6" s="1373"/>
    </row>
    <row r="7" spans="1:12" ht="13.2">
      <c r="A7" s="3578"/>
      <c r="B7" s="3633"/>
      <c r="C7" s="3637"/>
      <c r="D7" s="3624"/>
      <c r="E7" s="131" t="s">
        <v>1271</v>
      </c>
      <c r="F7" s="1757"/>
      <c r="G7" s="1757"/>
      <c r="H7" s="1757"/>
      <c r="I7" s="1373"/>
    </row>
    <row r="8" spans="1:12" ht="13.2">
      <c r="A8" s="3578" t="s">
        <v>1272</v>
      </c>
      <c r="B8" s="3633">
        <v>15</v>
      </c>
      <c r="C8" s="3636"/>
      <c r="D8" s="3624"/>
      <c r="E8" s="131" t="s">
        <v>1273</v>
      </c>
      <c r="F8" s="1757"/>
      <c r="G8" s="1757"/>
      <c r="H8" s="1757"/>
      <c r="I8" s="1373"/>
    </row>
    <row r="9" spans="1:12" ht="13.2">
      <c r="A9" s="3578"/>
      <c r="B9" s="3633"/>
      <c r="C9" s="3637"/>
      <c r="D9" s="3624"/>
      <c r="E9" s="131" t="s">
        <v>1274</v>
      </c>
      <c r="F9" s="1757"/>
      <c r="G9" s="1757"/>
      <c r="H9" s="1757"/>
      <c r="I9" s="1373"/>
    </row>
    <row r="10" spans="1:12" ht="13.2">
      <c r="A10" s="3578" t="s">
        <v>1275</v>
      </c>
      <c r="B10" s="3633">
        <v>15</v>
      </c>
      <c r="C10" s="3636"/>
      <c r="D10" s="3624"/>
      <c r="E10" s="131" t="s">
        <v>1276</v>
      </c>
      <c r="F10" s="1757"/>
      <c r="G10" s="1757"/>
      <c r="H10" s="1757"/>
      <c r="I10" s="1373"/>
    </row>
    <row r="11" spans="1:12" ht="13.2">
      <c r="A11" s="3578"/>
      <c r="B11" s="3633"/>
      <c r="C11" s="3637"/>
      <c r="D11" s="3624"/>
      <c r="E11" s="131" t="s">
        <v>1277</v>
      </c>
      <c r="F11" s="1757"/>
      <c r="G11" s="1757"/>
      <c r="H11" s="1757"/>
      <c r="I11" s="1373"/>
    </row>
    <row r="12" spans="1:12" ht="13.2">
      <c r="A12" s="3578" t="s">
        <v>1278</v>
      </c>
      <c r="B12" s="3633">
        <v>15</v>
      </c>
      <c r="C12" s="3636"/>
      <c r="D12" s="3624"/>
      <c r="E12" s="131" t="s">
        <v>1279</v>
      </c>
      <c r="F12" s="1757"/>
      <c r="G12" s="1757"/>
      <c r="H12" s="1757"/>
      <c r="I12" s="1373"/>
    </row>
    <row r="13" spans="1:12" ht="13.2">
      <c r="A13" s="3578"/>
      <c r="B13" s="3633"/>
      <c r="C13" s="3637"/>
      <c r="D13" s="3624"/>
      <c r="E13" s="131" t="s">
        <v>1280</v>
      </c>
      <c r="F13" s="1757"/>
      <c r="G13" s="1757"/>
      <c r="H13" s="1757"/>
      <c r="I13" s="1373"/>
    </row>
    <row r="14" spans="1:12" ht="13.2">
      <c r="A14" s="3578" t="s">
        <v>1281</v>
      </c>
      <c r="B14" s="3633">
        <v>30</v>
      </c>
      <c r="C14" s="3636"/>
      <c r="D14" s="3624"/>
      <c r="E14" s="131" t="s">
        <v>1282</v>
      </c>
      <c r="F14" s="1757"/>
      <c r="G14" s="1757"/>
      <c r="H14" s="1757"/>
      <c r="I14" s="1373"/>
    </row>
    <row r="15" spans="1:12" ht="13.2">
      <c r="A15" s="3578"/>
      <c r="B15" s="3633"/>
      <c r="C15" s="3638"/>
      <c r="D15" s="3624"/>
      <c r="E15" s="131" t="s">
        <v>1283</v>
      </c>
      <c r="F15" s="1757"/>
      <c r="G15" s="1757"/>
      <c r="H15" s="1757"/>
      <c r="I15" s="1373"/>
    </row>
    <row r="16" spans="1:12" ht="13.2">
      <c r="A16" s="3578"/>
      <c r="B16" s="3633"/>
      <c r="C16" s="3637"/>
      <c r="D16" s="3624"/>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55" t="s">
        <v>2131</v>
      </c>
      <c r="F18" s="3656"/>
      <c r="G18" s="3656"/>
      <c r="H18" s="3656"/>
      <c r="I18" s="3656"/>
      <c r="K18" s="302" t="s">
        <v>1289</v>
      </c>
      <c r="L18" s="302">
        <f>IF(C1="",'数据-汇总表'!E3,SUMIF(项目类型,C1,'数据-汇总表'!E17:E26)+SUMIF(项目类型,C1,'数据-汇总表'!I17:I26))</f>
        <v>2464.7399999999998</v>
      </c>
      <c r="M18" s="302">
        <f>IF(C1="",'数据-汇总表'!E3,SUMIF(项目类型,C1,'数据-汇总表'!E17:E26))</f>
        <v>2464.7399999999998</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3333</v>
      </c>
      <c r="M19" s="302">
        <f>IF(C1="",'数据-汇总表'!D3,SUMIF(项目类型,C1,'数据-汇总表'!D17:D26))</f>
        <v>3333</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48" t="s">
        <v>1299</v>
      </c>
      <c r="B24" s="1762" t="s">
        <v>1291</v>
      </c>
      <c r="C24" s="136">
        <f>IF(B30=0,0,D30)</f>
        <v>0</v>
      </c>
      <c r="D24" s="1769"/>
      <c r="E24" s="129"/>
      <c r="F24" s="129"/>
      <c r="G24" s="129"/>
      <c r="H24" s="129"/>
      <c r="I24" s="129"/>
    </row>
    <row r="25" spans="1:36" ht="14.4">
      <c r="A25" s="36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5" t="s">
        <v>1312</v>
      </c>
      <c r="B36" s="1787" t="s">
        <v>1313</v>
      </c>
      <c r="C36" s="145"/>
      <c r="D36" s="1788"/>
      <c r="E36" s="1789"/>
      <c r="F36" s="1790"/>
      <c r="G36" s="129"/>
      <c r="H36" s="129"/>
      <c r="I36" s="129"/>
    </row>
    <row r="37" spans="1:15" ht="15" thickBot="1">
      <c r="A37" s="3626"/>
      <c r="B37" s="1674" t="s">
        <v>1314</v>
      </c>
      <c r="C37" s="147"/>
      <c r="D37" s="1139"/>
      <c r="E37" s="1139"/>
      <c r="F37" s="1790"/>
      <c r="G37" s="129"/>
      <c r="H37" s="129"/>
      <c r="I37" s="129"/>
    </row>
    <row r="38" spans="1:15" ht="15" thickBot="1">
      <c r="A38" s="362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5" t="s">
        <v>1326</v>
      </c>
      <c r="B45" s="3646"/>
      <c r="C45" s="3647"/>
      <c r="D45" s="155" t="e">
        <f ca="1">ROUND(H101*F45,0)</f>
        <v>#REF!</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6"/>
      <c r="I46" s="159"/>
      <c r="J46" s="2523">
        <v>1</v>
      </c>
      <c r="K46" s="3566" t="s">
        <v>1331</v>
      </c>
      <c r="L46" s="3566"/>
      <c r="M46" s="3567"/>
      <c r="N46" s="3567"/>
      <c r="O46" s="3567"/>
    </row>
    <row r="47" spans="1:15" ht="12" customHeight="1">
      <c r="A47" s="160" t="s">
        <v>1332</v>
      </c>
      <c r="B47" s="161"/>
      <c r="C47" s="162"/>
      <c r="D47" s="1087" t="s">
        <v>1333</v>
      </c>
      <c r="E47" s="302" t="s">
        <v>1334</v>
      </c>
      <c r="F47" s="163" t="s">
        <v>1335</v>
      </c>
      <c r="G47" s="2546" t="s">
        <v>1336</v>
      </c>
      <c r="H47" s="2547"/>
      <c r="I47" s="159"/>
      <c r="J47" s="2523">
        <v>2</v>
      </c>
      <c r="K47" s="3566" t="s">
        <v>1337</v>
      </c>
      <c r="L47" s="3566"/>
      <c r="M47" s="3568">
        <f>'数据-取费表'!B2</f>
        <v>45680</v>
      </c>
      <c r="N47" s="3568"/>
      <c r="O47" s="3568"/>
    </row>
    <row r="48" spans="1:15" ht="26.4">
      <c r="A48" s="3628" t="s">
        <v>1338</v>
      </c>
      <c r="B48" s="3629"/>
      <c r="C48" s="362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6" t="s">
        <v>1340</v>
      </c>
      <c r="L48" s="3566"/>
      <c r="M48" s="3569" t="e">
        <f ca="1">H101</f>
        <v>#REF!</v>
      </c>
      <c r="N48" s="3569"/>
      <c r="O48" s="3569"/>
    </row>
    <row r="49" spans="1:35" ht="25.5" customHeight="1">
      <c r="A49" s="2333" t="s">
        <v>1341</v>
      </c>
      <c r="B49" s="3614" t="s">
        <v>1342</v>
      </c>
      <c r="C49" s="3614"/>
      <c r="D49" s="1590">
        <v>0</v>
      </c>
      <c r="E49" s="324" t="s">
        <v>1343</v>
      </c>
      <c r="F49" s="2424" t="s">
        <v>28</v>
      </c>
      <c r="G49" s="3597"/>
      <c r="H49" s="2310" t="s">
        <v>2134</v>
      </c>
      <c r="I49" s="2311"/>
      <c r="J49" s="2523">
        <v>4</v>
      </c>
      <c r="K49" s="3566" t="str">
        <f>IF(项目基本情况!E8="房地产抵押价值","房地产抵押价值","抵押担保权已注销时的房地产抵押价值")</f>
        <v>抵押担保权已注销时的房地产抵押价值</v>
      </c>
      <c r="L49" s="3566"/>
      <c r="M49" s="3569" t="str">
        <f>IF(项目基本情况!E8="房地产抵押价值",H107,H109)</f>
        <v>——</v>
      </c>
      <c r="N49" s="3569"/>
      <c r="O49" s="3569"/>
    </row>
    <row r="50" spans="1:35" ht="25.5" customHeight="1">
      <c r="A50" s="2551"/>
      <c r="B50" s="3614" t="s">
        <v>1344</v>
      </c>
      <c r="C50" s="3614"/>
      <c r="D50" s="2552"/>
      <c r="E50" s="332"/>
      <c r="F50" s="2424"/>
      <c r="G50" s="3598"/>
      <c r="H50" s="2312" t="s">
        <v>2135</v>
      </c>
      <c r="I50" s="2311"/>
      <c r="J50" s="3565" t="s">
        <v>1345</v>
      </c>
      <c r="K50" s="3565"/>
      <c r="L50" s="3565"/>
      <c r="M50" s="3565"/>
      <c r="N50" s="3565"/>
      <c r="O50" s="3565"/>
    </row>
    <row r="51" spans="1:35" ht="20.399999999999999" customHeight="1">
      <c r="A51" s="2553"/>
      <c r="B51" s="3614" t="s">
        <v>1346</v>
      </c>
      <c r="C51" s="3614"/>
      <c r="D51" s="1087"/>
      <c r="E51" s="327"/>
      <c r="F51" s="2424"/>
      <c r="G51" s="3599"/>
      <c r="H51" s="2312" t="s">
        <v>2136</v>
      </c>
      <c r="I51" s="2311"/>
      <c r="J51" s="2524" t="s">
        <v>1347</v>
      </c>
      <c r="K51" s="3566" t="s">
        <v>1348</v>
      </c>
      <c r="L51" s="3566"/>
      <c r="M51" s="2524" t="s">
        <v>1349</v>
      </c>
      <c r="N51" s="2524" t="s">
        <v>1350</v>
      </c>
      <c r="O51" s="2524" t="s">
        <v>1351</v>
      </c>
    </row>
    <row r="52" spans="1:35" ht="24" customHeight="1">
      <c r="A52" s="2335" t="s">
        <v>1352</v>
      </c>
      <c r="B52" s="3614" t="s">
        <v>1353</v>
      </c>
      <c r="C52" s="3614"/>
      <c r="D52" s="1087" t="e">
        <f ca="1">ROUND(D45*'数据-取费表'!B41/(1+'数据-取费表'!C42),0)</f>
        <v>#REF!</v>
      </c>
      <c r="E52" s="2334" t="s">
        <v>1354</v>
      </c>
      <c r="F52" s="2554">
        <f>'数据-取费表'!B41</f>
        <v>5.5000000000000007E-2</v>
      </c>
      <c r="G52" s="2555"/>
      <c r="H52" s="2544"/>
      <c r="I52" s="1807"/>
      <c r="J52" s="2523">
        <v>1</v>
      </c>
      <c r="K52" s="3591" t="s">
        <v>1355</v>
      </c>
      <c r="L52" s="3591"/>
      <c r="M52" s="2525" t="b">
        <f>D48</f>
        <v>0</v>
      </c>
      <c r="N52" s="2523" t="str">
        <f>E48</f>
        <v>销售额×税（费）率</v>
      </c>
      <c r="O52" s="2526">
        <f>F48</f>
        <v>5.5000000000000007E-2</v>
      </c>
    </row>
    <row r="53" spans="1:35" ht="12" customHeight="1">
      <c r="A53" s="2335" t="s">
        <v>1356</v>
      </c>
      <c r="B53" s="3615" t="s">
        <v>2291</v>
      </c>
      <c r="C53" s="3616"/>
      <c r="D53" s="1087" t="e">
        <f ca="1">ROUND(D45*'数据-取费表'!B41/(1+'数据-取费表'!C42),0)</f>
        <v>#REF!</v>
      </c>
      <c r="E53" s="2334" t="s">
        <v>1354</v>
      </c>
      <c r="F53" s="2554">
        <f>'数据-取费表'!B41</f>
        <v>5.5000000000000007E-2</v>
      </c>
      <c r="G53" s="2555"/>
      <c r="H53" s="2544"/>
      <c r="I53" s="1807"/>
      <c r="J53" s="2523">
        <v>2</v>
      </c>
      <c r="K53" s="3591" t="s">
        <v>1357</v>
      </c>
      <c r="L53" s="3591"/>
      <c r="M53" s="2525" t="e">
        <f t="shared" ref="M53:O54" ca="1" si="0">D55</f>
        <v>#REF!</v>
      </c>
      <c r="N53" s="2523" t="str">
        <f t="shared" si="0"/>
        <v>销售额×税（费）率</v>
      </c>
      <c r="O53" s="2526" t="str">
        <f t="shared" si="0"/>
        <v>免征</v>
      </c>
    </row>
    <row r="54" spans="1:35" ht="12" customHeight="1">
      <c r="A54" s="2335" t="s">
        <v>1358</v>
      </c>
      <c r="B54" s="3615" t="s">
        <v>2292</v>
      </c>
      <c r="C54" s="3616"/>
      <c r="D54" s="1087" t="e">
        <f ca="1">C68</f>
        <v>#REF!</v>
      </c>
      <c r="E54" s="327" t="s">
        <v>1359</v>
      </c>
      <c r="F54" s="2554">
        <f>'数据-取费表'!B41</f>
        <v>5.5000000000000007E-2</v>
      </c>
      <c r="G54" s="2555"/>
      <c r="H54" s="2556"/>
      <c r="I54" s="1807"/>
      <c r="J54" s="2523">
        <v>3</v>
      </c>
      <c r="K54" s="3591" t="s">
        <v>1360</v>
      </c>
      <c r="L54" s="3591"/>
      <c r="M54" s="2525" t="e">
        <f t="shared" ca="1" si="0"/>
        <v>#REF!</v>
      </c>
      <c r="N54" s="2523" t="str">
        <f t="shared" si="0"/>
        <v>增值额×税（费）率</v>
      </c>
      <c r="O54" s="2527" t="str">
        <f t="shared" si="0"/>
        <v>免征</v>
      </c>
    </row>
    <row r="55" spans="1:35" ht="24" customHeight="1">
      <c r="A55" s="3651" t="s">
        <v>1361</v>
      </c>
      <c r="B55" s="3629"/>
      <c r="C55" s="3629"/>
      <c r="D55" s="2324" t="e">
        <f ca="1">IF(H55="个人住宅",0,ROUND(D45*I55,0))</f>
        <v>#REF!</v>
      </c>
      <c r="E55" s="2334" t="s">
        <v>1362</v>
      </c>
      <c r="F55" s="2554" t="str">
        <f>IF(H55="正常",I55,"免征")</f>
        <v>免征</v>
      </c>
      <c r="G55" s="2555"/>
      <c r="H55" s="2550"/>
      <c r="I55" s="165">
        <f>'数据-取费表'!B49</f>
        <v>5.0000000000000001E-4</v>
      </c>
      <c r="J55" s="2523">
        <f>IF(H59="非个人房产","",4)</f>
        <v>4</v>
      </c>
      <c r="K55" s="3591" t="str">
        <f>IF(H59="非个人房产","——","个人所得税")</f>
        <v>个人所得税</v>
      </c>
      <c r="L55" s="3591"/>
      <c r="M55" s="2528" t="e">
        <f ca="1">D59</f>
        <v>#REF!</v>
      </c>
      <c r="N55" s="2040" t="str">
        <f>E59</f>
        <v>差额计税</v>
      </c>
      <c r="O55" s="2529">
        <f>F59</f>
        <v>0.01</v>
      </c>
    </row>
    <row r="56" spans="1:35" ht="25.2">
      <c r="A56" s="3651" t="s">
        <v>1363</v>
      </c>
      <c r="B56" s="3629"/>
      <c r="C56" s="3629"/>
      <c r="D56" s="2324" t="e">
        <f ca="1">IF(H56="个人住宅",D57,D58)</f>
        <v>#REF!</v>
      </c>
      <c r="E56" s="2334" t="s">
        <v>1364</v>
      </c>
      <c r="F56" s="2554" t="str">
        <f>IF(H56="正常",F58,"免征")</f>
        <v>免征</v>
      </c>
      <c r="G56" s="2557" t="s">
        <v>1365</v>
      </c>
      <c r="H56" s="2558"/>
      <c r="I56" s="1808"/>
      <c r="J56" s="2523" t="str">
        <f>IF(项目基本情况!K6="上海银行",IF(J55="",4,J55+1),"")</f>
        <v/>
      </c>
      <c r="K56" s="3572" t="str">
        <f>IF(项目基本情况!K6="上海银行","其他处置费用","")</f>
        <v/>
      </c>
      <c r="L56" s="3573"/>
      <c r="M56" s="2525" t="str">
        <f>IF(项目基本情况!K6="上海银行",M69,"")</f>
        <v/>
      </c>
      <c r="N56" s="3572" t="str">
        <f>IF(项目基本情况!K6="上海银行","包含处置中涉及的律师、诉讼、拍卖、评估等费用","")</f>
        <v/>
      </c>
      <c r="O56" s="3575"/>
    </row>
    <row r="57" spans="1:35" ht="13.2">
      <c r="A57" s="2335" t="s">
        <v>1341</v>
      </c>
      <c r="B57" s="3615" t="s">
        <v>1366</v>
      </c>
      <c r="C57" s="3616"/>
      <c r="D57" s="1590">
        <v>0</v>
      </c>
      <c r="E57" s="324" t="s">
        <v>1343</v>
      </c>
      <c r="F57" s="302"/>
      <c r="G57" s="2555"/>
      <c r="H57" s="2559"/>
      <c r="I57" s="1808"/>
      <c r="J57" s="3591">
        <f>IF(AND(J55="",J56=""),4,IF(项目基本情况!K6="上海银行",结果表!J56+1,结果表!J55+1))</f>
        <v>5</v>
      </c>
      <c r="K57" s="3591" t="s">
        <v>1367</v>
      </c>
      <c r="L57" s="2530" t="s">
        <v>1368</v>
      </c>
      <c r="M57" s="2531"/>
      <c r="N57" s="2532">
        <f ca="1">SUMIF(M52:M56,"&lt;9e307")</f>
        <v>0</v>
      </c>
      <c r="O57" s="2533"/>
      <c r="P57" s="2690" t="e">
        <f ca="1">N57/M49</f>
        <v>#VALUE!</v>
      </c>
    </row>
    <row r="58" spans="1:35" ht="25.2">
      <c r="A58" s="2335" t="s">
        <v>1352</v>
      </c>
      <c r="B58" s="3615" t="s">
        <v>1369</v>
      </c>
      <c r="C58" s="3614"/>
      <c r="D58" s="2324" t="e">
        <f ca="1">IF(H58="转让取得",C81,C97)</f>
        <v>#REF!</v>
      </c>
      <c r="E58" s="2334" t="s">
        <v>1364</v>
      </c>
      <c r="F58" s="302" t="s">
        <v>28</v>
      </c>
      <c r="G58" s="2555"/>
      <c r="H58" s="2558"/>
      <c r="I58" s="1808"/>
      <c r="J58" s="3591"/>
      <c r="K58" s="3591"/>
      <c r="L58" s="2530" t="s">
        <v>1370</v>
      </c>
      <c r="M58" s="2534"/>
      <c r="N58" s="2535" t="str">
        <f ca="1">NUMBERSTRING(INT(N57*10000),2)&amp;"元整"</f>
        <v>零元整</v>
      </c>
      <c r="O58" s="2536"/>
    </row>
    <row r="59" spans="1:35" ht="24.6" thickBot="1">
      <c r="A59" s="3595" t="s">
        <v>1371</v>
      </c>
      <c r="B59" s="3596"/>
      <c r="C59" s="359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3">
        <f>J57+1</f>
        <v>6</v>
      </c>
      <c r="K59" s="3591" t="s">
        <v>1372</v>
      </c>
      <c r="L59" s="2523" t="s">
        <v>1368</v>
      </c>
      <c r="M59" s="2537"/>
      <c r="N59" s="2538" t="e">
        <f ca="1">M49-N57</f>
        <v>#VALUE!</v>
      </c>
      <c r="O59" s="2539"/>
    </row>
    <row r="60" spans="1:35" ht="12" customHeight="1">
      <c r="A60" s="1809"/>
      <c r="B60" s="1747"/>
      <c r="C60" s="1747"/>
      <c r="D60" s="1747"/>
      <c r="E60" s="1578"/>
      <c r="F60" s="1808"/>
      <c r="G60" s="1808"/>
      <c r="H60" s="1810"/>
      <c r="I60" s="129"/>
      <c r="J60" s="3594"/>
      <c r="K60" s="3591"/>
      <c r="L60" s="2530" t="s">
        <v>1370</v>
      </c>
      <c r="M60" s="2534"/>
      <c r="N60" s="2535" t="e">
        <f ca="1">NUMBERSTRING(INT(N59*10000),2)&amp;"元整"</f>
        <v>#VALUE!</v>
      </c>
      <c r="O60" s="2536"/>
    </row>
    <row r="61" spans="1:35" ht="13.8" thickBot="1">
      <c r="A61" s="3650" t="s">
        <v>1373</v>
      </c>
      <c r="B61" s="3650"/>
      <c r="C61" s="3650"/>
      <c r="D61" s="3650"/>
      <c r="E61" s="3650"/>
      <c r="F61" s="1808"/>
      <c r="G61" s="1808"/>
      <c r="H61" s="1810"/>
      <c r="I61" s="129"/>
      <c r="J61" s="2523">
        <f>J59+1</f>
        <v>7</v>
      </c>
      <c r="K61" s="3591" t="s">
        <v>1374</v>
      </c>
      <c r="L61" s="3591"/>
      <c r="M61" s="2540"/>
      <c r="N61" s="2541" t="e">
        <f ca="1">ROUND(N59*10000/'数据-汇总表'!E3,0)</f>
        <v>#VALUE!</v>
      </c>
      <c r="O61" s="2542"/>
    </row>
    <row r="62" spans="1:35" ht="13.2">
      <c r="A62" s="3610" t="s">
        <v>1375</v>
      </c>
      <c r="B62" s="361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7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8" t="s">
        <v>1394</v>
      </c>
      <c r="B70" s="3619"/>
      <c r="C70" s="3619"/>
      <c r="D70" s="3619"/>
      <c r="E70" s="3619"/>
      <c r="F70" s="3619"/>
      <c r="G70" s="3619"/>
      <c r="H70" s="361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0" t="s">
        <v>1375</v>
      </c>
      <c r="B71" s="361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5" t="s">
        <v>1402</v>
      </c>
      <c r="F76" s="3614"/>
      <c r="G76" s="3614"/>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07" t="s">
        <v>1406</v>
      </c>
      <c r="F78" s="3608"/>
      <c r="G78" s="3608"/>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0" t="s">
        <v>1375</v>
      </c>
      <c r="B84" s="361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6" t="s">
        <v>2129</v>
      </c>
      <c r="H90" s="357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7" t="s">
        <v>1419</v>
      </c>
      <c r="F91" s="3608"/>
      <c r="G91" s="360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7" t="s">
        <v>1422</v>
      </c>
      <c r="F92" s="3608"/>
      <c r="G92" s="3608"/>
      <c r="H92" s="360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07" t="s">
        <v>1406</v>
      </c>
      <c r="F93" s="3608"/>
      <c r="G93" s="3608"/>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2" t="s">
        <v>1426</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5">
        <f>C4</f>
        <v>0</v>
      </c>
      <c r="D101" s="2586">
        <f>D4</f>
        <v>0</v>
      </c>
      <c r="E101" s="3570" t="s">
        <v>1431</v>
      </c>
      <c r="F101" s="3571"/>
      <c r="G101" s="1827" t="s">
        <v>1432</v>
      </c>
      <c r="H101" s="2595" t="e">
        <f ca="1">H118</f>
        <v>#REF!</v>
      </c>
      <c r="I101" s="129"/>
    </row>
    <row r="102" spans="1:35" ht="18.75" customHeight="1">
      <c r="A102" s="3602" t="s">
        <v>1433</v>
      </c>
      <c r="B102" s="2584" t="s">
        <v>1432</v>
      </c>
      <c r="C102" s="2585" t="e">
        <f ca="1">IF(D32="楼面单价",ROUND(C19,0),C19)</f>
        <v>#REF!</v>
      </c>
      <c r="D102" s="2586" t="e">
        <f ca="1">IF(D32="楼面单价",ROUND(D19,0),D19)</f>
        <v>#REF!</v>
      </c>
      <c r="E102" s="3570"/>
      <c r="F102" s="3571"/>
      <c r="G102" s="1827" t="s">
        <v>1434</v>
      </c>
      <c r="H102" s="2555" t="e">
        <f ca="1">I118</f>
        <v>#REF!</v>
      </c>
      <c r="I102" s="129"/>
    </row>
    <row r="103" spans="1:35" ht="42.75" customHeight="1">
      <c r="A103" s="3602"/>
      <c r="B103" s="2584" t="s">
        <v>1434</v>
      </c>
      <c r="C103" s="2587" t="e">
        <f ca="1">C20</f>
        <v>#REF!</v>
      </c>
      <c r="D103" s="2588" t="e">
        <f ca="1">D20</f>
        <v>#REF!</v>
      </c>
      <c r="E103" s="3563" t="s">
        <v>1435</v>
      </c>
      <c r="F103" s="3564"/>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3" t="str">
        <f>IF(项目基本情况!E8="已注销","——","3.房地产抵押价值")</f>
        <v>3.房地产抵押价值</v>
      </c>
      <c r="F107" s="3571"/>
      <c r="G107" s="1827" t="s">
        <v>1432</v>
      </c>
      <c r="H107" s="2595" t="e">
        <f ca="1">IF(E107="——","——",H101-H103)</f>
        <v>#REF!</v>
      </c>
      <c r="I107" s="129"/>
    </row>
    <row r="108" spans="1:35" ht="18.75" customHeight="1">
      <c r="A108" s="129"/>
      <c r="B108" s="129"/>
      <c r="C108" s="129"/>
      <c r="D108" s="129"/>
      <c r="E108" s="3603"/>
      <c r="F108" s="3571"/>
      <c r="G108" s="1827" t="s">
        <v>1434</v>
      </c>
      <c r="H108" s="2555">
        <f ca="1">IF(H107=H101,H102,ROUND(H107*10000/'数据-汇总表'!E3,0))</f>
        <v>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7" t="s">
        <v>1432</v>
      </c>
      <c r="H109" s="2598" t="str">
        <f>IF(E109="——","——",H101-H105-H106)</f>
        <v>——</v>
      </c>
      <c r="I109" s="129"/>
    </row>
    <row r="110" spans="1:35" ht="18.75" customHeight="1">
      <c r="A110" s="129"/>
      <c r="B110" s="129"/>
      <c r="C110" s="129"/>
      <c r="D110" s="129"/>
      <c r="E110" s="3603"/>
      <c r="F110" s="3571"/>
      <c r="G110" s="1827" t="s">
        <v>1434</v>
      </c>
      <c r="H110" s="2555"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05"/>
      <c r="F112" s="3606"/>
      <c r="G112" s="1830" t="s">
        <v>1434</v>
      </c>
      <c r="H112" s="2599"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2464.7399999999998</v>
      </c>
      <c r="C118" s="2329">
        <f>M19</f>
        <v>3333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8" t="s">
        <v>1452</v>
      </c>
      <c r="B119" s="3578"/>
      <c r="C119" s="3578"/>
      <c r="D119" s="3584" t="e">
        <f ca="1">NUMBERSTRING(INT(D118*10000),2)&amp;"元整"</f>
        <v>#REF!</v>
      </c>
      <c r="E119" s="3585"/>
      <c r="F119" s="3584" t="e">
        <f ca="1">NUMBERSTRING(INT(F118*10000),2)&amp;"元整"</f>
        <v>#REF!</v>
      </c>
      <c r="G119" s="3585"/>
      <c r="H119" s="3584" t="e">
        <f ca="1">NUMBERSTRING(INT(H118*10000),2)&amp;"元整"</f>
        <v>#REF!</v>
      </c>
      <c r="I119" s="3585"/>
    </row>
    <row r="120" spans="1:27" ht="18.75" customHeight="1">
      <c r="A120" s="3579" t="str">
        <f>IF(项目基本情况!B9="房地产市场价值","",MID(E103,3,LEN(E103)-2))</f>
        <v/>
      </c>
      <c r="B120" s="3580"/>
      <c r="C120" s="3581"/>
      <c r="D120" s="3579">
        <f>H103</f>
        <v>0</v>
      </c>
      <c r="E120" s="3580"/>
      <c r="F120" s="3580"/>
      <c r="G120" s="3580"/>
      <c r="H120" s="3580"/>
      <c r="I120" s="358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
      </c>
      <c r="B122" s="3590"/>
      <c r="C122" s="3590"/>
      <c r="D122" s="3579" t="e">
        <f ca="1">H107</f>
        <v>#REF!</v>
      </c>
      <c r="E122" s="3580"/>
      <c r="F122" s="3580"/>
      <c r="G122" s="3580"/>
      <c r="H122" s="3580"/>
      <c r="I122" s="3581"/>
      <c r="AA122" s="725"/>
    </row>
    <row r="123" spans="1:27" ht="18.75" customHeight="1">
      <c r="A123" s="3578" t="s">
        <v>1452</v>
      </c>
      <c r="B123" s="3578"/>
      <c r="C123" s="3578"/>
      <c r="D123" s="3584" t="e">
        <f ca="1">NUMBERSTRING(INT(D122*10000),2)&amp;"元整"</f>
        <v>#REF!</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北京市房地产市场价值预评估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K11"/>
  <sheetViews>
    <sheetView tabSelected="1" workbookViewId="0">
      <selection activeCell="E9" sqref="E9"/>
    </sheetView>
  </sheetViews>
  <sheetFormatPr defaultRowHeight="14.4"/>
  <cols>
    <col min="3" max="3" width="23.33203125" customWidth="1"/>
    <col min="10" max="10" width="12" customWidth="1"/>
  </cols>
  <sheetData>
    <row r="1" spans="3:11">
      <c r="D1" s="3470" t="s">
        <v>3445</v>
      </c>
      <c r="E1" s="3470" t="s">
        <v>3440</v>
      </c>
      <c r="F1" s="3470" t="s">
        <v>3441</v>
      </c>
      <c r="G1" s="3470" t="s">
        <v>3442</v>
      </c>
      <c r="H1" s="3470" t="s">
        <v>3443</v>
      </c>
      <c r="I1" s="3470" t="s">
        <v>3444</v>
      </c>
      <c r="J1" s="3470" t="s">
        <v>3446</v>
      </c>
    </row>
    <row r="2" spans="3:11">
      <c r="C2" s="3470" t="s">
        <v>3439</v>
      </c>
      <c r="D2" s="3470">
        <f>'数据-汇总表'!E19</f>
        <v>1220.99</v>
      </c>
      <c r="E2">
        <f ca="1">'收益法 -办公楼1'!B3</f>
        <v>4079</v>
      </c>
      <c r="F2" s="3471">
        <v>0.3</v>
      </c>
      <c r="G2">
        <f ca="1">'成本法-办公楼1'!B3</f>
        <v>5118</v>
      </c>
      <c r="H2" s="3471">
        <f>1-F2</f>
        <v>0.7</v>
      </c>
      <c r="I2">
        <f ca="1">ROUND(E2*F2+G2*H2,0)</f>
        <v>4806</v>
      </c>
      <c r="J2">
        <f ca="1">ROUND(D2*I2,0)</f>
        <v>5868078</v>
      </c>
    </row>
    <row r="3" spans="3:11">
      <c r="C3" s="3470" t="s">
        <v>3451</v>
      </c>
      <c r="D3" s="3470">
        <f>'数据-汇总表'!E20</f>
        <v>1243.75</v>
      </c>
      <c r="E3">
        <f ca="1">'收益法-仓库5.6'!B3</f>
        <v>2073</v>
      </c>
      <c r="F3" s="3471">
        <v>0.3</v>
      </c>
      <c r="G3">
        <f ca="1">'成本法-仓库5.6'!B3</f>
        <v>3171</v>
      </c>
      <c r="H3" s="3471">
        <f>1-F3</f>
        <v>0.7</v>
      </c>
      <c r="I3">
        <f ca="1">ROUND(E3*F3+G3*H3,0)</f>
        <v>2842</v>
      </c>
      <c r="J3">
        <f ca="1">ROUND(D3*I3,0)</f>
        <v>3534738</v>
      </c>
    </row>
    <row r="4" spans="3:11">
      <c r="C4" s="3470" t="s">
        <v>3452</v>
      </c>
      <c r="D4">
        <f>[2]汇总表!$D$2</f>
        <v>378.96000000000004</v>
      </c>
      <c r="E4">
        <f>[2]汇总表!$E$2</f>
        <v>2169</v>
      </c>
      <c r="F4" s="3471">
        <f>F2</f>
        <v>0.3</v>
      </c>
      <c r="G4">
        <f>[2]汇总表!$G$2</f>
        <v>3015</v>
      </c>
      <c r="H4" s="3471">
        <f>H2</f>
        <v>0.7</v>
      </c>
      <c r="I4">
        <f t="shared" ref="I4:I5" si="0">ROUND(E4*F4+G4*H4,0)</f>
        <v>2761</v>
      </c>
      <c r="J4">
        <f t="shared" ref="J4:J5" si="1">ROUND(D4*I4,0)</f>
        <v>1046309</v>
      </c>
    </row>
    <row r="5" spans="3:11">
      <c r="C5" s="3470" t="s">
        <v>3453</v>
      </c>
      <c r="D5">
        <f>[2]汇总表!$D$3</f>
        <v>537.48</v>
      </c>
      <c r="E5">
        <f>[2]汇总表!$E$3</f>
        <v>1940</v>
      </c>
      <c r="F5" s="3471">
        <f>F2</f>
        <v>0.3</v>
      </c>
      <c r="G5">
        <f>[2]汇总表!$G$3</f>
        <v>3120</v>
      </c>
      <c r="H5" s="3471">
        <f>H2</f>
        <v>0.7</v>
      </c>
      <c r="I5">
        <f t="shared" si="0"/>
        <v>2766</v>
      </c>
      <c r="J5">
        <f t="shared" si="1"/>
        <v>1486670</v>
      </c>
    </row>
    <row r="6" spans="3:11">
      <c r="D6">
        <f>SUM(D2:D5)</f>
        <v>3381.18</v>
      </c>
      <c r="I6" s="3470" t="s">
        <v>3454</v>
      </c>
      <c r="J6">
        <f ca="1">SUM(J2:J5)</f>
        <v>11935795</v>
      </c>
    </row>
    <row r="7" spans="3:11">
      <c r="I7" s="3470" t="s">
        <v>3455</v>
      </c>
      <c r="J7">
        <f>[3]结果汇总表!$N$10</f>
        <v>8554393</v>
      </c>
    </row>
    <row r="8" spans="3:11">
      <c r="I8" s="3470" t="s">
        <v>3456</v>
      </c>
      <c r="J8">
        <f ca="1">J6-J7</f>
        <v>3381402</v>
      </c>
    </row>
    <row r="9" spans="3:11">
      <c r="J9" s="3473">
        <f ca="1">J8/J7</f>
        <v>0.395282517415321</v>
      </c>
      <c r="K9" s="3471">
        <v>0.5</v>
      </c>
    </row>
    <row r="10" spans="3:11">
      <c r="I10" s="3470" t="s">
        <v>3457</v>
      </c>
      <c r="J10" s="3471">
        <v>0.3</v>
      </c>
    </row>
    <row r="11" spans="3:11">
      <c r="I11" s="3470" t="s">
        <v>3458</v>
      </c>
      <c r="J11">
        <f ca="1">J8*J10</f>
        <v>1014420.6</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51" sqref="F5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3413</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394.4228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3171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1237309</v>
      </c>
      <c r="D5" s="211" t="s">
        <v>1469</v>
      </c>
      <c r="E5" s="212" t="s">
        <v>1470</v>
      </c>
      <c r="F5" s="212" t="s">
        <v>1471</v>
      </c>
      <c r="G5" s="213"/>
    </row>
    <row r="6" spans="1:8" s="214" customFormat="1" ht="13.5" customHeight="1">
      <c r="A6" s="778" t="s">
        <v>1472</v>
      </c>
      <c r="B6" s="215" t="s">
        <v>1473</v>
      </c>
      <c r="C6" s="216">
        <f ca="1">ROUND(基准地价修正!C33*'成本法-仓库5.6'!D10,0)</f>
        <v>971369</v>
      </c>
      <c r="D6" s="217"/>
      <c r="E6" s="218"/>
      <c r="F6" s="218"/>
      <c r="G6" s="219"/>
    </row>
    <row r="7" spans="1:8" s="214" customFormat="1" ht="13.5" customHeight="1">
      <c r="A7" s="778" t="s">
        <v>1474</v>
      </c>
      <c r="B7" s="215" t="s">
        <v>1475</v>
      </c>
      <c r="C7" s="220">
        <f ca="1">ROUND(C6*F7,0)</f>
        <v>29627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236313</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236313</v>
      </c>
      <c r="D10" s="845">
        <f ca="1">IF(B1="",'数据-汇总表'!E6,IF(INDIRECT("'数据-取费表'!c"&amp;$G$1)="住宅",INDIRECT("'数据-取费表'!s"&amp;$G$1),INDIRECT("'数据-取费表'!k"&amp;$G$1)+INDIRECT("'数据-取费表'!s"&amp;$G$1)))</f>
        <v>1243.75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1243.75</v>
      </c>
      <c r="E19" s="211">
        <f>'数据-取费表'!B31</f>
        <v>200</v>
      </c>
      <c r="F19" s="231"/>
      <c r="G19" s="1856" t="s">
        <v>3436</v>
      </c>
    </row>
    <row r="20" spans="1:7" s="214" customFormat="1" ht="13.5" customHeight="1">
      <c r="A20" s="255" t="s">
        <v>1574</v>
      </c>
      <c r="B20" s="210" t="s">
        <v>1575</v>
      </c>
      <c r="C20" s="232">
        <f ca="1">ROUND((C5+C19)*F20,0)</f>
        <v>24746</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82409</v>
      </c>
      <c r="D22" s="235">
        <f ca="1">C26</f>
        <v>1.6000000000000001E-3</v>
      </c>
      <c r="E22" s="236" t="s">
        <v>1579</v>
      </c>
      <c r="F22" s="237">
        <f ca="1">'数据-取费表'!B40</f>
        <v>4.3499999999999997E-2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81606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803</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6.4">
      <c r="A27" s="255" t="s">
        <v>1512</v>
      </c>
      <c r="B27" s="244" t="s">
        <v>1513</v>
      </c>
      <c r="C27" s="245">
        <f ca="1">C28</f>
        <v>126206</v>
      </c>
      <c r="D27" s="235">
        <f ca="1">C29</f>
        <v>5.0000000000000001E-3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126206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1650584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2356907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1865625</v>
      </c>
      <c r="D34" s="217"/>
      <c r="E34" s="220"/>
      <c r="F34" s="257"/>
      <c r="G34" s="219"/>
    </row>
    <row r="35" spans="1:7" ht="13.5" customHeight="1">
      <c r="A35" s="780" t="s">
        <v>351</v>
      </c>
      <c r="B35" s="215" t="s">
        <v>1527</v>
      </c>
      <c r="C35" s="220">
        <f ca="1">ROUND(C34*F35,0)</f>
        <v>186563</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248750</v>
      </c>
      <c r="D37" s="217">
        <f ca="1">D19</f>
        <v>1243.75</v>
      </c>
      <c r="E37" s="249">
        <f>'数据-取费表'!B35</f>
        <v>200</v>
      </c>
      <c r="F37" s="259"/>
      <c r="G37" s="261"/>
    </row>
    <row r="38" spans="1:7" ht="13.5" customHeight="1">
      <c r="A38" s="780" t="s">
        <v>354</v>
      </c>
      <c r="B38" s="215" t="s">
        <v>1533</v>
      </c>
      <c r="C38" s="220">
        <f ca="1">ROUND(C34*F38,0)</f>
        <v>55969</v>
      </c>
      <c r="D38" s="220"/>
      <c r="E38" s="220"/>
      <c r="F38" s="259">
        <f>'数据-取费表'!B36</f>
        <v>0.03</v>
      </c>
      <c r="G38" s="219" t="s">
        <v>1528</v>
      </c>
    </row>
    <row r="39" spans="1:7" s="214" customFormat="1" ht="13.5" customHeight="1">
      <c r="A39" s="255" t="s">
        <v>1534</v>
      </c>
      <c r="B39" s="210" t="s">
        <v>1535</v>
      </c>
      <c r="C39" s="232">
        <f ca="1">ROUND(C33*F20,0)</f>
        <v>47138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51731</v>
      </c>
      <c r="D41" s="235">
        <f ca="1">C44</f>
        <v>1.1000000000000001E-3</v>
      </c>
      <c r="E41" s="236" t="s">
        <v>1539</v>
      </c>
      <c r="F41" s="237">
        <f ca="1">F22</f>
        <v>4.3499999999999997E-2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50717</v>
      </c>
      <c r="D42" s="238"/>
      <c r="E42" s="238"/>
      <c r="F42" s="239"/>
      <c r="G42" s="3657" t="s">
        <v>1591</v>
      </c>
    </row>
    <row r="43" spans="1:7" ht="13.5" customHeight="1">
      <c r="A43" s="780" t="s">
        <v>347</v>
      </c>
      <c r="B43" s="215" t="s">
        <v>1545</v>
      </c>
      <c r="C43" s="238">
        <f ca="1">ROUND(IF('数据-取费表'!B22&lt;=1,C39*F22*'数据-取费表'!B20/2,C39*(POWER((1+F22),'数据-取费表'!B20/2)-1)),0)</f>
        <v>1014</v>
      </c>
      <c r="D43" s="238"/>
      <c r="E43" s="238"/>
      <c r="F43" s="239"/>
      <c r="G43" s="3658"/>
    </row>
    <row r="44" spans="1:7" ht="13.5" customHeight="1">
      <c r="A44" s="780" t="s">
        <v>348</v>
      </c>
      <c r="B44" s="215" t="s">
        <v>1546</v>
      </c>
      <c r="C44" s="238">
        <f ca="1">ROUND(IF('数据-取费表'!B22&lt;=1,C40*F22*'数据-取费表'!B20/2,C40*(POWER((1+F22),'数据-取费表'!B20/2)-1)),4)</f>
        <v>1.1000000000000001E-3</v>
      </c>
      <c r="D44" s="238"/>
      <c r="E44" s="238"/>
      <c r="F44" s="239"/>
      <c r="G44" s="3659"/>
    </row>
    <row r="45" spans="1:7" s="214" customFormat="1" ht="13.5" customHeight="1">
      <c r="A45" s="255" t="s">
        <v>1547</v>
      </c>
      <c r="B45" s="244" t="s">
        <v>1513</v>
      </c>
      <c r="C45" s="245">
        <f ca="1">C46</f>
        <v>240405</v>
      </c>
      <c r="D45" s="235">
        <f ca="1">C47</f>
        <v>5.0000000000000001E-3</v>
      </c>
      <c r="E45" s="236" t="s">
        <v>1539</v>
      </c>
      <c r="F45" s="246">
        <f ca="1">F27</f>
        <v>0.1</v>
      </c>
      <c r="G45" s="247" t="s">
        <v>1548</v>
      </c>
    </row>
    <row r="46" spans="1:7" s="214" customFormat="1" ht="13.5" customHeight="1">
      <c r="A46" s="780" t="s">
        <v>346</v>
      </c>
      <c r="B46" s="248" t="s">
        <v>1549</v>
      </c>
      <c r="C46" s="249">
        <f ca="1">ROUND((C33+C39)*F27,0)</f>
        <v>240405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3024320</v>
      </c>
      <c r="D49" s="232"/>
      <c r="E49" s="232"/>
      <c r="F49" s="264"/>
      <c r="G49" s="234" t="s">
        <v>1554</v>
      </c>
    </row>
    <row r="50" spans="1:7" s="258" customFormat="1">
      <c r="A50" s="255" t="s">
        <v>1555</v>
      </c>
      <c r="B50" s="210" t="s">
        <v>1556</v>
      </c>
      <c r="C50" s="232"/>
      <c r="D50" s="232"/>
      <c r="E50" s="232"/>
      <c r="F50" s="264">
        <f>'数据-取费表'!Y7</f>
        <v>0.75839999999999996</v>
      </c>
      <c r="G50" s="247"/>
    </row>
    <row r="51" spans="1:7" ht="16.5" customHeight="1">
      <c r="A51" s="255" t="s">
        <v>1558</v>
      </c>
      <c r="B51" s="210" t="s">
        <v>1593</v>
      </c>
      <c r="C51" s="232">
        <f ca="1">ROUND(C49*F50,0)</f>
        <v>2293644</v>
      </c>
      <c r="D51" s="232"/>
      <c r="E51" s="232"/>
      <c r="F51" s="264"/>
      <c r="G51" s="234" t="s">
        <v>1560</v>
      </c>
    </row>
    <row r="52" spans="1:7" s="208" customFormat="1" ht="16.8" thickBot="1">
      <c r="A52" s="265" t="s">
        <v>1561</v>
      </c>
      <c r="B52" s="266"/>
      <c r="C52" s="267">
        <f ca="1">C31+C51</f>
        <v>3944228</v>
      </c>
      <c r="D52" s="266"/>
      <c r="E52" s="266"/>
      <c r="F52" s="266"/>
      <c r="G52" s="268"/>
    </row>
    <row r="55" spans="1:7" ht="15">
      <c r="B55" s="270" t="s">
        <v>1562</v>
      </c>
      <c r="C55" s="271"/>
    </row>
    <row r="56" spans="1:7">
      <c r="B56" s="273" t="s">
        <v>802</v>
      </c>
      <c r="C56" s="275">
        <f ca="1">1-C57</f>
        <v>0.41800000000000004</v>
      </c>
    </row>
    <row r="57" spans="1:7">
      <c r="B57" s="273" t="s">
        <v>803</v>
      </c>
      <c r="C57" s="274">
        <f ca="1">ROUND(C51/C52,3)</f>
        <v>0.58199999999999996</v>
      </c>
    </row>
  </sheetData>
  <sheetProtection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4" sqref="K3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3410</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624.9461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5118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1214666</v>
      </c>
      <c r="D5" s="211" t="s">
        <v>1469</v>
      </c>
      <c r="E5" s="212" t="s">
        <v>1470</v>
      </c>
      <c r="F5" s="212" t="s">
        <v>1471</v>
      </c>
      <c r="G5" s="213"/>
    </row>
    <row r="6" spans="1:8" s="214" customFormat="1" ht="13.5" customHeight="1">
      <c r="A6" s="778" t="s">
        <v>1472</v>
      </c>
      <c r="B6" s="215" t="s">
        <v>1473</v>
      </c>
      <c r="C6" s="216">
        <f ca="1">ROUND(基准地价修正!C33*'成本法-办公楼1'!D10,0)</f>
        <v>953593</v>
      </c>
      <c r="D6" s="217"/>
      <c r="E6" s="218"/>
      <c r="F6" s="218"/>
      <c r="G6" s="219"/>
    </row>
    <row r="7" spans="1:8" s="214" customFormat="1" ht="13.5" customHeight="1">
      <c r="A7" s="778" t="s">
        <v>1474</v>
      </c>
      <c r="B7" s="215" t="s">
        <v>1475</v>
      </c>
      <c r="C7" s="220">
        <f ca="1">ROUND(C6*F7,0)</f>
        <v>29085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231988</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231988</v>
      </c>
      <c r="D10" s="845">
        <f ca="1">IF(B1="",'数据-汇总表'!E6,IF(INDIRECT("'数据-取费表'!c"&amp;$G$1)="住宅",INDIRECT("'数据-取费表'!s"&amp;$G$1),INDIRECT("'数据-取费表'!k"&amp;$G$1)+INDIRECT("'数据-取费表'!s"&amp;$G$1)))</f>
        <v>1220.99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1220.99</v>
      </c>
      <c r="E19" s="211">
        <f>'数据-取费表'!B31</f>
        <v>200</v>
      </c>
      <c r="F19" s="231"/>
      <c r="G19" s="1856" t="s">
        <v>3436</v>
      </c>
    </row>
    <row r="20" spans="1:7" s="214" customFormat="1" ht="13.5" customHeight="1">
      <c r="A20" s="255" t="s">
        <v>1574</v>
      </c>
      <c r="B20" s="210" t="s">
        <v>1575</v>
      </c>
      <c r="C20" s="232">
        <f ca="1">ROUND((C5+C19)*F20,0)</f>
        <v>24293</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80901</v>
      </c>
      <c r="D22" s="235">
        <f ca="1">C26</f>
        <v>1.6000000000000001E-3</v>
      </c>
      <c r="E22" s="236" t="s">
        <v>1579</v>
      </c>
      <c r="F22" s="237">
        <f ca="1">'数据-取费表'!B40</f>
        <v>4.3499999999999997E-2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80113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788</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6.4">
      <c r="A27" s="255" t="s">
        <v>1512</v>
      </c>
      <c r="B27" s="244" t="s">
        <v>1513</v>
      </c>
      <c r="C27" s="245">
        <f ca="1">C28</f>
        <v>185844</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185844</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1694658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4107410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3418772</v>
      </c>
      <c r="D34" s="217"/>
      <c r="E34" s="220"/>
      <c r="F34" s="257"/>
      <c r="G34" s="219"/>
    </row>
    <row r="35" spans="1:7" ht="13.5" customHeight="1">
      <c r="A35" s="780" t="s">
        <v>351</v>
      </c>
      <c r="B35" s="215" t="s">
        <v>1527</v>
      </c>
      <c r="C35" s="220">
        <f ca="1">ROUND(C34*F35,0)</f>
        <v>341877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244198</v>
      </c>
      <c r="D37" s="217">
        <f ca="1">D19</f>
        <v>1220.99</v>
      </c>
      <c r="E37" s="249">
        <f>'数据-取费表'!B35</f>
        <v>200</v>
      </c>
      <c r="F37" s="259"/>
      <c r="G37" s="261"/>
    </row>
    <row r="38" spans="1:7" ht="13.5" customHeight="1">
      <c r="A38" s="780" t="s">
        <v>354</v>
      </c>
      <c r="B38" s="215" t="s">
        <v>1533</v>
      </c>
      <c r="C38" s="220">
        <f ca="1">ROUND(C34*F38,0)</f>
        <v>102563</v>
      </c>
      <c r="D38" s="220"/>
      <c r="E38" s="220"/>
      <c r="F38" s="259">
        <f>'数据-取费表'!B36</f>
        <v>0.03</v>
      </c>
      <c r="G38" s="219" t="s">
        <v>1528</v>
      </c>
    </row>
    <row r="39" spans="1:7" s="214" customFormat="1" ht="13.5" customHeight="1">
      <c r="A39" s="255" t="s">
        <v>1534</v>
      </c>
      <c r="B39" s="210" t="s">
        <v>1535</v>
      </c>
      <c r="C39" s="232">
        <f ca="1">ROUND(C33*F20,0)</f>
        <v>82148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90153</v>
      </c>
      <c r="D41" s="235">
        <f ca="1">C44</f>
        <v>1.1000000000000001E-3</v>
      </c>
      <c r="E41" s="236" t="s">
        <v>1539</v>
      </c>
      <c r="F41" s="237">
        <f ca="1">F22</f>
        <v>4.3499999999999997E-2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88385</v>
      </c>
      <c r="D42" s="238"/>
      <c r="E42" s="238"/>
      <c r="F42" s="239"/>
      <c r="G42" s="3657" t="s">
        <v>1591</v>
      </c>
    </row>
    <row r="43" spans="1:7" ht="13.5" customHeight="1">
      <c r="A43" s="780" t="s">
        <v>347</v>
      </c>
      <c r="B43" s="215" t="s">
        <v>1545</v>
      </c>
      <c r="C43" s="238">
        <f ca="1">ROUND(IF('数据-取费表'!B22&lt;=1,C39*F22*'数据-取费表'!B20/2,C39*(POWER((1+F22),'数据-取费表'!B20/2)-1)),0)</f>
        <v>1768</v>
      </c>
      <c r="D43" s="238"/>
      <c r="E43" s="238"/>
      <c r="F43" s="239"/>
      <c r="G43" s="3658"/>
    </row>
    <row r="44" spans="1:7" ht="13.5" customHeight="1">
      <c r="A44" s="780" t="s">
        <v>348</v>
      </c>
      <c r="B44" s="215" t="s">
        <v>1546</v>
      </c>
      <c r="C44" s="238">
        <f ca="1">ROUND(IF('数据-取费表'!B22&lt;=1,C40*F22*'数据-取费表'!B20/2,C40*(POWER((1+F22),'数据-取费表'!B20/2)-1)),4)</f>
        <v>1.1000000000000001E-3</v>
      </c>
      <c r="D44" s="238"/>
      <c r="E44" s="238"/>
      <c r="F44" s="239"/>
      <c r="G44" s="3659"/>
    </row>
    <row r="45" spans="1:7" s="214" customFormat="1" ht="13.5" customHeight="1">
      <c r="A45" s="255" t="s">
        <v>1547</v>
      </c>
      <c r="B45" s="244" t="s">
        <v>1513</v>
      </c>
      <c r="C45" s="245">
        <f ca="1">C46</f>
        <v>628434</v>
      </c>
      <c r="D45" s="235">
        <f ca="1">C47</f>
        <v>7.4999999999999997E-3</v>
      </c>
      <c r="E45" s="236" t="s">
        <v>1539</v>
      </c>
      <c r="F45" s="246">
        <f ca="1">F27</f>
        <v>0.15</v>
      </c>
      <c r="G45" s="247" t="s">
        <v>1548</v>
      </c>
    </row>
    <row r="46" spans="1:7" s="214" customFormat="1" ht="13.5" customHeight="1">
      <c r="A46" s="780" t="s">
        <v>346</v>
      </c>
      <c r="B46" s="248" t="s">
        <v>1549</v>
      </c>
      <c r="C46" s="249">
        <f ca="1">ROUND((C33+C39)*F27,0)</f>
        <v>628434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5520973</v>
      </c>
      <c r="D49" s="232"/>
      <c r="E49" s="232"/>
      <c r="F49" s="264"/>
      <c r="G49" s="234" t="s">
        <v>1554</v>
      </c>
    </row>
    <row r="50" spans="1:7" s="258" customFormat="1">
      <c r="A50" s="255" t="s">
        <v>1555</v>
      </c>
      <c r="B50" s="210" t="s">
        <v>1556</v>
      </c>
      <c r="C50" s="232"/>
      <c r="D50" s="232"/>
      <c r="E50" s="232"/>
      <c r="F50" s="264">
        <f>'数据-取费表'!Y6</f>
        <v>0.82499999999999996</v>
      </c>
      <c r="G50" s="247"/>
    </row>
    <row r="51" spans="1:7" ht="16.5" customHeight="1">
      <c r="A51" s="255" t="s">
        <v>1558</v>
      </c>
      <c r="B51" s="210" t="s">
        <v>1593</v>
      </c>
      <c r="C51" s="232">
        <f ca="1">ROUND(C49*F50,0)</f>
        <v>4554803</v>
      </c>
      <c r="D51" s="232"/>
      <c r="E51" s="232"/>
      <c r="F51" s="264"/>
      <c r="G51" s="234" t="s">
        <v>1560</v>
      </c>
    </row>
    <row r="52" spans="1:7" s="208" customFormat="1" ht="16.8" thickBot="1">
      <c r="A52" s="265" t="s">
        <v>1561</v>
      </c>
      <c r="B52" s="266"/>
      <c r="C52" s="267">
        <f ca="1">C31+C51</f>
        <v>6249461</v>
      </c>
      <c r="D52" s="266"/>
      <c r="E52" s="266"/>
      <c r="F52" s="266"/>
      <c r="G52" s="268"/>
    </row>
    <row r="55" spans="1:7" ht="15">
      <c r="B55" s="270" t="s">
        <v>1562</v>
      </c>
      <c r="C55" s="271"/>
    </row>
    <row r="56" spans="1:7">
      <c r="B56" s="273" t="s">
        <v>802</v>
      </c>
      <c r="C56" s="275">
        <f ca="1">1-C57</f>
        <v>0.27100000000000002</v>
      </c>
    </row>
    <row r="57" spans="1:7">
      <c r="B57" s="273" t="s">
        <v>803</v>
      </c>
      <c r="C57" s="274">
        <f ca="1">ROUND(C51/C52,3)</f>
        <v>0.72899999999999998</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7" sqref="C3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0</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1204</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2478</v>
      </c>
      <c r="F3" s="2004" t="s">
        <v>3438</v>
      </c>
      <c r="G3" s="752">
        <f>IF(F3="宗地容积率",'数据-汇总表'!I4,IF(F3="估价对象容积率",'数据-汇总表'!I6,'数据-汇总表'!I7))</f>
        <v>1</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928</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67"/>
      <c r="B4" s="3668"/>
      <c r="C4" s="3668"/>
      <c r="D4" s="3669"/>
      <c r="E4" s="3669"/>
      <c r="F4" s="3669"/>
      <c r="G4" s="3669"/>
      <c r="H4" s="3669"/>
      <c r="I4" s="3669"/>
      <c r="J4" s="367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757</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880</v>
      </c>
      <c r="D5" s="1339">
        <f>ROUND(C6*C17+C20,0)</f>
        <v>880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643</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880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586</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3236</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4" t="s">
        <v>1960</v>
      </c>
      <c r="X8" s="36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880</v>
      </c>
      <c r="N9" s="866">
        <f>SUMPRODUCT((因素修正幅度!B277:B326=I2)*(因素修正幅度!C3:G3=E2)*(因素修正幅度!C277:G326))</f>
        <v>0.14199999999999999</v>
      </c>
      <c r="O9" s="1119"/>
      <c r="P9" s="1119"/>
      <c r="Q9" s="1119"/>
      <c r="R9" s="1212">
        <v>8</v>
      </c>
      <c r="S9" s="1213"/>
      <c r="T9" s="3361">
        <f t="shared" si="0"/>
        <v>0</v>
      </c>
      <c r="U9" s="1213"/>
      <c r="V9" s="3361">
        <f t="shared" si="1"/>
        <v>0</v>
      </c>
      <c r="W9" s="3666"/>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3237</v>
      </c>
      <c r="B12" s="3305" t="s">
        <v>3238</v>
      </c>
      <c r="C12" s="3306">
        <v>1</v>
      </c>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3241</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3247</v>
      </c>
      <c r="E18" s="3329">
        <v>0</v>
      </c>
      <c r="F18" s="3324" t="s">
        <v>3250</v>
      </c>
      <c r="G18" s="3328">
        <f>ROUND(1-(1/(POWER(1+G24,E18))),4)</f>
        <v>0</v>
      </c>
      <c r="H18" s="3324" t="s">
        <v>3252</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1" t="s">
        <v>3253</v>
      </c>
      <c r="B20" s="167" t="s">
        <v>1994</v>
      </c>
      <c r="C20" s="3325">
        <f>ROUND(IF(F21="与级别开发程度一致",0,(G21-E21)/C21),0)</f>
        <v>0</v>
      </c>
      <c r="D20" s="3341" t="s">
        <v>1998</v>
      </c>
      <c r="E20" s="3342"/>
      <c r="F20" s="3677" t="s">
        <v>1995</v>
      </c>
      <c r="G20" s="3678"/>
      <c r="H20" s="3326" t="s">
        <v>3416</v>
      </c>
      <c r="I20" s="3326" t="s">
        <v>3417</v>
      </c>
      <c r="J20" s="3327" t="s">
        <v>3418</v>
      </c>
      <c r="K20" s="2047" t="s">
        <v>3419</v>
      </c>
      <c r="L20" s="2047" t="s">
        <v>3420</v>
      </c>
      <c r="M20" s="2047"/>
      <c r="N20" s="2047"/>
      <c r="O20" s="2048" t="s">
        <v>3421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2"/>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3437</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45680</v>
      </c>
      <c r="H23" s="3343" t="s">
        <v>3255</v>
      </c>
      <c r="I23" s="3344" t="str">
        <f>IF(H23="季度增幅（自定义）",SUMIF(N25:N28,E2,O25:O28),"")</f>
        <v/>
      </c>
      <c r="J23" s="3446" t="s">
        <v>3254</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0.81510000000000005</v>
      </c>
      <c r="D24" s="2060" t="s">
        <v>2007</v>
      </c>
      <c r="E24" s="1335">
        <f>存贷款利率!E27/100</f>
        <v>4.3499999999999997E-2</v>
      </c>
      <c r="F24" s="2060" t="s">
        <v>1999</v>
      </c>
      <c r="G24" s="768">
        <f>SUMIF(M30:Q30,E2,M33:Q33)</f>
        <v>0.05</v>
      </c>
      <c r="H24" s="2060" t="s">
        <v>2008</v>
      </c>
      <c r="I24" s="769">
        <f>SUMIF('数据-取费表'!C6:C15,E2,'数据-取费表'!F6:F15)/COUNTIF('数据-取费表'!C6:C15,E2)</f>
        <v>27.93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3256</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1.0057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781</v>
      </c>
      <c r="D33" s="2098"/>
      <c r="E33" s="773">
        <f>ROUND(C33*D33/10000,0)</f>
        <v>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117</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5"/>
      <c r="B37" s="2113" t="s">
        <v>2036</v>
      </c>
      <c r="C37" s="175">
        <f>ROUND(D5*C22*C23*C24*C28*F37,0)</f>
        <v>391</v>
      </c>
      <c r="D37" s="2098"/>
      <c r="E37" s="171">
        <f>ROUND(C37*D37/10000,0)</f>
        <v>0</v>
      </c>
      <c r="F37" s="171">
        <f>SUMIF(修正!A57:A68,G2,修正!B57:B68)</f>
        <v>0.5</v>
      </c>
      <c r="G37" s="171">
        <f>ROUND(IF(E2="工业",C37*$M$42,C37*$M$41),0)</f>
        <v>59</v>
      </c>
      <c r="H37" s="171">
        <f>D37</f>
        <v>0</v>
      </c>
      <c r="I37" s="171">
        <f>ROUND(G37*H37/10000,0)</f>
        <v>0</v>
      </c>
      <c r="J37" s="3012"/>
      <c r="K37" s="3359" t="s">
        <v>3265</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6"/>
      <c r="B38" s="2041" t="s">
        <v>2037</v>
      </c>
      <c r="C38" s="175">
        <f>ROUND(D5*C22*C23*C24*C28*F38,0)</f>
        <v>156</v>
      </c>
      <c r="D38" s="2098"/>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6"/>
      <c r="B39" s="2041" t="s">
        <v>3258</v>
      </c>
      <c r="C39" s="175">
        <f>ROUND(D5*C22*C23*C24*C28*F39,0)</f>
        <v>156</v>
      </c>
      <c r="D39" s="2098"/>
      <c r="E39" s="171">
        <f t="shared" si="4"/>
        <v>0</v>
      </c>
      <c r="F39" s="171">
        <f>SUMIF(修正!A57:A68,G2,修正!D57:D68)</f>
        <v>0.2</v>
      </c>
      <c r="G39" s="171">
        <f>ROUND(IF(E2="工业",C39*$M$42,C39*$M$41),0)</f>
        <v>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156</v>
      </c>
      <c r="D40" s="2098"/>
      <c r="E40" s="171">
        <f t="shared" si="4"/>
        <v>0</v>
      </c>
      <c r="F40" s="175">
        <f>SUMIF(修正!A57:A68,G2,修正!E57:E68)</f>
        <v>0.2</v>
      </c>
      <c r="G40" s="171">
        <f>ROUND(IF(E2="工业",C40*$M$42,C40*$M$41),0)</f>
        <v>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1.0057</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3472" t="s">
        <v>3447</v>
      </c>
      <c r="D83" s="1065">
        <f t="shared" ref="D83:D90" si="22">SUMIF($J$82:$N$82,C83,J83:N83)</f>
        <v>0</v>
      </c>
      <c r="E83" s="744">
        <f>ROUND(SUM(D83:D90),4)</f>
        <v>5.7000000000000002E-3</v>
      </c>
      <c r="F83" s="1814">
        <f>IF(E2="工业",SUMIF(L1:L12,G2,N1:N12),"——")</f>
        <v>0.14199999999999999</v>
      </c>
      <c r="G83" s="1063">
        <f>H83</f>
        <v>1.84E-2</v>
      </c>
      <c r="H83" s="1066">
        <f t="shared" ref="H83:H90" si="23">IFERROR(ROUNDDOWN($F$83*I83/2,4),"——")</f>
        <v>1.84E-2</v>
      </c>
      <c r="I83" s="3367">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52.8">
      <c r="A84" s="2130" t="s">
        <v>2053</v>
      </c>
      <c r="B84" s="2134" t="str">
        <f>估价对象房地状况!G16</f>
        <v>估价对象周边道路状况、公共交通通达情况、停车便捷程度，综合评价交通便捷度较好</v>
      </c>
      <c r="C84" s="3472" t="s">
        <v>3447</v>
      </c>
      <c r="D84" s="1065">
        <f t="shared" si="22"/>
        <v>0</v>
      </c>
      <c r="E84" s="747"/>
      <c r="F84" s="1814"/>
      <c r="G84" s="1063">
        <f t="shared" ref="G84:G90" si="27">H84</f>
        <v>2.1299999999999999E-2</v>
      </c>
      <c r="H84" s="1066">
        <f t="shared" si="23"/>
        <v>2.1299999999999999E-2</v>
      </c>
      <c r="I84" s="3367">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48">
      <c r="A85" s="3369" t="s">
        <v>3269</v>
      </c>
      <c r="B85" s="2134">
        <f>估价对象房地状况!G17</f>
        <v>0</v>
      </c>
      <c r="C85" s="3472" t="s">
        <v>3448</v>
      </c>
      <c r="D85" s="1065">
        <f t="shared" si="22"/>
        <v>7.1000000000000004E-3</v>
      </c>
      <c r="E85" s="747"/>
      <c r="F85" s="1814"/>
      <c r="G85" s="1063">
        <f t="shared" si="27"/>
        <v>7.1000000000000004E-3</v>
      </c>
      <c r="H85" s="1066">
        <f t="shared" si="23"/>
        <v>7.1000000000000004E-3</v>
      </c>
      <c r="I85" s="3367">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3.8">
      <c r="A86" s="2130" t="s">
        <v>2067</v>
      </c>
      <c r="B86" s="2134">
        <f>估价对象房地状况!G22</f>
        <v>0</v>
      </c>
      <c r="C86" s="3472" t="s">
        <v>3449</v>
      </c>
      <c r="D86" s="1065">
        <f t="shared" si="22"/>
        <v>7.0000000000000001E-3</v>
      </c>
      <c r="E86" s="747"/>
      <c r="F86" s="1814"/>
      <c r="G86" s="1063">
        <f t="shared" si="27"/>
        <v>3.5000000000000001E-3</v>
      </c>
      <c r="H86" s="1066">
        <f t="shared" si="23"/>
        <v>3.5000000000000001E-3</v>
      </c>
      <c r="I86" s="3367">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6.4">
      <c r="A87" s="2130" t="s">
        <v>2059</v>
      </c>
      <c r="B87" s="1326" t="str">
        <f>估价对象房地状况!G19</f>
        <v>估价对象所在区域公共配套设施齐备情况</v>
      </c>
      <c r="C87" s="2044" t="s">
        <v>3450</v>
      </c>
      <c r="D87" s="1065">
        <f t="shared" si="22"/>
        <v>-4.1999999999999997E-3</v>
      </c>
      <c r="E87" s="747"/>
      <c r="F87" s="1814"/>
      <c r="G87" s="1063">
        <f t="shared" si="27"/>
        <v>4.1999999999999997E-3</v>
      </c>
      <c r="H87" s="1066">
        <f t="shared" si="23"/>
        <v>4.1999999999999997E-3</v>
      </c>
      <c r="I87" s="3367">
        <v>0.06</v>
      </c>
      <c r="J87" s="1064">
        <f t="shared" si="24"/>
        <v>8.3999999999999995E-3</v>
      </c>
      <c r="K87" s="1064">
        <f t="shared" si="25"/>
        <v>4.1999999999999997E-3</v>
      </c>
      <c r="L87" s="1064">
        <v>0</v>
      </c>
      <c r="M87" s="1064">
        <f t="shared" si="26"/>
        <v>-4.1999999999999997E-3</v>
      </c>
      <c r="N87" s="1064">
        <f t="shared" si="26"/>
        <v>-8.3999999999999995E-3</v>
      </c>
    </row>
    <row r="88" spans="1:37" ht="26.4">
      <c r="A88" s="2130" t="s">
        <v>2060</v>
      </c>
      <c r="B88" s="1326" t="str">
        <f>估价对象房地状况!G20</f>
        <v>估价对象所在区域基础设施水平</v>
      </c>
      <c r="C88" s="2044" t="s">
        <v>3447</v>
      </c>
      <c r="D88" s="1065">
        <f t="shared" si="22"/>
        <v>0</v>
      </c>
      <c r="E88" s="747"/>
      <c r="F88" s="1814"/>
      <c r="G88" s="1063">
        <f t="shared" si="27"/>
        <v>8.5000000000000006E-3</v>
      </c>
      <c r="H88" s="1066">
        <f t="shared" si="23"/>
        <v>8.5000000000000006E-3</v>
      </c>
      <c r="I88" s="3367">
        <v>0.12</v>
      </c>
      <c r="J88" s="1064">
        <f t="shared" si="24"/>
        <v>1.7000000000000001E-2</v>
      </c>
      <c r="K88" s="1064">
        <f t="shared" si="25"/>
        <v>8.5000000000000006E-3</v>
      </c>
      <c r="L88" s="1064">
        <v>0</v>
      </c>
      <c r="M88" s="1064">
        <f t="shared" si="26"/>
        <v>-8.5000000000000006E-3</v>
      </c>
      <c r="N88" s="1064">
        <f t="shared" si="26"/>
        <v>-1.7000000000000001E-2</v>
      </c>
    </row>
    <row r="89" spans="1:37" ht="36">
      <c r="A89" s="2130" t="s">
        <v>2057</v>
      </c>
      <c r="B89" s="2136" t="s">
        <v>2071</v>
      </c>
      <c r="C89" s="2044" t="s">
        <v>3450</v>
      </c>
      <c r="D89" s="1065">
        <f t="shared" si="22"/>
        <v>-4.1999999999999997E-3</v>
      </c>
      <c r="E89" s="747"/>
      <c r="F89" s="1814"/>
      <c r="G89" s="1063">
        <f t="shared" si="27"/>
        <v>4.1999999999999997E-3</v>
      </c>
      <c r="H89" s="1066">
        <f t="shared" si="23"/>
        <v>4.1999999999999997E-3</v>
      </c>
      <c r="I89" s="3367">
        <v>0.06</v>
      </c>
      <c r="J89" s="1064">
        <f t="shared" si="24"/>
        <v>8.3999999999999995E-3</v>
      </c>
      <c r="K89" s="1064">
        <f t="shared" si="25"/>
        <v>4.1999999999999997E-3</v>
      </c>
      <c r="L89" s="1064">
        <v>0</v>
      </c>
      <c r="M89" s="1064">
        <f t="shared" si="26"/>
        <v>-4.1999999999999997E-3</v>
      </c>
      <c r="N89" s="1064">
        <f t="shared" si="26"/>
        <v>-8.3999999999999995E-3</v>
      </c>
    </row>
    <row r="90" spans="1:37" ht="40.200000000000003" thickBot="1">
      <c r="A90" s="2138" t="s">
        <v>2072</v>
      </c>
      <c r="B90" s="2143" t="str">
        <f>估价对象房地状况!G18</f>
        <v>该园区内是否有污染型企业，绿化情况，卫生条件，整体环境状况判断</v>
      </c>
      <c r="C90" s="2044" t="s">
        <v>3447</v>
      </c>
      <c r="D90" s="1065">
        <f t="shared" si="22"/>
        <v>0</v>
      </c>
      <c r="E90" s="748"/>
      <c r="F90" s="1814"/>
      <c r="G90" s="1063">
        <f t="shared" si="27"/>
        <v>3.5000000000000001E-3</v>
      </c>
      <c r="H90" s="1066">
        <f t="shared" si="23"/>
        <v>3.5000000000000001E-3</v>
      </c>
      <c r="I90" s="3368">
        <v>0.05</v>
      </c>
      <c r="J90" s="1064">
        <f t="shared" si="24"/>
        <v>7.0000000000000001E-3</v>
      </c>
      <c r="K90" s="1064">
        <f t="shared" si="25"/>
        <v>3.5000000000000001E-3</v>
      </c>
      <c r="L90" s="1064">
        <v>0</v>
      </c>
      <c r="M90" s="1064">
        <f t="shared" si="26"/>
        <v>-3.5000000000000001E-3</v>
      </c>
      <c r="N90" s="1064">
        <f t="shared" si="26"/>
        <v>-7.0000000000000001E-3</v>
      </c>
    </row>
    <row r="91" spans="1:37" ht="13.8">
      <c r="A91" s="3377" t="s">
        <v>2611</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73" t="s">
        <v>3293</v>
      </c>
      <c r="B103" s="3673"/>
      <c r="C103" s="3673"/>
      <c r="D103" s="3673"/>
      <c r="E103" s="3673"/>
      <c r="F103" s="3673"/>
      <c r="G103" s="3673"/>
      <c r="H103" s="3673"/>
      <c r="I103" s="3673"/>
      <c r="J103" s="3673"/>
      <c r="K103" s="3390"/>
      <c r="L103" s="3390"/>
      <c r="M103" s="3390"/>
      <c r="N103" s="3390"/>
    </row>
    <row r="104" spans="1:14">
      <c r="A104" s="3674" t="s">
        <v>3294</v>
      </c>
      <c r="B104" s="3674" t="s">
        <v>3295</v>
      </c>
      <c r="C104" s="3391" t="s">
        <v>3296</v>
      </c>
      <c r="D104" s="3392"/>
      <c r="E104" s="3392"/>
      <c r="F104" s="3392"/>
      <c r="G104" s="3392"/>
      <c r="H104" s="3392"/>
      <c r="I104" s="3392"/>
      <c r="J104" s="3393"/>
      <c r="K104" s="3394"/>
      <c r="L104" s="3394"/>
      <c r="M104" s="3394"/>
      <c r="N104" s="3394"/>
    </row>
    <row r="105" spans="1:14">
      <c r="A105" s="3674"/>
      <c r="B105" s="3674"/>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60"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1"/>
      <c r="B111" s="3395" t="s">
        <v>3267</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662"/>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663" t="s">
        <v>3310</v>
      </c>
      <c r="B113" s="3663"/>
      <c r="C113" s="3663"/>
      <c r="D113" s="3663"/>
      <c r="E113" s="3663"/>
      <c r="F113" s="3663"/>
      <c r="G113" s="3663"/>
      <c r="H113" s="3663"/>
      <c r="I113" s="3663"/>
      <c r="J113" s="36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1</v>
      </c>
      <c r="C116" s="3400" t="s">
        <v>3312</v>
      </c>
      <c r="D116" s="3401">
        <f>SUMPRODUCT((A118:A122=F116)*(B117:M117=H116)*B118:M122)</f>
        <v>0.57150000000000001</v>
      </c>
      <c r="E116" s="2000" t="s">
        <v>3313</v>
      </c>
      <c r="F116" s="3402" t="str">
        <f>E2</f>
        <v>工业</v>
      </c>
      <c r="G116" s="2000" t="s">
        <v>3314</v>
      </c>
      <c r="H116" s="3402" t="str">
        <f>G2</f>
        <v>九级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3328</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3329</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8" thickBot="1">
      <c r="A121" s="3412" t="s">
        <v>3330</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2611</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744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3019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c r="H9" s="1137"/>
      <c r="I9" s="1858" t="s">
        <v>1479</v>
      </c>
    </row>
    <row r="10" spans="1:9" s="214" customFormat="1" ht="13.5" customHeight="1">
      <c r="A10" s="779" t="s">
        <v>356</v>
      </c>
      <c r="B10" s="224" t="s">
        <v>1480</v>
      </c>
      <c r="C10" s="225">
        <f ca="1">ROUND(D10*E10/10000,0)</f>
        <v>47</v>
      </c>
      <c r="D10" s="845">
        <f ca="1">IF(B1="",'数据-汇总表'!E6,IF(INDIRECT("'数据-取费表'!c"&amp;$G$1)="住宅",INDIRECT("'数据-取费表'!s"&amp;$G$1),INDIRECT("'数据-取费表'!k"&amp;$G$1)+INDIRECT("'数据-取费表'!s"&amp;$G$1)))</f>
        <v>2464.7399999999998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49</v>
      </c>
      <c r="D19" s="849">
        <f ca="1">D9+D10</f>
        <v>2464.7399999999998</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3</v>
      </c>
      <c r="D22" s="235">
        <f ca="1">C26</f>
        <v>1.6000000000000001E-3</v>
      </c>
      <c r="E22" s="236" t="s">
        <v>1498</v>
      </c>
      <c r="F22" s="237">
        <f ca="1">'数据-取费表'!B40</f>
        <v>4.3499999999999997E-2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3</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6.4">
      <c r="A27" s="255" t="s">
        <v>1512</v>
      </c>
      <c r="B27" s="244" t="s">
        <v>1513</v>
      </c>
      <c r="C27" s="245">
        <f ca="1">C28</f>
        <v>6</v>
      </c>
      <c r="D27" s="235">
        <f ca="1">C29</f>
        <v>6.0000000000000001E-3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6</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66</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529</v>
      </c>
      <c r="D34" s="217"/>
      <c r="E34" s="220"/>
      <c r="F34" s="257">
        <f ca="1">IF('数据-取费表'!B24=0,1,IF(B1="",'数据-取费表'!N16,INDIRECT("'数据-取费表'!n"&amp;$G$1)))</f>
        <v>1</v>
      </c>
      <c r="G34" s="219" t="s">
        <v>1526</v>
      </c>
    </row>
    <row r="35" spans="1:7" ht="13.5" customHeight="1">
      <c r="A35" s="780" t="s">
        <v>351</v>
      </c>
      <c r="B35" s="215" t="s">
        <v>1527</v>
      </c>
      <c r="C35" s="220">
        <f ca="1">ROUND(C34*F35,0)</f>
        <v>53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49</v>
      </c>
      <c r="D37" s="217">
        <f ca="1">D19</f>
        <v>2464.7399999999998</v>
      </c>
      <c r="E37" s="249">
        <f>'数据-取费表'!B35</f>
        <v>200</v>
      </c>
      <c r="F37" s="259"/>
      <c r="G37" s="261" t="s">
        <v>1532</v>
      </c>
    </row>
    <row r="38" spans="1:7" ht="13.5" customHeight="1">
      <c r="A38" s="780" t="s">
        <v>354</v>
      </c>
      <c r="B38" s="215" t="s">
        <v>1533</v>
      </c>
      <c r="C38" s="220">
        <f ca="1">ROUND(C34*F38,0)</f>
        <v>16</v>
      </c>
      <c r="D38" s="220"/>
      <c r="E38" s="220"/>
      <c r="F38" s="259">
        <f>'数据-取费表'!B36</f>
        <v>0.03</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14</v>
      </c>
      <c r="D41" s="235">
        <f ca="1">C44</f>
        <v>1.1000000000000001E-3</v>
      </c>
      <c r="E41" s="236" t="s">
        <v>1539</v>
      </c>
      <c r="F41" s="237">
        <f ca="1">F22</f>
        <v>4.3499999999999997E-2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v>
      </c>
      <c r="D42" s="238"/>
      <c r="E42" s="238"/>
      <c r="F42" s="239"/>
      <c r="G42" s="3657" t="s">
        <v>1544</v>
      </c>
    </row>
    <row r="43" spans="1:7" ht="13.5" customHeight="1">
      <c r="A43" s="780" t="s">
        <v>347</v>
      </c>
      <c r="B43" s="215" t="s">
        <v>1545</v>
      </c>
      <c r="C43" s="238">
        <f ca="1">ROUND(IF('数据-取费表'!B22&lt;=1,C39*F22*'数据-取费表'!B21/2,C39*(POWER((1+F22),'数据-取费表'!B21/2)-1)),0)</f>
        <v>0</v>
      </c>
      <c r="D43" s="238"/>
      <c r="E43" s="238"/>
      <c r="F43" s="239"/>
      <c r="G43" s="3658"/>
    </row>
    <row r="44" spans="1:7" ht="13.5" customHeight="1">
      <c r="A44" s="780" t="s">
        <v>348</v>
      </c>
      <c r="B44" s="215" t="s">
        <v>1546</v>
      </c>
      <c r="C44" s="238">
        <f ca="1">ROUND(IF('数据-取费表'!B22&lt;=1,C40*F22*'数据-取费表'!B21/2,C40*(POWER((1+F22),'数据-取费表'!B21/2)-1)),4)</f>
        <v>1.1000000000000001E-3</v>
      </c>
      <c r="D44" s="238"/>
      <c r="E44" s="238"/>
      <c r="F44" s="239"/>
      <c r="G44" s="3659"/>
    </row>
    <row r="45" spans="1:7" s="214" customFormat="1" ht="13.5" customHeight="1">
      <c r="A45" s="255" t="s">
        <v>1547</v>
      </c>
      <c r="B45" s="244" t="s">
        <v>1513</v>
      </c>
      <c r="C45" s="245">
        <f ca="1">C46</f>
        <v>79</v>
      </c>
      <c r="D45" s="235">
        <f ca="1">C47</f>
        <v>6.0000000000000001E-3</v>
      </c>
      <c r="E45" s="236" t="s">
        <v>1539</v>
      </c>
      <c r="F45" s="246">
        <f ca="1">F27</f>
        <v>0.12</v>
      </c>
      <c r="G45" s="247" t="s">
        <v>1548</v>
      </c>
    </row>
    <row r="46" spans="1:7" s="214" customFormat="1" ht="13.5" customHeight="1">
      <c r="A46" s="780" t="s">
        <v>346</v>
      </c>
      <c r="B46" s="248" t="s">
        <v>1549</v>
      </c>
      <c r="C46" s="249">
        <f ca="1">ROUND((C33+C39)*F27,0)</f>
        <v>79</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846</v>
      </c>
      <c r="D49" s="232"/>
      <c r="E49" s="232"/>
      <c r="F49" s="264"/>
      <c r="G49" s="234" t="s">
        <v>1554</v>
      </c>
    </row>
    <row r="50" spans="1:7" s="258" customFormat="1" ht="24">
      <c r="A50" s="255" t="s">
        <v>1555</v>
      </c>
      <c r="B50" s="210" t="s">
        <v>1556</v>
      </c>
      <c r="C50" s="232"/>
      <c r="D50" s="232"/>
      <c r="E50" s="232"/>
      <c r="F50" s="264">
        <f>IF('数据-取费表'!B24=0,'数据-取费表'!N16,1)</f>
        <v>0.80100000000000005</v>
      </c>
      <c r="G50" s="247" t="s">
        <v>1557</v>
      </c>
    </row>
    <row r="51" spans="1:7" ht="16.5" customHeight="1">
      <c r="A51" s="255" t="s">
        <v>1558</v>
      </c>
      <c r="B51" s="210" t="s">
        <v>1559</v>
      </c>
      <c r="C51" s="232">
        <f ca="1">ROUND(C49*F50,0)</f>
        <v>678</v>
      </c>
      <c r="D51" s="232"/>
      <c r="E51" s="232"/>
      <c r="F51" s="264"/>
      <c r="G51" s="234" t="s">
        <v>1560</v>
      </c>
    </row>
    <row r="52" spans="1:7" s="208" customFormat="1" ht="16.8" thickBot="1">
      <c r="A52" s="265" t="s">
        <v>1561</v>
      </c>
      <c r="B52" s="266"/>
      <c r="C52" s="267">
        <f ca="1">C31+C51</f>
        <v>744</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-52</v>
      </c>
      <c r="C2" s="276" t="s">
        <v>1595</v>
      </c>
      <c r="D2" s="276"/>
      <c r="E2" s="2806"/>
      <c r="F2" s="2806"/>
      <c r="G2" s="2806"/>
      <c r="H2" s="2806"/>
      <c r="I2" s="2806"/>
      <c r="J2" s="2806"/>
      <c r="K2" s="2806"/>
    </row>
    <row r="3" spans="1:33" ht="18" customHeight="1" thickBot="1">
      <c r="A3" s="203" t="s">
        <v>1464</v>
      </c>
      <c r="B3" s="204">
        <f ca="1">ROUND(B2*10000/IF(C1="",'数据-汇总表'!E3,INDIRECT("'数据-取费表'!K"&amp;$K$1)),0)</f>
        <v>-211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2464.7399999999998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2464.7399999999998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47</v>
      </c>
      <c r="D20" s="846">
        <f ca="1">IF(C1="",'数据-汇总表'!E6,IF(INDIRECT("'数据-取费表'!c"&amp;$K$1)="住宅",INDIRECT("'数据-取费表'!s"&amp;$K$1),INDIRECT("'数据-取费表'!k"&amp;$K$1)+INDIRECT("'数据-取费表'!s"&amp;$K$1)))</f>
        <v>2464.7399999999998</v>
      </c>
      <c r="E20" s="21">
        <f>'数据-取费表'!B28</f>
        <v>190</v>
      </c>
      <c r="F20" s="804"/>
      <c r="G20" s="12"/>
      <c r="H20" s="809"/>
      <c r="I20" s="809"/>
      <c r="J20" s="809"/>
      <c r="K20" s="810"/>
    </row>
    <row r="21" spans="1:33" s="803" customFormat="1" ht="13.5" customHeight="1">
      <c r="A21" s="790" t="s">
        <v>357</v>
      </c>
      <c r="B21" s="813" t="s">
        <v>1628</v>
      </c>
      <c r="C21" s="814">
        <f ca="1">C16+C17+C18</f>
        <v>47</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1" t="s">
        <v>694</v>
      </c>
      <c r="C6" s="1074">
        <f ca="1">ROUND(F6*F8*F7*(1-F9)/10000,0)</f>
        <v>0</v>
      </c>
      <c r="D6" s="155" t="s">
        <v>2109</v>
      </c>
      <c r="E6" s="302" t="s">
        <v>696</v>
      </c>
      <c r="F6" s="303">
        <f ca="1">INDIRECT("'数据-取费表'!u"&amp;$G$1)</f>
        <v>0</v>
      </c>
      <c r="G6" s="1384"/>
      <c r="H6" s="1069" t="s">
        <v>398</v>
      </c>
      <c r="I6" s="3681" t="s">
        <v>694</v>
      </c>
      <c r="J6" s="301">
        <f ca="1">ROUND(M6*M8*M7*(1-M9)/10000,0)</f>
        <v>0</v>
      </c>
      <c r="K6" s="155" t="s">
        <v>2108</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4"/>
      <c r="H7" s="304"/>
      <c r="I7" s="3682"/>
      <c r="J7" s="306"/>
      <c r="K7" s="307"/>
      <c r="L7" s="302" t="s">
        <v>697</v>
      </c>
      <c r="M7" s="303">
        <f ca="1">F7</f>
        <v>0</v>
      </c>
    </row>
    <row r="8" spans="1:37" ht="18" customHeight="1">
      <c r="A8" s="304"/>
      <c r="B8" s="3682"/>
      <c r="C8" s="306"/>
      <c r="D8" s="307"/>
      <c r="E8" s="302" t="s">
        <v>698</v>
      </c>
      <c r="F8" s="303">
        <f ca="1">INDIRECT("'数据-取费表'!ai"&amp;$G$1)</f>
        <v>0</v>
      </c>
      <c r="G8" s="1384"/>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9" t="s">
        <v>837</v>
      </c>
      <c r="L53" s="368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1" sqref="K5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3410</v>
      </c>
      <c r="D1" s="1362" t="s">
        <v>43</v>
      </c>
      <c r="E1" s="1363" t="s">
        <v>678</v>
      </c>
      <c r="F1" s="1062">
        <f ca="1">J53</f>
        <v>27.93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497.98820000000001</v>
      </c>
      <c r="C2" s="1387" t="s">
        <v>879</v>
      </c>
      <c r="D2" s="1471">
        <f ca="1">C40+J29+L46</f>
        <v>4979882</v>
      </c>
      <c r="E2" s="1388" t="s">
        <v>880</v>
      </c>
      <c r="F2" s="1389"/>
      <c r="G2" s="2706"/>
      <c r="H2" s="2695"/>
      <c r="I2" s="2695"/>
      <c r="J2" s="2695"/>
      <c r="K2" s="2696"/>
      <c r="L2" s="2695"/>
      <c r="M2" s="2695"/>
    </row>
    <row r="3" spans="1:37" ht="18" customHeight="1" thickBot="1">
      <c r="A3" s="1390" t="s">
        <v>881</v>
      </c>
      <c r="B3" s="1391">
        <f ca="1">IF(ISERROR(D2/F43),0,ROUND(D2/F43,0))</f>
        <v>4079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401596</v>
      </c>
      <c r="D5" s="1364" t="s">
        <v>889</v>
      </c>
      <c r="E5" s="1071"/>
      <c r="F5" s="1072"/>
      <c r="G5" s="1384"/>
      <c r="H5" s="299">
        <v>1</v>
      </c>
      <c r="I5" s="300" t="s">
        <v>888</v>
      </c>
      <c r="J5" s="1070">
        <f ca="1">J6+J10+J12</f>
        <v>0</v>
      </c>
      <c r="K5" s="1364" t="s">
        <v>889</v>
      </c>
      <c r="L5" s="1071"/>
      <c r="M5" s="1072"/>
    </row>
    <row r="6" spans="1:37" ht="18" customHeight="1">
      <c r="A6" s="1069" t="s">
        <v>398</v>
      </c>
      <c r="B6" s="3681" t="s">
        <v>694</v>
      </c>
      <c r="C6" s="1074">
        <f ca="1">ROUND(F6*F8*F7*(1-F9),0)</f>
        <v>401095</v>
      </c>
      <c r="D6" s="155" t="s">
        <v>2106</v>
      </c>
      <c r="E6" s="302" t="s">
        <v>696</v>
      </c>
      <c r="F6" s="303">
        <f ca="1">INDIRECT("'数据-取费表'!u"&amp;$G$1)</f>
        <v>1</v>
      </c>
      <c r="G6" s="1384"/>
      <c r="H6" s="1069" t="s">
        <v>398</v>
      </c>
      <c r="I6" s="3681" t="s">
        <v>694</v>
      </c>
      <c r="J6" s="301">
        <f ca="1">ROUND(M6*M8*M7*(1-M9),0)</f>
        <v>0</v>
      </c>
      <c r="K6" s="1376" t="s">
        <v>2107</v>
      </c>
      <c r="L6" s="302" t="s">
        <v>696</v>
      </c>
      <c r="M6" s="303">
        <f ca="1">INDIRECT("'数据-取费表'!z"&amp;$G$1)</f>
        <v>0</v>
      </c>
    </row>
    <row r="7" spans="1:37" ht="18" customHeight="1">
      <c r="A7" s="1073"/>
      <c r="B7" s="3682"/>
      <c r="C7" s="1075"/>
      <c r="D7" s="307"/>
      <c r="E7" s="3461" t="s">
        <v>697</v>
      </c>
      <c r="F7" s="303">
        <f ca="1">IF(INDIRECT("'数据-取费表'!ah"&amp;$G$1)="",INDIRECT("'数据-取费表'!k"&amp;$G$1),INDIRECT("'数据-取费表'!ah"&amp;$G$1))</f>
        <v>1220.99</v>
      </c>
      <c r="G7" s="1384"/>
      <c r="H7" s="304"/>
      <c r="I7" s="3682"/>
      <c r="J7" s="306"/>
      <c r="K7" s="307"/>
      <c r="L7" s="302" t="s">
        <v>697</v>
      </c>
      <c r="M7" s="303">
        <f ca="1">F7</f>
        <v>1220.99</v>
      </c>
    </row>
    <row r="8" spans="1:37" ht="18" customHeight="1">
      <c r="A8" s="304"/>
      <c r="B8" s="3682"/>
      <c r="C8" s="306"/>
      <c r="D8" s="307"/>
      <c r="E8" s="302" t="s">
        <v>698</v>
      </c>
      <c r="F8" s="303">
        <f ca="1">INDIRECT("'数据-取费表'!ai"&amp;$G$1)</f>
        <v>365</v>
      </c>
      <c r="G8" s="1384"/>
      <c r="H8" s="304"/>
      <c r="I8" s="3682"/>
      <c r="J8" s="306"/>
      <c r="K8" s="307"/>
      <c r="L8" s="302" t="s">
        <v>698</v>
      </c>
      <c r="M8" s="303">
        <f ca="1">INDIRECT("'数据-取费表'!ai"&amp;$G$1)</f>
        <v>365</v>
      </c>
    </row>
    <row r="9" spans="1:37" ht="18" customHeight="1">
      <c r="A9" s="304"/>
      <c r="B9" s="3683"/>
      <c r="C9" s="306"/>
      <c r="D9" s="307"/>
      <c r="E9" s="302" t="s">
        <v>699</v>
      </c>
      <c r="F9" s="312">
        <f ca="1">INDIRECT("'数据-取费表'!w"&amp;$G$1)</f>
        <v>0.1</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501</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4554803</v>
      </c>
      <c r="D13" s="3458" t="s">
        <v>705</v>
      </c>
      <c r="E13" s="3458" t="s">
        <v>706</v>
      </c>
      <c r="F13" s="1082">
        <f ca="1">INDIRECT("'数据-取费表'!y"&amp;$G$1)</f>
        <v>0.82499999999999996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3418772</v>
      </c>
      <c r="D14" s="3464" t="s">
        <v>708</v>
      </c>
      <c r="E14" s="3463"/>
      <c r="F14" s="319"/>
      <c r="G14" s="1384"/>
      <c r="H14" s="982" t="s">
        <v>398</v>
      </c>
      <c r="I14" s="302" t="s">
        <v>709</v>
      </c>
      <c r="J14" s="21">
        <f ca="1">C29</f>
        <v>5520973</v>
      </c>
      <c r="K14" s="3460"/>
      <c r="L14" s="807"/>
      <c r="M14" s="808"/>
    </row>
    <row r="15" spans="1:37" s="1397" customFormat="1" ht="18" customHeight="1" thickBot="1">
      <c r="A15" s="982" t="s">
        <v>399</v>
      </c>
      <c r="B15" s="302" t="s">
        <v>710</v>
      </c>
      <c r="C15" s="21">
        <f ca="1">ROUND(C14*F15,0)</f>
        <v>341877</v>
      </c>
      <c r="D15" s="3459" t="s">
        <v>711</v>
      </c>
      <c r="E15" s="3459"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57687</v>
      </c>
      <c r="K16" s="1087" t="s">
        <v>715</v>
      </c>
      <c r="L16" s="3466"/>
      <c r="M16" s="1072"/>
    </row>
    <row r="17" spans="1:37" s="1397" customFormat="1" ht="18" customHeight="1">
      <c r="A17" s="982" t="s">
        <v>681</v>
      </c>
      <c r="B17" s="302" t="s">
        <v>716</v>
      </c>
      <c r="C17" s="21">
        <f ca="1">ROUND(F17*(F43+INDIRECT("'数据-取费表'!S"&amp;$G$1)),0)</f>
        <v>244198</v>
      </c>
      <c r="D17" s="302" t="s">
        <v>717</v>
      </c>
      <c r="E17" s="302" t="s">
        <v>718</v>
      </c>
      <c r="F17" s="23">
        <f>'数据-取费表'!B35</f>
        <v>200</v>
      </c>
      <c r="G17" s="1396"/>
      <c r="H17" s="982" t="s">
        <v>398</v>
      </c>
      <c r="I17" s="302" t="s">
        <v>719</v>
      </c>
      <c r="J17" s="2316">
        <f ca="1">ROUND(IF(AND(项目基本情况!B11="自然人",项目基本情况!B10="北京市"),J6*M17/(1+'数据-取费表'!C42),J18+J19+J20),0)</f>
        <v>2477</v>
      </c>
      <c r="K17" s="3464" t="s">
        <v>720</v>
      </c>
      <c r="L17" s="3465"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102563</v>
      </c>
      <c r="D18" s="302" t="s">
        <v>711</v>
      </c>
      <c r="E18" s="302" t="s">
        <v>712</v>
      </c>
      <c r="F18" s="322">
        <f>'数据-取费表'!B36</f>
        <v>0.03</v>
      </c>
      <c r="G18" s="1396"/>
      <c r="H18" s="982" t="s">
        <v>397</v>
      </c>
      <c r="I18" s="302" t="s">
        <v>723</v>
      </c>
      <c r="J18" s="21">
        <f ca="1">ROUND(J6*M18/(1+'数据-取费表'!C42),0)</f>
        <v>0</v>
      </c>
      <c r="K18" s="346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4107410</v>
      </c>
      <c r="D19" s="131" t="s">
        <v>726</v>
      </c>
      <c r="E19" s="3468"/>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82148</v>
      </c>
      <c r="D20" s="2428" t="s">
        <v>729</v>
      </c>
      <c r="E20" s="302" t="s">
        <v>712</v>
      </c>
      <c r="F20" s="322">
        <f>'数据-取费表'!B37</f>
        <v>0.02</v>
      </c>
      <c r="G20" s="1396"/>
      <c r="H20" s="982" t="s">
        <v>680</v>
      </c>
      <c r="I20" s="155" t="s">
        <v>730</v>
      </c>
      <c r="J20" s="22">
        <f ca="1">ROUND(M20*M21,0)</f>
        <v>2477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0.05</v>
      </c>
      <c r="G21" s="1396"/>
      <c r="H21" s="326"/>
      <c r="I21" s="311"/>
      <c r="J21" s="26"/>
      <c r="K21" s="327"/>
      <c r="L21" s="302" t="s">
        <v>736</v>
      </c>
      <c r="M21" s="303">
        <f ca="1">INDIRECT("'数据-取费表'!r"&amp;$G$1)</f>
        <v>1651.11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8"/>
      <c r="F22" s="23"/>
      <c r="G22" s="1384"/>
      <c r="H22" s="982" t="s">
        <v>402</v>
      </c>
      <c r="I22" s="302" t="s">
        <v>738</v>
      </c>
      <c r="J22" s="21">
        <f ca="1">ROUND(J14*M22,0)</f>
        <v>55210</v>
      </c>
      <c r="K22" s="346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90153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465"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4.3499999999999997E-2</v>
      </c>
      <c r="G24" s="1396"/>
      <c r="H24" s="1089" t="s">
        <v>683</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68"/>
      <c r="F25" s="23"/>
      <c r="G25" s="1384"/>
      <c r="H25" s="1079" t="s">
        <v>394</v>
      </c>
      <c r="I25" s="1094" t="s">
        <v>752</v>
      </c>
      <c r="J25" s="310">
        <f ca="1">J5-J16</f>
        <v>-57687</v>
      </c>
      <c r="K25" s="1095" t="s">
        <v>753</v>
      </c>
      <c r="L25" s="1096"/>
      <c r="M25" s="1097"/>
    </row>
    <row r="26" spans="1:37" ht="18" customHeight="1">
      <c r="A26" s="982" t="s">
        <v>397</v>
      </c>
      <c r="B26" s="302" t="s">
        <v>754</v>
      </c>
      <c r="C26" s="21">
        <f ca="1">ROUND((C19+C20)*F26,0)</f>
        <v>628434</v>
      </c>
      <c r="D26" s="2428"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7.4999999999999997E-3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5520973</v>
      </c>
      <c r="D29" s="1092"/>
      <c r="E29" s="1090"/>
      <c r="F29" s="1093"/>
      <c r="G29" s="1396"/>
      <c r="H29" s="334" t="s">
        <v>396</v>
      </c>
      <c r="I29" s="335" t="s">
        <v>768</v>
      </c>
      <c r="J29" s="336">
        <f ca="1">ROUND(J26/(1+F40)^F41,0)</f>
        <v>0</v>
      </c>
      <c r="K29" s="337" t="s">
        <v>769</v>
      </c>
      <c r="L29" s="338"/>
      <c r="M29" s="339">
        <f ca="1">INDIRECT("'数据-取费表'!k"&amp;$G$1)</f>
        <v>1220.99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133107</v>
      </c>
      <c r="D30" s="1087" t="s">
        <v>715</v>
      </c>
      <c r="E30" s="346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69326</v>
      </c>
      <c r="D31" s="3464" t="s">
        <v>720</v>
      </c>
      <c r="E31" s="3465"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21010</v>
      </c>
      <c r="D32" s="3465"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45839</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2477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1651.11</v>
      </c>
      <c r="G35" s="1384"/>
      <c r="H35" s="2697"/>
      <c r="I35" s="1398"/>
      <c r="J35" s="1399"/>
      <c r="K35" s="2701"/>
      <c r="L35" s="2700"/>
      <c r="M35" s="2700"/>
    </row>
    <row r="36" spans="1:18" ht="18" customHeight="1">
      <c r="A36" s="1102" t="s">
        <v>402</v>
      </c>
      <c r="B36" s="302" t="s">
        <v>738</v>
      </c>
      <c r="C36" s="21">
        <f ca="1">ROUND(C29*F36,0)</f>
        <v>55210</v>
      </c>
      <c r="D36" s="3465"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4555</v>
      </c>
      <c r="D37" s="3465"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4016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268489</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4722517</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27.93</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3868</v>
      </c>
      <c r="D43" s="337" t="s">
        <v>777</v>
      </c>
      <c r="E43" s="338" t="s">
        <v>778</v>
      </c>
      <c r="F43" s="339">
        <f ca="1">INDIRECT("'数据-取费表'!k"&amp;$G$1)</f>
        <v>1220.99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-575.82330000000002</v>
      </c>
      <c r="D45" s="3432" t="s">
        <v>3352</v>
      </c>
      <c r="E45" s="1400"/>
      <c r="F45" s="1400"/>
      <c r="O45" s="1403" t="s">
        <v>808</v>
      </c>
      <c r="P45" s="1461"/>
      <c r="Q45" s="1461"/>
      <c r="R45" s="1461"/>
    </row>
    <row r="46" spans="1:18" s="1384" customFormat="1" ht="13.8" thickBot="1">
      <c r="A46" s="1404" t="s">
        <v>809</v>
      </c>
      <c r="C46" s="1405">
        <f ca="1">ROUND(C45,0)</f>
        <v>-576</v>
      </c>
      <c r="D46" s="1406" t="str">
        <f>C2</f>
        <v>万元</v>
      </c>
      <c r="I46" s="1407" t="s">
        <v>810</v>
      </c>
      <c r="J46" s="1408"/>
      <c r="K46" s="1409"/>
      <c r="L46" s="1410">
        <f ca="1">IF(M47="住宅",0,IF(L48&gt;J51,L60,J60))</f>
        <v>257365</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4722517</v>
      </c>
      <c r="R47" s="1420" t="s">
        <v>818</v>
      </c>
    </row>
    <row r="48" spans="1:18" s="1384" customFormat="1" ht="40.200000000000003" thickBot="1">
      <c r="A48" s="1110" t="s">
        <v>438</v>
      </c>
      <c r="B48" s="300" t="s">
        <v>692</v>
      </c>
      <c r="C48" s="3467">
        <f ca="1">C49+C53+C55</f>
        <v>0</v>
      </c>
      <c r="D48" s="1112"/>
      <c r="E48" s="1113"/>
      <c r="F48" s="962"/>
      <c r="G48" s="722"/>
      <c r="H48" s="723"/>
      <c r="I48" s="1421" t="s">
        <v>819</v>
      </c>
      <c r="J48" s="1422" t="s">
        <v>3431</v>
      </c>
      <c r="K48" s="1423" t="s">
        <v>820</v>
      </c>
      <c r="L48" s="1424">
        <f ca="1">INDIRECT("'数据-取费表'!f"&amp;$G$1)</f>
        <v>27.93</v>
      </c>
      <c r="O48" s="1418" t="s">
        <v>404</v>
      </c>
      <c r="P48" s="1419" t="s">
        <v>821</v>
      </c>
      <c r="Q48" s="1420">
        <f ca="1">J60</f>
        <v>257365</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5520973</v>
      </c>
      <c r="R49" s="1420" t="s">
        <v>818</v>
      </c>
    </row>
    <row r="50" spans="1:18" s="1384" customFormat="1" ht="13.8" thickBot="1">
      <c r="A50" s="976"/>
      <c r="B50" s="979"/>
      <c r="C50" s="980"/>
      <c r="D50" s="953"/>
      <c r="E50" s="1056" t="s">
        <v>697</v>
      </c>
      <c r="F50" s="1057">
        <f ca="1">F7</f>
        <v>1220.99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859903</v>
      </c>
      <c r="M51" s="1436"/>
      <c r="O51" s="1428" t="s">
        <v>407</v>
      </c>
      <c r="P51" s="1419" t="s">
        <v>831</v>
      </c>
      <c r="Q51" s="1431">
        <f>J52</f>
        <v>0.08</v>
      </c>
      <c r="R51" s="1420"/>
    </row>
    <row r="52" spans="1:18" s="1384" customFormat="1" ht="13.8" thickBot="1">
      <c r="A52" s="977"/>
      <c r="B52" s="979"/>
      <c r="C52" s="980"/>
      <c r="D52" s="953"/>
      <c r="E52" s="981" t="s">
        <v>699</v>
      </c>
      <c r="F52" s="1054"/>
      <c r="I52" s="1437" t="s">
        <v>832</v>
      </c>
      <c r="J52" s="1438">
        <v>0.08</v>
      </c>
      <c r="K52" s="1437" t="s">
        <v>833</v>
      </c>
      <c r="L52" s="1438"/>
      <c r="O52" s="1428" t="s">
        <v>408</v>
      </c>
      <c r="P52" s="1419" t="s">
        <v>834</v>
      </c>
      <c r="Q52" s="1420">
        <f ca="1">J53</f>
        <v>27.93</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27.93</v>
      </c>
      <c r="K53" s="3679" t="s">
        <v>837</v>
      </c>
      <c r="L53" s="3680"/>
      <c r="O53" s="1418" t="s">
        <v>409</v>
      </c>
      <c r="P53" s="1419" t="s">
        <v>838</v>
      </c>
      <c r="Q53" s="1420">
        <f ca="1">Q47+Q48</f>
        <v>4979882</v>
      </c>
      <c r="R53" s="1420" t="s">
        <v>410</v>
      </c>
    </row>
    <row r="54" spans="1:18" s="1384" customFormat="1" ht="13.8" thickBot="1">
      <c r="A54" s="975"/>
      <c r="B54" s="1473" t="s">
        <v>891</v>
      </c>
      <c r="C54" s="959"/>
      <c r="D54" s="1366"/>
      <c r="E54" s="346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62"/>
      <c r="F55" s="1440"/>
      <c r="I55" s="1443" t="s">
        <v>840</v>
      </c>
      <c r="J55" s="1444">
        <f ca="1">ROUND(IF(J47="钢混",J57/J50,1-(1-2%)*(J50-J57)/J50),3)</f>
        <v>0.185</v>
      </c>
      <c r="K55" s="1445" t="s">
        <v>841</v>
      </c>
      <c r="L55" s="1446" t="s">
        <v>3434</v>
      </c>
      <c r="O55" s="1411" t="s">
        <v>811</v>
      </c>
      <c r="P55" s="1412" t="s">
        <v>812</v>
      </c>
      <c r="Q55" s="1413" t="s">
        <v>813</v>
      </c>
      <c r="R55" s="1413" t="s">
        <v>814</v>
      </c>
    </row>
    <row r="56" spans="1:18" s="1384" customFormat="1" ht="36" customHeight="1" thickTop="1" thickBot="1">
      <c r="A56" s="957">
        <v>2</v>
      </c>
      <c r="B56" s="958" t="s">
        <v>704</v>
      </c>
      <c r="C56" s="232">
        <f ca="1">C13</f>
        <v>4554803</v>
      </c>
      <c r="D56" s="1447"/>
      <c r="E56" s="1448"/>
      <c r="F56" s="1440"/>
      <c r="I56" s="1449" t="s">
        <v>842</v>
      </c>
      <c r="J56" s="1450" t="s">
        <v>3432</v>
      </c>
      <c r="K56" s="1421" t="s">
        <v>843</v>
      </c>
      <c r="L56" s="1424" t="str">
        <f ca="1">IF(L48&lt;J51,"——",L48-J51)</f>
        <v>——</v>
      </c>
      <c r="O56" s="1418" t="s">
        <v>403</v>
      </c>
      <c r="P56" s="1419" t="s">
        <v>817</v>
      </c>
      <c r="Q56" s="1420">
        <f ca="1">C40+J29</f>
        <v>4722517</v>
      </c>
      <c r="R56" s="1420" t="s">
        <v>818</v>
      </c>
    </row>
    <row r="57" spans="1:18" s="1384" customFormat="1" ht="24.6" thickBot="1">
      <c r="A57" s="1451"/>
      <c r="B57" s="950" t="s">
        <v>767</v>
      </c>
      <c r="C57" s="238">
        <f ca="1">C29</f>
        <v>5520973</v>
      </c>
      <c r="D57" s="1452"/>
      <c r="E57" s="1453"/>
      <c r="F57" s="1454"/>
      <c r="I57" s="1455" t="s">
        <v>844</v>
      </c>
      <c r="J57" s="1456">
        <f ca="1">IF(OR(M47="住宅",J51&lt;L48,J56="是"),"——",J51-L48)</f>
        <v>11.07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62242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2477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2208389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257365</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2477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4722517</v>
      </c>
      <c r="R62" s="1420" t="s">
        <v>410</v>
      </c>
    </row>
    <row r="63" spans="1:18" s="1384" customFormat="1" ht="13.8" thickBot="1">
      <c r="A63" s="326"/>
      <c r="B63" s="956"/>
      <c r="C63" s="26"/>
      <c r="D63" s="966"/>
      <c r="E63" s="950" t="s">
        <v>788</v>
      </c>
      <c r="F63" s="303">
        <f t="shared" ca="1" si="0"/>
        <v>1651.11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55210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4555</v>
      </c>
      <c r="D65" s="964" t="s">
        <v>743</v>
      </c>
      <c r="E65" s="950" t="s">
        <v>744</v>
      </c>
      <c r="F65" s="330">
        <f t="shared" ca="1" si="0"/>
        <v>1E-3</v>
      </c>
      <c r="I65" s="1462" t="s">
        <v>867</v>
      </c>
      <c r="J65" s="1463">
        <v>40</v>
      </c>
      <c r="K65" s="1463">
        <v>30</v>
      </c>
      <c r="L65" s="1463">
        <v>50</v>
      </c>
      <c r="M65" s="1465">
        <v>0.02</v>
      </c>
      <c r="O65" s="1418" t="s">
        <v>403</v>
      </c>
      <c r="P65" s="1419" t="s">
        <v>868</v>
      </c>
      <c r="Q65" s="1420">
        <f ca="1">C40+J29</f>
        <v>4722517</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-62242</v>
      </c>
      <c r="D67" s="963" t="s">
        <v>753</v>
      </c>
      <c r="E67" s="968"/>
      <c r="F67" s="969"/>
      <c r="O67" s="1428" t="s">
        <v>405</v>
      </c>
      <c r="P67" s="1419" t="s">
        <v>850</v>
      </c>
      <c r="Q67" s="1466">
        <f ca="1">L51</f>
        <v>859903</v>
      </c>
      <c r="R67" s="1420" t="s">
        <v>870</v>
      </c>
    </row>
    <row r="68" spans="1:18" s="1384" customFormat="1" ht="16.2" thickBot="1">
      <c r="A68" s="947" t="s">
        <v>395</v>
      </c>
      <c r="B68" s="948" t="s">
        <v>774</v>
      </c>
      <c r="C68" s="301">
        <f ca="1">ROUND(C67*(1-((1+F70)/(1+F68))^F69)/(F68-F70),0)</f>
        <v>-1035716</v>
      </c>
      <c r="D68" s="965" t="s">
        <v>758</v>
      </c>
      <c r="E68" s="950" t="s">
        <v>759</v>
      </c>
      <c r="F68" s="312">
        <f ca="1">F40</f>
        <v>0.04</v>
      </c>
      <c r="O68" s="1428" t="s">
        <v>406</v>
      </c>
      <c r="P68" s="1467" t="s">
        <v>871</v>
      </c>
      <c r="Q68" s="1420">
        <f ca="1">ROUND(Q69-Q70*Q71,0)</f>
        <v>40749</v>
      </c>
      <c r="R68" s="1420" t="s">
        <v>414</v>
      </c>
    </row>
    <row r="69" spans="1:18" s="1384" customFormat="1" ht="13.8" thickBot="1">
      <c r="A69" s="951"/>
      <c r="B69" s="952"/>
      <c r="C69" s="306"/>
      <c r="D69" s="970" t="s">
        <v>762</v>
      </c>
      <c r="E69" s="950" t="s">
        <v>763</v>
      </c>
      <c r="F69" s="333">
        <f ca="1">F41</f>
        <v>27.93</v>
      </c>
      <c r="O69" s="1428" t="s">
        <v>411</v>
      </c>
      <c r="P69" s="1467" t="s">
        <v>872</v>
      </c>
      <c r="Q69" s="1420">
        <f ca="1">C39</f>
        <v>268489</v>
      </c>
      <c r="R69" s="1420" t="s">
        <v>818</v>
      </c>
    </row>
    <row r="70" spans="1:18" s="1384" customFormat="1" ht="13.8" thickBot="1">
      <c r="A70" s="954"/>
      <c r="B70" s="955"/>
      <c r="C70" s="310"/>
      <c r="D70" s="966"/>
      <c r="E70" s="950" t="s">
        <v>766</v>
      </c>
      <c r="F70" s="1054"/>
      <c r="O70" s="1428" t="s">
        <v>412</v>
      </c>
      <c r="P70" s="1467" t="s">
        <v>873</v>
      </c>
      <c r="Q70" s="1420">
        <f ca="1">C13</f>
        <v>4554803</v>
      </c>
      <c r="R70" s="1420" t="s">
        <v>818</v>
      </c>
    </row>
    <row r="71" spans="1:18" s="1384" customFormat="1" ht="13.8" thickBot="1">
      <c r="A71" s="971" t="s">
        <v>396</v>
      </c>
      <c r="B71" s="972" t="s">
        <v>776</v>
      </c>
      <c r="C71" s="336">
        <f ca="1">ROUND(C68/F71,0)</f>
        <v>-848</v>
      </c>
      <c r="D71" s="973" t="s">
        <v>777</v>
      </c>
      <c r="E71" s="974" t="s">
        <v>778</v>
      </c>
      <c r="F71" s="339">
        <f ca="1">F43</f>
        <v>1220.99</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227740</v>
      </c>
      <c r="D75" s="1384"/>
      <c r="E75" s="1384"/>
      <c r="F75" s="1384"/>
      <c r="K75" s="1402"/>
      <c r="L75" s="1384"/>
      <c r="O75" s="1418" t="s">
        <v>409</v>
      </c>
      <c r="P75" s="1419" t="s">
        <v>838</v>
      </c>
      <c r="Q75" s="1420">
        <f ca="1">Q65+Q66</f>
        <v>4722517</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0.15200000000000002</v>
      </c>
    </row>
    <row r="80" spans="1:18">
      <c r="B80" s="340" t="s">
        <v>800</v>
      </c>
      <c r="C80" s="274">
        <f ca="1">ROUND(C75/C39,3)</f>
        <v>0.84799999999999998</v>
      </c>
    </row>
    <row r="81" spans="2:3">
      <c r="B81" s="270" t="s">
        <v>801</v>
      </c>
      <c r="C81" s="238"/>
    </row>
    <row r="82" spans="2:3">
      <c r="B82" s="273" t="s">
        <v>802</v>
      </c>
      <c r="C82" s="275">
        <f ca="1">1-C83</f>
        <v>3.6000000000000032E-2</v>
      </c>
    </row>
    <row r="83" spans="2:3">
      <c r="B83" s="273" t="s">
        <v>803</v>
      </c>
      <c r="C83" s="274">
        <f ca="1">ROUND(C13/C40,3)</f>
        <v>0.96399999999999997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8" sqref="D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3413</v>
      </c>
      <c r="D1" s="1362" t="s">
        <v>43</v>
      </c>
      <c r="E1" s="1363" t="s">
        <v>678</v>
      </c>
      <c r="F1" s="1062">
        <f ca="1">J53</f>
        <v>27.93</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257.8109</v>
      </c>
      <c r="C2" s="1387" t="s">
        <v>879</v>
      </c>
      <c r="D2" s="1471">
        <f ca="1">C40+J29+L46</f>
        <v>2578109</v>
      </c>
      <c r="E2" s="1388" t="s">
        <v>880</v>
      </c>
      <c r="F2" s="1389"/>
      <c r="G2" s="2706"/>
      <c r="H2" s="2695"/>
      <c r="I2" s="2695"/>
      <c r="J2" s="2695"/>
      <c r="K2" s="2696"/>
      <c r="L2" s="2695"/>
      <c r="M2" s="2695"/>
    </row>
    <row r="3" spans="1:37" ht="18" customHeight="1" thickBot="1">
      <c r="A3" s="1390" t="s">
        <v>881</v>
      </c>
      <c r="B3" s="1391">
        <f ca="1">IF(ISERROR(D2/F43),0,ROUND(D2/F43,0))</f>
        <v>2073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204541</v>
      </c>
      <c r="D5" s="1364" t="s">
        <v>889</v>
      </c>
      <c r="E5" s="1071"/>
      <c r="F5" s="1072"/>
      <c r="G5" s="1384"/>
      <c r="H5" s="299">
        <v>1</v>
      </c>
      <c r="I5" s="300" t="s">
        <v>888</v>
      </c>
      <c r="J5" s="1070">
        <f ca="1">J6+J10+J12</f>
        <v>0</v>
      </c>
      <c r="K5" s="1364" t="s">
        <v>889</v>
      </c>
      <c r="L5" s="1071"/>
      <c r="M5" s="1072"/>
    </row>
    <row r="6" spans="1:37" ht="18" customHeight="1">
      <c r="A6" s="1069" t="s">
        <v>398</v>
      </c>
      <c r="B6" s="3681" t="s">
        <v>694</v>
      </c>
      <c r="C6" s="1074">
        <f ca="1">ROUND(F6*F8*F7*(1-F9),0)</f>
        <v>204286</v>
      </c>
      <c r="D6" s="155" t="s">
        <v>2106</v>
      </c>
      <c r="E6" s="302" t="s">
        <v>696</v>
      </c>
      <c r="F6" s="303">
        <f ca="1">INDIRECT("'数据-取费表'!u"&amp;$G$1)</f>
        <v>0.5</v>
      </c>
      <c r="G6" s="1384"/>
      <c r="H6" s="1069" t="s">
        <v>398</v>
      </c>
      <c r="I6" s="3681" t="s">
        <v>694</v>
      </c>
      <c r="J6" s="301">
        <f ca="1">ROUND(M6*M8*M7*(1-M9),0)</f>
        <v>0</v>
      </c>
      <c r="K6" s="1376" t="s">
        <v>2107</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1243.75</v>
      </c>
      <c r="G7" s="1384"/>
      <c r="H7" s="304"/>
      <c r="I7" s="3682"/>
      <c r="J7" s="306"/>
      <c r="K7" s="307"/>
      <c r="L7" s="302" t="s">
        <v>697</v>
      </c>
      <c r="M7" s="303">
        <f ca="1">F7</f>
        <v>1243.75</v>
      </c>
    </row>
    <row r="8" spans="1:37" ht="18" customHeight="1">
      <c r="A8" s="304"/>
      <c r="B8" s="3682"/>
      <c r="C8" s="306"/>
      <c r="D8" s="307"/>
      <c r="E8" s="302" t="s">
        <v>698</v>
      </c>
      <c r="F8" s="303">
        <f ca="1">INDIRECT("'数据-取费表'!ai"&amp;$G$1)</f>
        <v>365</v>
      </c>
      <c r="G8" s="1384"/>
      <c r="H8" s="304"/>
      <c r="I8" s="3682"/>
      <c r="J8" s="306"/>
      <c r="K8" s="307"/>
      <c r="L8" s="302" t="s">
        <v>698</v>
      </c>
      <c r="M8" s="303">
        <f ca="1">INDIRECT("'数据-取费表'!ai"&amp;$G$1)</f>
        <v>365</v>
      </c>
    </row>
    <row r="9" spans="1:37" ht="18" customHeight="1">
      <c r="A9" s="304"/>
      <c r="B9" s="3683"/>
      <c r="C9" s="306"/>
      <c r="D9" s="307"/>
      <c r="E9" s="302" t="s">
        <v>699</v>
      </c>
      <c r="F9" s="312">
        <f ca="1">INDIRECT("'数据-取费表'!w"&amp;$G$1)</f>
        <v>0.1</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255</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2293644</v>
      </c>
      <c r="D13" s="1081" t="s">
        <v>705</v>
      </c>
      <c r="E13" s="1081" t="s">
        <v>706</v>
      </c>
      <c r="F13" s="1082">
        <f ca="1">INDIRECT("'数据-取费表'!y"&amp;$G$1)</f>
        <v>0.75839999999999996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1865625</v>
      </c>
      <c r="D14" s="1345" t="s">
        <v>708</v>
      </c>
      <c r="E14" s="1342"/>
      <c r="F14" s="319"/>
      <c r="G14" s="1384"/>
      <c r="H14" s="982" t="s">
        <v>398</v>
      </c>
      <c r="I14" s="302" t="s">
        <v>709</v>
      </c>
      <c r="J14" s="21">
        <f ca="1">C29</f>
        <v>3024320</v>
      </c>
      <c r="K14" s="12"/>
      <c r="L14" s="807"/>
      <c r="M14" s="808"/>
    </row>
    <row r="15" spans="1:37" s="1397" customFormat="1" ht="18" customHeight="1" thickBot="1">
      <c r="A15" s="982" t="s">
        <v>399</v>
      </c>
      <c r="B15" s="302" t="s">
        <v>710</v>
      </c>
      <c r="C15" s="21">
        <f ca="1">ROUND(C14*F15,0)</f>
        <v>186563</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32766</v>
      </c>
      <c r="K16" s="1087" t="s">
        <v>715</v>
      </c>
      <c r="L16" s="1088"/>
      <c r="M16" s="1072"/>
    </row>
    <row r="17" spans="1:37" s="1397" customFormat="1" ht="18" customHeight="1">
      <c r="A17" s="982" t="s">
        <v>681</v>
      </c>
      <c r="B17" s="302" t="s">
        <v>716</v>
      </c>
      <c r="C17" s="21">
        <f ca="1">ROUND(F17*(F43+INDIRECT("'数据-取费表'!S"&amp;$G$1)),0)</f>
        <v>248750</v>
      </c>
      <c r="D17" s="302" t="s">
        <v>717</v>
      </c>
      <c r="E17" s="302" t="s">
        <v>718</v>
      </c>
      <c r="F17" s="23">
        <f>'数据-取费表'!B35</f>
        <v>200</v>
      </c>
      <c r="G17" s="1396"/>
      <c r="H17" s="982" t="s">
        <v>398</v>
      </c>
      <c r="I17" s="302" t="s">
        <v>719</v>
      </c>
      <c r="J17" s="2316">
        <f ca="1">ROUND(IF(AND(项目基本情况!B11="自然人",项目基本情况!B10="北京市"),J6*M17/(1+'数据-取费表'!C42),J18+J19+J20),0)</f>
        <v>2523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55969</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2356907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47138</v>
      </c>
      <c r="D20" s="323" t="s">
        <v>729</v>
      </c>
      <c r="E20" s="302" t="s">
        <v>712</v>
      </c>
      <c r="F20" s="322">
        <f>'数据-取费表'!B37</f>
        <v>0.02</v>
      </c>
      <c r="G20" s="1396"/>
      <c r="H20" s="982" t="s">
        <v>680</v>
      </c>
      <c r="I20" s="155" t="s">
        <v>730</v>
      </c>
      <c r="J20" s="22">
        <f ca="1">ROUND(M20*M21,0)</f>
        <v>2523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0.05</v>
      </c>
      <c r="G21" s="1396"/>
      <c r="H21" s="326"/>
      <c r="I21" s="311"/>
      <c r="J21" s="26"/>
      <c r="K21" s="327"/>
      <c r="L21" s="302" t="s">
        <v>736</v>
      </c>
      <c r="M21" s="303">
        <f ca="1">INDIRECT("'数据-取费表'!r"&amp;$G$1)</f>
        <v>1681.89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30243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51731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-32766</v>
      </c>
      <c r="K25" s="1095" t="s">
        <v>753</v>
      </c>
      <c r="L25" s="1096"/>
      <c r="M25" s="1097"/>
    </row>
    <row r="26" spans="1:37" ht="18" customHeight="1">
      <c r="A26" s="982" t="s">
        <v>397</v>
      </c>
      <c r="B26" s="302" t="s">
        <v>754</v>
      </c>
      <c r="C26" s="21">
        <f ca="1">ROUND((C19+C20)*F26,0)</f>
        <v>240405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3024320</v>
      </c>
      <c r="D29" s="1092"/>
      <c r="E29" s="1090"/>
      <c r="F29" s="1093"/>
      <c r="G29" s="1396"/>
      <c r="H29" s="334" t="s">
        <v>396</v>
      </c>
      <c r="I29" s="335" t="s">
        <v>768</v>
      </c>
      <c r="J29" s="336">
        <f ca="1">ROUND(J26/(1+F40)^F41,0)</f>
        <v>0</v>
      </c>
      <c r="K29" s="337" t="s">
        <v>769</v>
      </c>
      <c r="L29" s="338"/>
      <c r="M29" s="339">
        <f ca="1">INDIRECT("'数据-取费表'!k"&amp;$G$1)</f>
        <v>1243.75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71153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36571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10701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23347</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2523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1681.89</v>
      </c>
      <c r="G35" s="1384"/>
      <c r="H35" s="2697"/>
      <c r="I35" s="1398"/>
      <c r="J35" s="1399"/>
      <c r="K35" s="2701"/>
      <c r="L35" s="2700"/>
      <c r="M35" s="2700"/>
    </row>
    <row r="36" spans="1:18" ht="18" customHeight="1">
      <c r="A36" s="1102" t="s">
        <v>402</v>
      </c>
      <c r="B36" s="302" t="s">
        <v>738</v>
      </c>
      <c r="C36" s="21">
        <f ca="1">ROUND(C29*F36,0)</f>
        <v>30243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2294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2045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133388</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2346194</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27.93</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1886</v>
      </c>
      <c r="D43" s="337" t="s">
        <v>777</v>
      </c>
      <c r="E43" s="338" t="s">
        <v>778</v>
      </c>
      <c r="F43" s="339">
        <f ca="1">INDIRECT("'数据-取费表'!k"&amp;$G$1)</f>
        <v>1243.75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-292.9597</v>
      </c>
      <c r="D45" s="3432" t="s">
        <v>3352</v>
      </c>
      <c r="E45" s="1400"/>
      <c r="F45" s="1400"/>
      <c r="O45" s="1403" t="s">
        <v>808</v>
      </c>
      <c r="P45" s="1461"/>
      <c r="Q45" s="1461"/>
      <c r="R45" s="1461"/>
    </row>
    <row r="46" spans="1:18" s="1384" customFormat="1" ht="13.8" thickBot="1">
      <c r="A46" s="1404" t="s">
        <v>809</v>
      </c>
      <c r="C46" s="1405">
        <f ca="1">ROUND(C45,0)</f>
        <v>-293</v>
      </c>
      <c r="D46" s="1406" t="str">
        <f>C2</f>
        <v>万元</v>
      </c>
      <c r="I46" s="1407" t="s">
        <v>810</v>
      </c>
      <c r="J46" s="1408"/>
      <c r="K46" s="1409"/>
      <c r="L46" s="1410">
        <f ca="1">IF(M47="住宅",0,IF(L48&gt;J51,L60,J60))</f>
        <v>231915</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3433</v>
      </c>
      <c r="K47" s="1416" t="s">
        <v>816</v>
      </c>
      <c r="L47" s="1417">
        <f ca="1">INDIRECT("'数据-取费表'!d"&amp;$G$1)</f>
        <v>50</v>
      </c>
      <c r="M47" s="1380" t="str">
        <f>IF(ISNUMBER(FIND("住宅",C1)),"住宅","非住宅")</f>
        <v>非住宅</v>
      </c>
      <c r="O47" s="1418" t="s">
        <v>403</v>
      </c>
      <c r="P47" s="1419" t="s">
        <v>817</v>
      </c>
      <c r="Q47" s="1420">
        <f ca="1">C40+J29</f>
        <v>2346194</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3431</v>
      </c>
      <c r="K48" s="1423" t="s">
        <v>820</v>
      </c>
      <c r="L48" s="1424">
        <f ca="1">INDIRECT("'数据-取费表'!f"&amp;$G$1)</f>
        <v>27.93</v>
      </c>
      <c r="O48" s="1418" t="s">
        <v>404</v>
      </c>
      <c r="P48" s="1419" t="s">
        <v>821</v>
      </c>
      <c r="Q48" s="1420">
        <f ca="1">J60</f>
        <v>231915</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3024320</v>
      </c>
      <c r="R49" s="1420" t="s">
        <v>818</v>
      </c>
    </row>
    <row r="50" spans="1:18" s="1384" customFormat="1" ht="13.8" thickBot="1">
      <c r="A50" s="976"/>
      <c r="B50" s="979"/>
      <c r="C50" s="980"/>
      <c r="D50" s="953"/>
      <c r="E50" s="1056" t="s">
        <v>697</v>
      </c>
      <c r="F50" s="1057">
        <f ca="1">F7</f>
        <v>1243.75</v>
      </c>
      <c r="H50" s="723"/>
      <c r="I50" s="1421" t="s">
        <v>826</v>
      </c>
      <c r="J50" s="1429">
        <f>SUMPRODUCT((I63:I65=J47)*(J62:L62=J48)*(J63:L65))</f>
        <v>80</v>
      </c>
      <c r="K50" s="1423" t="s">
        <v>827</v>
      </c>
      <c r="L50" s="1427"/>
      <c r="M50" s="1430"/>
      <c r="O50" s="1428" t="s">
        <v>406</v>
      </c>
      <c r="P50" s="1419" t="s">
        <v>828</v>
      </c>
      <c r="Q50" s="1431">
        <f ca="1">J58</f>
        <v>0.65800000000000003</v>
      </c>
      <c r="R50" s="1420"/>
    </row>
    <row r="51" spans="1:18" s="1384" customFormat="1" ht="13.8" thickBot="1">
      <c r="A51" s="977"/>
      <c r="B51" s="979"/>
      <c r="C51" s="980"/>
      <c r="D51" s="953"/>
      <c r="E51" s="981" t="s">
        <v>698</v>
      </c>
      <c r="F51" s="303">
        <f ca="1">F8</f>
        <v>365</v>
      </c>
      <c r="I51" s="1432" t="s">
        <v>829</v>
      </c>
      <c r="J51" s="1433">
        <f>IF(J49="",J50,J49+J50-YEAR('数据-取费表'!B2))</f>
        <v>80</v>
      </c>
      <c r="K51" s="1434" t="s">
        <v>830</v>
      </c>
      <c r="L51" s="1435">
        <f ca="1">ROUND(-PV(INDIRECT("'数据-取费表'!h"&amp;$G$1),J51,(C39-C13*C76),0),0)</f>
        <v>500357</v>
      </c>
      <c r="M51" s="1436"/>
      <c r="O51" s="1428" t="s">
        <v>407</v>
      </c>
      <c r="P51" s="1419" t="s">
        <v>831</v>
      </c>
      <c r="Q51" s="1431">
        <f>J52</f>
        <v>0.08</v>
      </c>
      <c r="R51" s="1420"/>
    </row>
    <row r="52" spans="1:18" s="1384" customFormat="1" ht="13.8" thickBot="1">
      <c r="A52" s="977"/>
      <c r="B52" s="979"/>
      <c r="C52" s="980"/>
      <c r="D52" s="953"/>
      <c r="E52" s="981" t="s">
        <v>699</v>
      </c>
      <c r="F52" s="1054"/>
      <c r="I52" s="1437" t="s">
        <v>832</v>
      </c>
      <c r="J52" s="1438">
        <v>0.08</v>
      </c>
      <c r="K52" s="1437" t="s">
        <v>833</v>
      </c>
      <c r="L52" s="1438"/>
      <c r="O52" s="1428" t="s">
        <v>408</v>
      </c>
      <c r="P52" s="1419" t="s">
        <v>834</v>
      </c>
      <c r="Q52" s="1420">
        <f ca="1">J53</f>
        <v>27.93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27.93</v>
      </c>
      <c r="K53" s="3679" t="s">
        <v>837</v>
      </c>
      <c r="L53" s="3680"/>
      <c r="O53" s="1418" t="s">
        <v>409</v>
      </c>
      <c r="P53" s="1419" t="s">
        <v>838</v>
      </c>
      <c r="Q53" s="1420">
        <f ca="1">Q47+Q48</f>
        <v>2578109</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0.65800000000000003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2293644</v>
      </c>
      <c r="D56" s="1447"/>
      <c r="E56" s="1448"/>
      <c r="F56" s="1440"/>
      <c r="I56" s="1449" t="s">
        <v>842</v>
      </c>
      <c r="J56" s="1450" t="s">
        <v>3432</v>
      </c>
      <c r="K56" s="1421" t="s">
        <v>843</v>
      </c>
      <c r="L56" s="1424" t="str">
        <f ca="1">IF(L48&lt;J51,"——",L48-J51)</f>
        <v>——</v>
      </c>
      <c r="O56" s="1418" t="s">
        <v>403</v>
      </c>
      <c r="P56" s="1419" t="s">
        <v>817</v>
      </c>
      <c r="Q56" s="1420">
        <f ca="1">C40+J29</f>
        <v>2346194</v>
      </c>
      <c r="R56" s="1420" t="s">
        <v>818</v>
      </c>
    </row>
    <row r="57" spans="1:18" s="1384" customFormat="1" ht="24.6" thickBot="1">
      <c r="A57" s="1451"/>
      <c r="B57" s="950" t="s">
        <v>767</v>
      </c>
      <c r="C57" s="238">
        <f ca="1">C29</f>
        <v>3024320</v>
      </c>
      <c r="D57" s="1452"/>
      <c r="E57" s="1453"/>
      <c r="F57" s="1454"/>
      <c r="I57" s="1455" t="s">
        <v>844</v>
      </c>
      <c r="J57" s="1456">
        <f ca="1">IF(OR(M47="住宅",J51&lt;L48,J56="是"),"——",J51-L48)</f>
        <v>52.07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35060</v>
      </c>
      <c r="D58" s="960" t="s">
        <v>715</v>
      </c>
      <c r="E58" s="961"/>
      <c r="F58" s="962"/>
      <c r="I58" s="1455" t="s">
        <v>848</v>
      </c>
      <c r="J58" s="1457">
        <f ca="1">IF(J55&lt;0.4,0.4,J55)</f>
        <v>0.65800000000000003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2523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1990003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231915</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2523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2346194</v>
      </c>
      <c r="R62" s="1420" t="s">
        <v>410</v>
      </c>
    </row>
    <row r="63" spans="1:18" s="1384" customFormat="1" ht="13.8" thickBot="1">
      <c r="A63" s="326"/>
      <c r="B63" s="956"/>
      <c r="C63" s="26"/>
      <c r="D63" s="966"/>
      <c r="E63" s="950" t="s">
        <v>788</v>
      </c>
      <c r="F63" s="303">
        <f t="shared" ca="1" si="0"/>
        <v>1681.89</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30243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2294</v>
      </c>
      <c r="D65" s="964" t="s">
        <v>743</v>
      </c>
      <c r="E65" s="950" t="s">
        <v>744</v>
      </c>
      <c r="F65" s="330">
        <f t="shared" ca="1" si="0"/>
        <v>1E-3</v>
      </c>
      <c r="I65" s="1462" t="s">
        <v>867</v>
      </c>
      <c r="J65" s="1463">
        <v>40</v>
      </c>
      <c r="K65" s="1463">
        <v>30</v>
      </c>
      <c r="L65" s="1463">
        <v>50</v>
      </c>
      <c r="M65" s="1465">
        <v>0.02</v>
      </c>
      <c r="O65" s="1418" t="s">
        <v>403</v>
      </c>
      <c r="P65" s="1419" t="s">
        <v>868</v>
      </c>
      <c r="Q65" s="1420">
        <f ca="1">C40+J29</f>
        <v>2346194</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-35060</v>
      </c>
      <c r="D67" s="963" t="s">
        <v>753</v>
      </c>
      <c r="E67" s="968"/>
      <c r="F67" s="969"/>
      <c r="O67" s="1428" t="s">
        <v>405</v>
      </c>
      <c r="P67" s="1419" t="s">
        <v>850</v>
      </c>
      <c r="Q67" s="1466">
        <f ca="1">L51</f>
        <v>500357</v>
      </c>
      <c r="R67" s="1420" t="s">
        <v>870</v>
      </c>
    </row>
    <row r="68" spans="1:18" s="1384" customFormat="1" ht="16.2" thickBot="1">
      <c r="A68" s="947" t="s">
        <v>395</v>
      </c>
      <c r="B68" s="948" t="s">
        <v>774</v>
      </c>
      <c r="C68" s="301">
        <f ca="1">ROUND(C67*(1-((1+F70)/(1+F68))^F69)/(F68-F70),0)</f>
        <v>-583403</v>
      </c>
      <c r="D68" s="965" t="s">
        <v>758</v>
      </c>
      <c r="E68" s="950" t="s">
        <v>759</v>
      </c>
      <c r="F68" s="312">
        <f ca="1">F40</f>
        <v>0.04</v>
      </c>
      <c r="O68" s="1428" t="s">
        <v>406</v>
      </c>
      <c r="P68" s="1467" t="s">
        <v>871</v>
      </c>
      <c r="Q68" s="1420">
        <f ca="1">ROUND(Q69-Q70*Q71,0)</f>
        <v>18706</v>
      </c>
      <c r="R68" s="1420" t="s">
        <v>414</v>
      </c>
    </row>
    <row r="69" spans="1:18" s="1384" customFormat="1" ht="13.8" thickBot="1">
      <c r="A69" s="951"/>
      <c r="B69" s="952"/>
      <c r="C69" s="306"/>
      <c r="D69" s="970" t="s">
        <v>762</v>
      </c>
      <c r="E69" s="950" t="s">
        <v>763</v>
      </c>
      <c r="F69" s="333">
        <f ca="1">F41</f>
        <v>27.93</v>
      </c>
      <c r="O69" s="1428" t="s">
        <v>411</v>
      </c>
      <c r="P69" s="1467" t="s">
        <v>872</v>
      </c>
      <c r="Q69" s="1420">
        <f ca="1">C39</f>
        <v>133388</v>
      </c>
      <c r="R69" s="1420" t="s">
        <v>818</v>
      </c>
    </row>
    <row r="70" spans="1:18" s="1384" customFormat="1" ht="13.8" thickBot="1">
      <c r="A70" s="954"/>
      <c r="B70" s="955"/>
      <c r="C70" s="310"/>
      <c r="D70" s="966"/>
      <c r="E70" s="950" t="s">
        <v>766</v>
      </c>
      <c r="F70" s="1054"/>
      <c r="O70" s="1428" t="s">
        <v>412</v>
      </c>
      <c r="P70" s="1467" t="s">
        <v>873</v>
      </c>
      <c r="Q70" s="1420">
        <f ca="1">C13</f>
        <v>2293644</v>
      </c>
      <c r="R70" s="1420" t="s">
        <v>818</v>
      </c>
    </row>
    <row r="71" spans="1:18" s="1384" customFormat="1" ht="13.8" thickBot="1">
      <c r="A71" s="971" t="s">
        <v>396</v>
      </c>
      <c r="B71" s="972" t="s">
        <v>776</v>
      </c>
      <c r="C71" s="336">
        <f ca="1">ROUND(C68/F71,0)</f>
        <v>-469</v>
      </c>
      <c r="D71" s="973" t="s">
        <v>777</v>
      </c>
      <c r="E71" s="974" t="s">
        <v>778</v>
      </c>
      <c r="F71" s="339">
        <f ca="1">F43</f>
        <v>1243.75</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114682</v>
      </c>
      <c r="D75" s="1384"/>
      <c r="E75" s="1384"/>
      <c r="F75" s="1384"/>
      <c r="K75" s="1402"/>
      <c r="L75" s="1384"/>
      <c r="O75" s="1418" t="s">
        <v>409</v>
      </c>
      <c r="P75" s="1419" t="s">
        <v>838</v>
      </c>
      <c r="Q75" s="1420">
        <f ca="1">Q65+Q66</f>
        <v>2346194</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0.14000000000000001</v>
      </c>
    </row>
    <row r="80" spans="1:18">
      <c r="B80" s="340" t="s">
        <v>800</v>
      </c>
      <c r="C80" s="274">
        <f ca="1">ROUND(C75/C39,3)</f>
        <v>0.86</v>
      </c>
    </row>
    <row r="81" spans="2:3">
      <c r="B81" s="270" t="s">
        <v>801</v>
      </c>
      <c r="C81" s="238"/>
    </row>
    <row r="82" spans="2:3">
      <c r="B82" s="273" t="s">
        <v>802</v>
      </c>
      <c r="C82" s="275">
        <f ca="1">1-C83</f>
        <v>2.200000000000002E-2</v>
      </c>
    </row>
    <row r="83" spans="2:3">
      <c r="B83" s="273" t="s">
        <v>803</v>
      </c>
      <c r="C83" s="274">
        <f ca="1">ROUND(C13/C40,3)</f>
        <v>0.97799999999999998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2" customHeight="1">
      <c r="A2" s="1385" t="s">
        <v>2314</v>
      </c>
      <c r="B2" s="2843" t="e">
        <f>IF(D2="——",C40,C40+E2)</f>
        <v>#DIV/0!</v>
      </c>
      <c r="C2" s="2844" t="s">
        <v>2315</v>
      </c>
      <c r="D2" s="3443" t="s">
        <v>3358</v>
      </c>
      <c r="E2" s="3444"/>
      <c r="F2" s="2846"/>
      <c r="G2" s="2847"/>
      <c r="H2" s="2848"/>
      <c r="I2" s="2849"/>
      <c r="J2" s="3684" t="s">
        <v>2316</v>
      </c>
      <c r="K2" s="3685"/>
      <c r="L2" s="2850" t="s">
        <v>2317</v>
      </c>
      <c r="M2" s="2850" t="s">
        <v>2318</v>
      </c>
      <c r="N2" s="2850" t="s">
        <v>2319</v>
      </c>
      <c r="O2" s="2850" t="s">
        <v>2320</v>
      </c>
      <c r="P2" s="2850" t="s">
        <v>2321</v>
      </c>
      <c r="Q2" s="2851" t="s">
        <v>2322</v>
      </c>
      <c r="R2" s="2852" t="s">
        <v>2323</v>
      </c>
      <c r="S2" s="2841"/>
      <c r="T2" s="2841"/>
      <c r="U2" s="2841"/>
      <c r="V2" s="2849"/>
    </row>
    <row r="3" spans="1:22" s="2853" customFormat="1" ht="13.2" customHeight="1">
      <c r="A3" s="2854" t="s">
        <v>2324</v>
      </c>
      <c r="B3" s="2855" t="e">
        <f>ROUND(B2*10000/B4,0)</f>
        <v>#DIV/0!</v>
      </c>
      <c r="C3" s="2844" t="s">
        <v>2325</v>
      </c>
      <c r="D3" s="2844"/>
      <c r="E3" s="2845"/>
      <c r="F3" s="2846"/>
      <c r="G3" s="2847"/>
      <c r="H3" s="2848"/>
      <c r="I3" s="2849"/>
      <c r="J3" s="3686" t="s">
        <v>2326</v>
      </c>
      <c r="K3" s="3687"/>
      <c r="L3" s="2856"/>
      <c r="M3" s="2856"/>
      <c r="N3" s="2856"/>
      <c r="O3" s="2856"/>
      <c r="P3" s="2856"/>
      <c r="Q3" s="2857"/>
      <c r="R3" s="2858">
        <f>SUM(L3:Q3)</f>
        <v>0</v>
      </c>
      <c r="S3" s="2841"/>
      <c r="T3" s="2841"/>
      <c r="U3" s="2841"/>
      <c r="V3" s="2849"/>
    </row>
    <row r="4" spans="1:22" s="2853" customFormat="1" ht="13.2" customHeight="1">
      <c r="A4" s="2859" t="s">
        <v>2327</v>
      </c>
      <c r="B4" s="2860"/>
      <c r="C4" s="2844"/>
      <c r="D4" s="2844"/>
      <c r="E4" s="2845"/>
      <c r="F4" s="2846"/>
      <c r="G4" s="2847"/>
      <c r="H4" s="2848"/>
      <c r="I4" s="2849"/>
      <c r="J4" s="3686" t="s">
        <v>2328</v>
      </c>
      <c r="K4" s="3687"/>
      <c r="L4" s="2861"/>
      <c r="M4" s="2861"/>
      <c r="N4" s="2861"/>
      <c r="O4" s="2861"/>
      <c r="P4" s="2861"/>
      <c r="Q4" s="2862"/>
      <c r="R4" s="2863">
        <f>SUM(L4:Q4)</f>
        <v>0</v>
      </c>
      <c r="S4" s="2841"/>
      <c r="T4" s="2841"/>
      <c r="U4" s="2841"/>
      <c r="V4" s="2849"/>
    </row>
    <row r="5" spans="1:22" s="2853" customFormat="1" ht="13.2"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2" customHeight="1" thickBot="1">
      <c r="A6" s="3688" t="s">
        <v>2332</v>
      </c>
      <c r="B6" s="3689"/>
      <c r="C6" s="3690"/>
      <c r="D6" s="2870"/>
      <c r="E6" s="2871"/>
      <c r="F6" s="2872"/>
      <c r="G6" s="2873"/>
      <c r="H6" s="2848"/>
      <c r="I6" s="2849"/>
      <c r="J6" s="3691">
        <v>1</v>
      </c>
      <c r="K6" s="3692"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2" customHeight="1">
      <c r="A7" s="2876" t="s">
        <v>2342</v>
      </c>
      <c r="B7" s="2877"/>
      <c r="C7" s="2878"/>
      <c r="D7" s="2879">
        <f>SUM(D9,D10,D11,D17,0)</f>
        <v>0</v>
      </c>
      <c r="E7" s="2880" t="e">
        <f>E9+E10+E11+E17</f>
        <v>#DIV/0!</v>
      </c>
      <c r="F7" s="2881"/>
      <c r="G7" s="2882"/>
      <c r="H7" s="2848"/>
      <c r="I7" s="2849"/>
      <c r="J7" s="3691"/>
      <c r="K7" s="3693"/>
      <c r="L7" s="2883" t="s">
        <v>2343</v>
      </c>
      <c r="M7" s="2884"/>
      <c r="N7" s="2860"/>
      <c r="O7" s="2885"/>
      <c r="P7" s="2885"/>
      <c r="Q7" s="2886">
        <v>365</v>
      </c>
      <c r="R7" s="2887">
        <f>ROUND(M7*N7*O7*P7*Q7/10000,0)</f>
        <v>0</v>
      </c>
      <c r="S7" s="2841"/>
      <c r="T7" s="2841" t="s">
        <v>2344</v>
      </c>
      <c r="U7" s="2841"/>
      <c r="V7" s="2849"/>
    </row>
    <row r="8" spans="1:22" s="2853" customFormat="1" ht="13.2" customHeight="1">
      <c r="A8" s="2888" t="s">
        <v>2345</v>
      </c>
      <c r="B8" s="3695" t="s">
        <v>2346</v>
      </c>
      <c r="C8" s="3696"/>
      <c r="D8" s="2889" t="s">
        <v>2347</v>
      </c>
      <c r="E8" s="2890" t="s">
        <v>2348</v>
      </c>
      <c r="F8" s="2891" t="s">
        <v>2349</v>
      </c>
      <c r="G8" s="2892"/>
      <c r="H8" s="2848"/>
      <c r="I8" s="2849"/>
      <c r="J8" s="3691"/>
      <c r="K8" s="3693"/>
      <c r="L8" s="2883" t="s">
        <v>2350</v>
      </c>
      <c r="M8" s="2884"/>
      <c r="N8" s="2860"/>
      <c r="O8" s="2885"/>
      <c r="P8" s="2885"/>
      <c r="Q8" s="2886">
        <v>365</v>
      </c>
      <c r="R8" s="2887">
        <f t="shared" ref="R8:R13" si="0">ROUND(M8*N8*O8*P8*Q8/10000,0)</f>
        <v>0</v>
      </c>
      <c r="S8" s="2841"/>
      <c r="T8" s="2841" t="s">
        <v>2351</v>
      </c>
      <c r="U8" s="2841"/>
      <c r="V8" s="2849"/>
    </row>
    <row r="9" spans="1:22" s="2853" customFormat="1" ht="13.2" customHeight="1">
      <c r="A9" s="2888">
        <v>1</v>
      </c>
      <c r="B9" s="3695" t="s">
        <v>2352</v>
      </c>
      <c r="C9" s="3696"/>
      <c r="D9" s="2889">
        <f>ROUND(D6*E9,0)</f>
        <v>0</v>
      </c>
      <c r="E9" s="2893"/>
      <c r="F9" s="2894" t="s">
        <v>2353</v>
      </c>
      <c r="G9" s="2873"/>
      <c r="H9" s="2848"/>
      <c r="I9" s="2849"/>
      <c r="J9" s="3691"/>
      <c r="K9" s="3693"/>
      <c r="L9" s="2883" t="s">
        <v>2354</v>
      </c>
      <c r="M9" s="2884"/>
      <c r="N9" s="2860"/>
      <c r="O9" s="2885"/>
      <c r="P9" s="2885"/>
      <c r="Q9" s="2886">
        <v>365</v>
      </c>
      <c r="R9" s="2887">
        <f t="shared" si="0"/>
        <v>0</v>
      </c>
      <c r="S9" s="2841"/>
      <c r="T9" s="2841"/>
      <c r="U9" s="2841"/>
      <c r="V9" s="2849"/>
    </row>
    <row r="10" spans="1:22" s="2853" customFormat="1" ht="13.2" customHeight="1">
      <c r="A10" s="2888">
        <v>2</v>
      </c>
      <c r="B10" s="3695" t="s">
        <v>2355</v>
      </c>
      <c r="C10" s="3696"/>
      <c r="D10" s="2889">
        <f>ROUND(D6*E10,0)</f>
        <v>0</v>
      </c>
      <c r="E10" s="2893"/>
      <c r="F10" s="2894" t="s">
        <v>2356</v>
      </c>
      <c r="G10" s="2873"/>
      <c r="H10" s="2848"/>
      <c r="I10" s="2849"/>
      <c r="J10" s="3691"/>
      <c r="K10" s="3693"/>
      <c r="L10" s="2883" t="s">
        <v>2357</v>
      </c>
      <c r="M10" s="2884"/>
      <c r="N10" s="2860"/>
      <c r="O10" s="2885"/>
      <c r="P10" s="2885"/>
      <c r="Q10" s="2886">
        <v>365</v>
      </c>
      <c r="R10" s="2887">
        <f t="shared" si="0"/>
        <v>0</v>
      </c>
      <c r="S10" s="2841"/>
      <c r="T10" s="2841"/>
      <c r="U10" s="2841"/>
      <c r="V10" s="2849"/>
    </row>
    <row r="11" spans="1:22" s="2853" customFormat="1" ht="13.2" customHeight="1">
      <c r="A11" s="2888">
        <v>3</v>
      </c>
      <c r="B11" s="3695" t="s">
        <v>2358</v>
      </c>
      <c r="C11" s="3696"/>
      <c r="D11" s="2889">
        <f>D12+D14+D15+D16</f>
        <v>0</v>
      </c>
      <c r="E11" s="2895" t="e">
        <f>D11/D6</f>
        <v>#DIV/0!</v>
      </c>
      <c r="F11" s="2891"/>
      <c r="G11" s="2892"/>
      <c r="H11" s="2848"/>
      <c r="I11" s="2849"/>
      <c r="J11" s="3691"/>
      <c r="K11" s="3693"/>
      <c r="L11" s="2883" t="s">
        <v>2359</v>
      </c>
      <c r="M11" s="2884"/>
      <c r="N11" s="2860"/>
      <c r="O11" s="2885"/>
      <c r="P11" s="2885"/>
      <c r="Q11" s="2886">
        <v>365</v>
      </c>
      <c r="R11" s="2887">
        <f t="shared" si="0"/>
        <v>0</v>
      </c>
      <c r="S11" s="2841"/>
      <c r="T11" s="2841"/>
      <c r="U11" s="2841"/>
      <c r="V11" s="2849"/>
    </row>
    <row r="12" spans="1:22" s="2853" customFormat="1" ht="13.2" customHeight="1">
      <c r="A12" s="2896" t="s">
        <v>2360</v>
      </c>
      <c r="B12" s="3697" t="s">
        <v>2361</v>
      </c>
      <c r="C12" s="3698"/>
      <c r="D12" s="2897">
        <f>ROUND(D13*1.2%*(1-30%),0)</f>
        <v>0</v>
      </c>
      <c r="E12" s="2898">
        <v>1.2E-2</v>
      </c>
      <c r="F12" s="2891" t="s">
        <v>2362</v>
      </c>
      <c r="G12" s="2892"/>
      <c r="H12" s="2848"/>
      <c r="I12" s="2849"/>
      <c r="J12" s="3691"/>
      <c r="K12" s="3693"/>
      <c r="L12" s="2883" t="s">
        <v>2363</v>
      </c>
      <c r="M12" s="2884"/>
      <c r="N12" s="2860"/>
      <c r="O12" s="2885"/>
      <c r="P12" s="2885"/>
      <c r="Q12" s="2886">
        <v>365</v>
      </c>
      <c r="R12" s="2887">
        <f t="shared" si="0"/>
        <v>0</v>
      </c>
      <c r="S12" s="2841"/>
      <c r="T12" s="2841"/>
      <c r="U12" s="2841"/>
      <c r="V12" s="2849"/>
    </row>
    <row r="13" spans="1:22" s="2853" customFormat="1" ht="13.2" customHeight="1">
      <c r="A13" s="2896"/>
      <c r="B13" s="2899"/>
      <c r="C13" s="2900" t="s">
        <v>2364</v>
      </c>
      <c r="D13" s="2901"/>
      <c r="E13" s="2902"/>
      <c r="F13" s="2891"/>
      <c r="G13" s="2892"/>
      <c r="H13" s="2848"/>
      <c r="I13" s="2849"/>
      <c r="J13" s="3691"/>
      <c r="K13" s="3693"/>
      <c r="L13" s="2883" t="s">
        <v>2365</v>
      </c>
      <c r="M13" s="2884"/>
      <c r="N13" s="2860"/>
      <c r="O13" s="2885"/>
      <c r="P13" s="2885"/>
      <c r="Q13" s="2886">
        <v>365</v>
      </c>
      <c r="R13" s="2887">
        <f t="shared" si="0"/>
        <v>0</v>
      </c>
      <c r="S13" s="2841"/>
      <c r="T13" s="2841"/>
      <c r="U13" s="2841"/>
      <c r="V13" s="2849"/>
    </row>
    <row r="14" spans="1:22" s="2853" customFormat="1" ht="13.2" customHeight="1">
      <c r="A14" s="2896" t="s">
        <v>2366</v>
      </c>
      <c r="B14" s="3697" t="s">
        <v>2367</v>
      </c>
      <c r="C14" s="3698"/>
      <c r="D14" s="2897">
        <f>ROUND(E14*B5/10000,0)</f>
        <v>0</v>
      </c>
      <c r="E14" s="2886"/>
      <c r="F14" s="2891" t="s">
        <v>2368</v>
      </c>
      <c r="G14" s="2892"/>
      <c r="H14" s="2848"/>
      <c r="I14" s="2849"/>
      <c r="J14" s="3691"/>
      <c r="K14" s="3694"/>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2370</v>
      </c>
      <c r="B15" s="3697" t="s">
        <v>2371</v>
      </c>
      <c r="C15" s="3698"/>
      <c r="D15" s="2897">
        <f>ROUND(D6*E15,0)</f>
        <v>0</v>
      </c>
      <c r="E15" s="2898">
        <v>5.5E-2</v>
      </c>
      <c r="F15" s="2891" t="s">
        <v>2372</v>
      </c>
      <c r="G15" s="2873"/>
      <c r="H15" s="2848"/>
      <c r="I15" s="2849"/>
      <c r="J15" s="3691">
        <v>2</v>
      </c>
      <c r="K15" s="3692"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2" customHeight="1">
      <c r="A16" s="2896" t="s">
        <v>2379</v>
      </c>
      <c r="B16" s="3697" t="s">
        <v>2380</v>
      </c>
      <c r="C16" s="3698"/>
      <c r="D16" s="2908">
        <f>D6*E16</f>
        <v>0</v>
      </c>
      <c r="E16" s="2909"/>
      <c r="F16" s="2894" t="s">
        <v>2381</v>
      </c>
      <c r="G16" s="2873"/>
      <c r="H16" s="2848"/>
      <c r="I16" s="2849"/>
      <c r="J16" s="3691"/>
      <c r="K16" s="3693"/>
      <c r="L16" s="2883" t="s">
        <v>2382</v>
      </c>
      <c r="M16" s="2884"/>
      <c r="N16" s="2884"/>
      <c r="O16" s="2885"/>
      <c r="P16" s="2886">
        <v>365</v>
      </c>
      <c r="Q16" s="2860"/>
      <c r="R16" s="2907">
        <f>ROUND(M16*N16*O16*P16/10000,0)</f>
        <v>0</v>
      </c>
      <c r="S16" s="2841"/>
      <c r="T16" s="2841"/>
      <c r="U16" s="2841"/>
      <c r="V16" s="2849"/>
    </row>
    <row r="17" spans="1:22" s="2853" customFormat="1" ht="13.2" customHeight="1" thickBot="1">
      <c r="A17" s="2910">
        <v>4</v>
      </c>
      <c r="B17" s="3699" t="s">
        <v>2383</v>
      </c>
      <c r="C17" s="3700"/>
      <c r="D17" s="2911">
        <f>ROUND(D6*E17,0)</f>
        <v>0</v>
      </c>
      <c r="E17" s="2912"/>
      <c r="F17" s="2913" t="s">
        <v>2384</v>
      </c>
      <c r="G17" s="2873"/>
      <c r="H17" s="2848"/>
      <c r="I17" s="2849"/>
      <c r="J17" s="3691"/>
      <c r="K17" s="3693"/>
      <c r="L17" s="2883" t="s">
        <v>2385</v>
      </c>
      <c r="M17" s="2884"/>
      <c r="N17" s="2884"/>
      <c r="O17" s="2885"/>
      <c r="P17" s="2886">
        <v>365</v>
      </c>
      <c r="Q17" s="2860"/>
      <c r="R17" s="2907">
        <f>ROUND(M17*N17*O17*P17/10000,0)</f>
        <v>0</v>
      </c>
      <c r="S17" s="2841"/>
      <c r="T17" s="2841"/>
      <c r="U17" s="2841"/>
      <c r="V17" s="2849"/>
    </row>
    <row r="18" spans="1:22" s="2853" customFormat="1" ht="13.2" customHeight="1" thickBot="1">
      <c r="A18" s="2876" t="s">
        <v>2386</v>
      </c>
      <c r="B18" s="2877"/>
      <c r="C18" s="2877"/>
      <c r="D18" s="2914">
        <f>ROUND(D6*E18,0)</f>
        <v>0</v>
      </c>
      <c r="E18" s="2915"/>
      <c r="F18" s="2916" t="s">
        <v>2387</v>
      </c>
      <c r="G18" s="2873"/>
      <c r="H18" s="2848"/>
      <c r="I18" s="2849"/>
      <c r="J18" s="3691"/>
      <c r="K18" s="3693"/>
      <c r="L18" s="2883" t="s">
        <v>2388</v>
      </c>
      <c r="M18" s="2884"/>
      <c r="N18" s="2884"/>
      <c r="O18" s="2885"/>
      <c r="P18" s="2886">
        <v>365</v>
      </c>
      <c r="Q18" s="2860"/>
      <c r="R18" s="2907">
        <f>ROUND(M18*N18*O18*P18/10000,0)</f>
        <v>0</v>
      </c>
      <c r="S18" s="2841"/>
      <c r="T18" s="2841"/>
      <c r="U18" s="2841"/>
      <c r="V18" s="2849"/>
    </row>
    <row r="19" spans="1:22" s="2853" customFormat="1" ht="13.2" customHeight="1" thickBot="1">
      <c r="A19" s="2917" t="s">
        <v>2389</v>
      </c>
      <c r="B19" s="2871"/>
      <c r="C19" s="2871"/>
      <c r="D19" s="2871"/>
      <c r="E19" s="2871"/>
      <c r="F19" s="2872"/>
      <c r="G19" s="2892"/>
      <c r="H19" s="2848"/>
      <c r="I19" s="2849"/>
      <c r="J19" s="3691"/>
      <c r="K19" s="3694"/>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1">
        <v>3</v>
      </c>
      <c r="K20" s="3692"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2" customHeight="1">
      <c r="A21" s="2876"/>
      <c r="B21" s="2877"/>
      <c r="C21" s="2923" t="s">
        <v>2398</v>
      </c>
      <c r="D21" s="2924" t="s">
        <v>2399</v>
      </c>
      <c r="E21" s="2925" t="s">
        <v>2400</v>
      </c>
      <c r="F21" s="2920"/>
      <c r="G21" s="2892"/>
      <c r="H21" s="2848"/>
      <c r="I21" s="2849"/>
      <c r="J21" s="3691"/>
      <c r="K21" s="3693"/>
      <c r="L21" s="2883" t="s">
        <v>2401</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2402</v>
      </c>
      <c r="D22" s="2928" t="s">
        <v>2403</v>
      </c>
      <c r="E22" s="2929" t="s">
        <v>2404</v>
      </c>
      <c r="F22" s="2920"/>
      <c r="G22" s="2930"/>
      <c r="H22" s="2848"/>
      <c r="I22" s="2849"/>
      <c r="J22" s="3691"/>
      <c r="K22" s="3693"/>
      <c r="L22" s="2883" t="s">
        <v>2405</v>
      </c>
      <c r="M22" s="2884"/>
      <c r="N22" s="2884"/>
      <c r="O22" s="2885"/>
      <c r="P22" s="2886">
        <v>365</v>
      </c>
      <c r="Q22" s="2860"/>
      <c r="R22" s="2926">
        <f>ROUND(M22*N22*O22*P22/10000,0)</f>
        <v>0</v>
      </c>
      <c r="S22" s="2922"/>
      <c r="T22" s="2922"/>
      <c r="U22" s="2922"/>
      <c r="V22" s="2849"/>
    </row>
    <row r="23" spans="1:22" s="2853" customFormat="1" ht="13.2" customHeight="1">
      <c r="A23" s="2931">
        <v>1</v>
      </c>
      <c r="B23" s="2932" t="s">
        <v>2406</v>
      </c>
      <c r="C23" s="2933">
        <f>D6</f>
        <v>0</v>
      </c>
      <c r="D23" s="2934">
        <f>C23*(1+D24)</f>
        <v>0</v>
      </c>
      <c r="E23" s="2935">
        <f>D23*(1+E24)</f>
        <v>0</v>
      </c>
      <c r="F23" s="2936"/>
      <c r="G23" s="2937"/>
      <c r="H23" s="2848"/>
      <c r="I23" s="2849"/>
      <c r="J23" s="3691"/>
      <c r="K23" s="3693"/>
      <c r="L23" s="2883" t="s">
        <v>2407</v>
      </c>
      <c r="M23" s="2884"/>
      <c r="N23" s="2884"/>
      <c r="O23" s="2885"/>
      <c r="P23" s="2886">
        <v>365</v>
      </c>
      <c r="Q23" s="2860"/>
      <c r="R23" s="2926">
        <f>ROUND(M23*N23*O23*P23/10000,0)</f>
        <v>0</v>
      </c>
      <c r="S23" s="2841"/>
      <c r="T23" s="2841"/>
      <c r="U23" s="2841"/>
      <c r="V23" s="2849"/>
    </row>
    <row r="24" spans="1:22" s="2853" customFormat="1" ht="13.2" customHeight="1">
      <c r="A24" s="2938"/>
      <c r="B24" s="2939" t="s">
        <v>2408</v>
      </c>
      <c r="C24" s="2940"/>
      <c r="D24" s="2941"/>
      <c r="E24" s="2942"/>
      <c r="F24" s="2943"/>
      <c r="G24" s="2937"/>
      <c r="H24" s="2848"/>
      <c r="I24" s="2849"/>
      <c r="J24" s="3691"/>
      <c r="K24" s="3694"/>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2" customHeight="1">
      <c r="A26" s="2931">
        <v>2</v>
      </c>
      <c r="B26" s="2932" t="s">
        <v>2410</v>
      </c>
      <c r="C26" s="2933">
        <f>D7</f>
        <v>0</v>
      </c>
      <c r="D26" s="2934">
        <f>D23*D27</f>
        <v>0</v>
      </c>
      <c r="E26" s="2935">
        <f>E23*E27</f>
        <v>0</v>
      </c>
      <c r="F26" s="2936"/>
      <c r="G26" s="2937"/>
      <c r="H26" s="2848"/>
      <c r="I26" s="2849"/>
      <c r="J26" s="3701">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2" customHeight="1">
      <c r="A27" s="2938"/>
      <c r="B27" s="2939" t="s">
        <v>2416</v>
      </c>
      <c r="C27" s="2957" t="e">
        <f>E7</f>
        <v>#DIV/0!</v>
      </c>
      <c r="D27" s="2941"/>
      <c r="E27" s="2942"/>
      <c r="F27" s="2943"/>
      <c r="G27" s="2937"/>
      <c r="H27" s="2958"/>
      <c r="I27" s="2949"/>
      <c r="J27" s="370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2"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2" customHeight="1">
      <c r="A32" s="2931">
        <v>4</v>
      </c>
      <c r="B32" s="2932" t="s">
        <v>2424</v>
      </c>
      <c r="C32" s="2933">
        <f>C23-C26-C29</f>
        <v>0</v>
      </c>
      <c r="D32" s="2934">
        <f>D23-D26-D29</f>
        <v>0</v>
      </c>
      <c r="E32" s="2935">
        <f>E23-E26-E29</f>
        <v>0</v>
      </c>
      <c r="F32" s="2936"/>
      <c r="G32" s="2930"/>
      <c r="H32" s="2848"/>
      <c r="I32" s="2849"/>
      <c r="J32" s="3684" t="s">
        <v>2316</v>
      </c>
      <c r="K32" s="3685"/>
      <c r="L32" s="2850" t="s">
        <v>2317</v>
      </c>
      <c r="M32" s="2850" t="s">
        <v>2318</v>
      </c>
      <c r="N32" s="2850" t="s">
        <v>2319</v>
      </c>
      <c r="O32" s="2850" t="s">
        <v>2320</v>
      </c>
      <c r="P32" s="2850" t="s">
        <v>2321</v>
      </c>
      <c r="Q32" s="2851" t="s">
        <v>2322</v>
      </c>
      <c r="R32" s="2973" t="s">
        <v>2323</v>
      </c>
      <c r="S32" s="2922"/>
      <c r="T32" s="2841"/>
      <c r="U32" s="2841"/>
      <c r="V32" s="2949"/>
    </row>
    <row r="33" spans="1:23" s="2853" customFormat="1" ht="13.2" customHeight="1">
      <c r="A33" s="2931"/>
      <c r="B33" s="2932"/>
      <c r="C33" s="2933"/>
      <c r="D33" s="2974"/>
      <c r="E33" s="2975"/>
      <c r="F33" s="2936"/>
      <c r="G33" s="2930"/>
      <c r="H33" s="2958"/>
      <c r="I33" s="2949"/>
      <c r="J33" s="3686" t="s">
        <v>2326</v>
      </c>
      <c r="K33" s="3687"/>
      <c r="L33" s="2856"/>
      <c r="M33" s="2856"/>
      <c r="N33" s="2856"/>
      <c r="O33" s="2856"/>
      <c r="P33" s="2856"/>
      <c r="Q33" s="2857"/>
      <c r="R33" s="2976">
        <f>SUM(L33:Q33)</f>
        <v>0</v>
      </c>
      <c r="S33" s="2922"/>
      <c r="T33" s="2841"/>
      <c r="U33" s="2841"/>
      <c r="V33" s="2849"/>
    </row>
    <row r="34" spans="1:23" s="2853" customFormat="1" ht="13.2" customHeight="1">
      <c r="A34" s="2931">
        <v>5</v>
      </c>
      <c r="B34" s="2932" t="s">
        <v>2425</v>
      </c>
      <c r="C34" s="2977"/>
      <c r="D34" s="2978"/>
      <c r="E34" s="2979"/>
      <c r="F34" s="2936"/>
      <c r="G34" s="2930"/>
      <c r="H34" s="2958"/>
      <c r="I34" s="2949"/>
      <c r="J34" s="3686" t="s">
        <v>2328</v>
      </c>
      <c r="K34" s="368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2" customHeight="1" thickBot="1">
      <c r="A36" s="2931">
        <v>7</v>
      </c>
      <c r="B36" s="2986" t="s">
        <v>2427</v>
      </c>
      <c r="C36" s="2987"/>
      <c r="D36" s="2988"/>
      <c r="E36" s="2989"/>
      <c r="F36" s="2990">
        <f>C36+D36+E36</f>
        <v>0</v>
      </c>
      <c r="G36" s="2930"/>
      <c r="H36" s="2848"/>
      <c r="I36" s="2849"/>
      <c r="J36" s="3691">
        <v>1</v>
      </c>
      <c r="K36" s="3692" t="s">
        <v>2428</v>
      </c>
      <c r="L36" s="2874"/>
      <c r="M36" s="2875"/>
      <c r="N36" s="2875"/>
      <c r="O36" s="2875"/>
      <c r="P36" s="2875"/>
      <c r="Q36" s="2875"/>
      <c r="R36" s="2858" t="s">
        <v>2340</v>
      </c>
      <c r="S36" s="2922"/>
      <c r="T36" s="2841" t="s">
        <v>2341</v>
      </c>
      <c r="U36" s="2841"/>
      <c r="V36" s="2849"/>
    </row>
    <row r="37" spans="1:23" s="2853" customFormat="1" ht="13.2" customHeight="1">
      <c r="A37" s="2931"/>
      <c r="B37" s="2932"/>
      <c r="C37" s="2932"/>
      <c r="D37" s="2932"/>
      <c r="E37" s="2932"/>
      <c r="F37" s="2936"/>
      <c r="G37" s="2930"/>
      <c r="H37" s="2848"/>
      <c r="I37" s="2849"/>
      <c r="J37" s="3691"/>
      <c r="K37" s="3693"/>
      <c r="L37" s="2883"/>
      <c r="M37" s="2884"/>
      <c r="N37" s="2860"/>
      <c r="O37" s="2885"/>
      <c r="P37" s="2885"/>
      <c r="Q37" s="2886"/>
      <c r="R37" s="2887"/>
      <c r="S37" s="2922"/>
      <c r="T37" s="2841" t="s">
        <v>2344</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1"/>
      <c r="K38" s="3693"/>
      <c r="L38" s="2883"/>
      <c r="M38" s="2884"/>
      <c r="N38" s="2860"/>
      <c r="O38" s="2885"/>
      <c r="P38" s="2885"/>
      <c r="Q38" s="2886"/>
      <c r="R38" s="2887"/>
      <c r="S38" s="2922"/>
      <c r="T38" s="2841" t="s">
        <v>2351</v>
      </c>
      <c r="U38" s="2841"/>
      <c r="V38" s="2849"/>
    </row>
    <row r="39" spans="1:23" s="2853" customFormat="1" ht="13.2" customHeight="1">
      <c r="A39" s="2931">
        <v>9</v>
      </c>
      <c r="B39" s="2932" t="s">
        <v>2429</v>
      </c>
      <c r="C39" s="2897" t="e">
        <f>C38</f>
        <v>#DIV/0!</v>
      </c>
      <c r="D39" s="2932">
        <f>D38/(1+D34)^C36</f>
        <v>0</v>
      </c>
      <c r="E39" s="2932">
        <f>E38/(1+E34)^(C36+D36)</f>
        <v>0</v>
      </c>
      <c r="F39" s="2936"/>
      <c r="G39" s="2991"/>
      <c r="H39" s="2848"/>
      <c r="I39" s="2849"/>
      <c r="J39" s="3691"/>
      <c r="K39" s="3693"/>
      <c r="L39" s="2883"/>
      <c r="M39" s="2884"/>
      <c r="N39" s="2860"/>
      <c r="O39" s="2885"/>
      <c r="P39" s="2885"/>
      <c r="Q39" s="2886"/>
      <c r="R39" s="2887"/>
      <c r="S39" s="2922"/>
      <c r="T39" s="2841"/>
      <c r="U39" s="2841"/>
      <c r="V39" s="2849"/>
    </row>
    <row r="40" spans="1:23" s="2853" customFormat="1" ht="13.2" customHeight="1">
      <c r="A40" s="2992">
        <v>10</v>
      </c>
      <c r="B40" s="2932" t="s">
        <v>2430</v>
      </c>
      <c r="C40" s="2993" t="e">
        <f>C39+D39+E39</f>
        <v>#DIV/0!</v>
      </c>
      <c r="D40" s="2994"/>
      <c r="E40" s="2994"/>
      <c r="F40" s="2995"/>
      <c r="G40" s="2930"/>
      <c r="H40" s="2848"/>
      <c r="I40" s="2849"/>
      <c r="J40" s="3691"/>
      <c r="K40" s="3694"/>
      <c r="L40" s="2903" t="s">
        <v>2369</v>
      </c>
      <c r="M40" s="2904"/>
      <c r="N40" s="2904"/>
      <c r="O40" s="2905"/>
      <c r="P40" s="2905"/>
      <c r="Q40" s="2906"/>
      <c r="R40" s="2852">
        <f>SUM(R37:R39)</f>
        <v>0</v>
      </c>
      <c r="S40" s="2922"/>
      <c r="T40" s="2841"/>
      <c r="U40" s="2841"/>
      <c r="V40" s="2849"/>
    </row>
    <row r="41" spans="1:23" s="2853" customFormat="1" ht="13.2"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2" customHeight="1">
      <c r="G42" s="3000"/>
      <c r="H42" s="2848"/>
      <c r="I42" s="2849"/>
      <c r="J42" s="3701">
        <v>3</v>
      </c>
      <c r="K42" s="2951" t="s">
        <v>2411</v>
      </c>
      <c r="L42" s="2952"/>
      <c r="M42" s="2953"/>
      <c r="N42" s="2954" t="s">
        <v>2412</v>
      </c>
      <c r="O42" s="2954" t="s">
        <v>2413</v>
      </c>
      <c r="P42" s="2955" t="s">
        <v>2414</v>
      </c>
      <c r="Q42" s="2955" t="s">
        <v>2415</v>
      </c>
      <c r="R42" s="2858" t="s">
        <v>2340</v>
      </c>
      <c r="S42" s="2956"/>
      <c r="T42" s="2956"/>
      <c r="U42" s="2841"/>
      <c r="V42" s="2849"/>
    </row>
    <row r="43" spans="1:23" ht="13.2" customHeight="1">
      <c r="A43" s="2853"/>
      <c r="B43" s="2853"/>
      <c r="C43" s="2853"/>
      <c r="D43" s="2853"/>
      <c r="E43" s="2853"/>
      <c r="F43" s="2853"/>
      <c r="I43" s="2836"/>
      <c r="J43" s="370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估价对象为北京市房地产，为所有。根据《国有土地使用证》[]，估价对象（分摊）出让国有建设用地使用权面积为3333平方米，建筑面积为2464.74平方米。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估价对象为北京市房地产,属开发建设的，该项目尚在开发建设中。根据《国有土地使用证》[]，估价对象（分摊）出让国有建设用地使用权面积为3333平方米，规划建筑面积为2464.74平方米。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2025年1月23日（评估专业人员实地查勘之日）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257.8109</v>
      </c>
      <c r="C2" s="1872" t="s">
        <v>1651</v>
      </c>
      <c r="D2" s="1873" t="s">
        <v>1652</v>
      </c>
      <c r="E2" s="2607">
        <f>SUM(E6:E13)</f>
        <v>2464.7399999999998</v>
      </c>
      <c r="F2" s="2707"/>
      <c r="G2" s="1489"/>
      <c r="H2" s="1489"/>
      <c r="I2" s="1489"/>
      <c r="J2" s="1489"/>
      <c r="K2" s="1489"/>
      <c r="L2" s="1489"/>
      <c r="M2" s="1489"/>
      <c r="N2" s="1489"/>
      <c r="O2" s="1489"/>
      <c r="P2" s="1489"/>
      <c r="Q2" s="1489"/>
      <c r="R2" s="1489"/>
      <c r="S2" s="1489"/>
    </row>
    <row r="3" spans="1:22" ht="15.6">
      <c r="A3" s="1870" t="s">
        <v>686</v>
      </c>
      <c r="B3" s="2601">
        <f ca="1">ROUND(B2*10000/E2,0)</f>
        <v>1046</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3" t="s">
        <v>1654</v>
      </c>
      <c r="C5" s="370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收益法-办公楼1</v>
      </c>
      <c r="B6" s="2602" t="e">
        <f ca="1">IF(F6="是",'数据-取费表'!AO6,0)</f>
        <v>#REF!</v>
      </c>
      <c r="C6" s="1872" t="s">
        <v>1651</v>
      </c>
      <c r="D6" s="2709"/>
      <c r="E6" s="2606">
        <f>IF(OR(A6=0,F6="否"),0,'数据-取费表'!K6+'数据-取费表'!S6)</f>
        <v>1220.99</v>
      </c>
      <c r="F6" s="1876" t="s">
        <v>1657</v>
      </c>
      <c r="G6" s="1489"/>
      <c r="H6" s="1489"/>
      <c r="I6" s="1489"/>
      <c r="J6" s="1489"/>
      <c r="K6" s="1489"/>
      <c r="L6" s="1489"/>
      <c r="M6" s="1489"/>
      <c r="N6" s="1489"/>
      <c r="O6" s="1489"/>
      <c r="P6" s="1489"/>
      <c r="Q6" s="1489"/>
      <c r="R6" s="1489"/>
      <c r="S6" s="1489"/>
    </row>
    <row r="7" spans="1:22" ht="14.4">
      <c r="A7" s="2604" t="str">
        <f>'数据-取费表'!AN7</f>
        <v>收益法-仓库5.6</v>
      </c>
      <c r="B7" s="2602">
        <f ca="1">IF(F7="是",'数据-取费表'!AO7,0)</f>
        <v>257.8109</v>
      </c>
      <c r="C7" s="1872" t="s">
        <v>1651</v>
      </c>
      <c r="D7" s="2709"/>
      <c r="E7" s="2606">
        <f>IF(OR(A7=0,F7="否"),0,'数据-取费表'!K7+'数据-取费表'!S7)</f>
        <v>1243.75</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2464.7399999999998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3" t="s">
        <v>1667</v>
      </c>
      <c r="D4" s="3724"/>
      <c r="E4" s="3725" t="s">
        <v>1668</v>
      </c>
      <c r="F4" s="3726"/>
      <c r="G4" s="3723" t="s">
        <v>1669</v>
      </c>
      <c r="H4" s="3724"/>
      <c r="I4" s="3723" t="s">
        <v>1670</v>
      </c>
      <c r="J4" s="3724"/>
      <c r="K4" s="1889" t="s">
        <v>1671</v>
      </c>
      <c r="L4" s="2715"/>
      <c r="M4" s="2716"/>
      <c r="N4" s="2716"/>
      <c r="O4" s="2716"/>
      <c r="P4" s="3727" t="s">
        <v>1672</v>
      </c>
      <c r="Q4" s="3728"/>
      <c r="R4" s="3710" t="s">
        <v>1668</v>
      </c>
      <c r="S4" s="3711"/>
      <c r="T4" s="3710" t="s">
        <v>1669</v>
      </c>
      <c r="U4" s="3711"/>
      <c r="V4" s="3735" t="s">
        <v>1670</v>
      </c>
      <c r="W4" s="3735"/>
      <c r="X4" s="1355"/>
      <c r="Y4" s="3710" t="s">
        <v>1672</v>
      </c>
      <c r="Z4" s="3711"/>
      <c r="AA4" s="3705" t="s">
        <v>1668</v>
      </c>
      <c r="AB4" s="3705" t="s">
        <v>1669</v>
      </c>
      <c r="AC4" s="3705" t="s">
        <v>1670</v>
      </c>
    </row>
    <row r="5" spans="1:29">
      <c r="A5" s="358"/>
      <c r="B5" s="359"/>
      <c r="C5" s="3716" t="s">
        <v>1673</v>
      </c>
      <c r="D5" s="3717"/>
      <c r="E5" s="3714" t="s">
        <v>1674</v>
      </c>
      <c r="F5" s="3715"/>
      <c r="G5" s="3716" t="s">
        <v>1675</v>
      </c>
      <c r="H5" s="3717"/>
      <c r="I5" s="3716" t="s">
        <v>1676</v>
      </c>
      <c r="J5" s="3717"/>
      <c r="K5" s="1890"/>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1890"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8" t="s">
        <v>1680</v>
      </c>
      <c r="Q7" s="3736"/>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2"/>
      <c r="Q11" s="1343"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2"/>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2"/>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2"/>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9" t="s">
        <v>1691</v>
      </c>
      <c r="Q15" s="1352" t="str">
        <f t="shared" si="6"/>
        <v>居住社区成熟度</v>
      </c>
      <c r="R15" s="705" t="s">
        <v>18</v>
      </c>
      <c r="S15" s="706">
        <f t="shared" si="0"/>
        <v>100</v>
      </c>
      <c r="T15" s="705" t="s">
        <v>18</v>
      </c>
      <c r="U15" s="706">
        <f t="shared" si="1"/>
        <v>100</v>
      </c>
      <c r="V15" s="705" t="s">
        <v>18</v>
      </c>
      <c r="W15" s="706">
        <f t="shared" si="2"/>
        <v>100</v>
      </c>
      <c r="X15" s="1355"/>
      <c r="Y15" s="374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0"/>
      <c r="Q16" s="1352"/>
      <c r="R16" s="705"/>
      <c r="S16" s="706"/>
      <c r="T16" s="705"/>
      <c r="U16" s="706"/>
      <c r="V16" s="705"/>
      <c r="W16" s="706"/>
      <c r="X16" s="1355"/>
      <c r="Y16" s="374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0"/>
      <c r="Q17" s="1352" t="str">
        <f>B17</f>
        <v>交通便捷度</v>
      </c>
      <c r="R17" s="705" t="s">
        <v>18</v>
      </c>
      <c r="S17" s="706">
        <f>F17</f>
        <v>100</v>
      </c>
      <c r="T17" s="705" t="s">
        <v>18</v>
      </c>
      <c r="U17" s="706">
        <f>H17</f>
        <v>100</v>
      </c>
      <c r="V17" s="705" t="s">
        <v>18</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0"/>
      <c r="Q18" s="1352"/>
      <c r="R18" s="705"/>
      <c r="S18" s="706"/>
      <c r="T18" s="705"/>
      <c r="U18" s="706"/>
      <c r="V18" s="705"/>
      <c r="W18" s="706"/>
      <c r="X18" s="1355"/>
      <c r="Y18" s="374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0"/>
      <c r="Q19" s="1352" t="str">
        <f>B19</f>
        <v>公共配套设施</v>
      </c>
      <c r="R19" s="705" t="s">
        <v>18</v>
      </c>
      <c r="S19" s="706">
        <f>F19</f>
        <v>100</v>
      </c>
      <c r="T19" s="705" t="s">
        <v>18</v>
      </c>
      <c r="U19" s="706">
        <f>H19</f>
        <v>100</v>
      </c>
      <c r="V19" s="705" t="s">
        <v>18</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0"/>
      <c r="Q20" s="1352"/>
      <c r="R20" s="705"/>
      <c r="S20" s="706"/>
      <c r="T20" s="705"/>
      <c r="U20" s="706"/>
      <c r="V20" s="705"/>
      <c r="W20" s="706"/>
      <c r="X20" s="1355"/>
      <c r="Y20" s="374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0"/>
      <c r="Q22" s="1352"/>
      <c r="R22" s="705"/>
      <c r="S22" s="706"/>
      <c r="T22" s="705"/>
      <c r="U22" s="706"/>
      <c r="V22" s="705"/>
      <c r="W22" s="706"/>
      <c r="X22" s="1355"/>
      <c r="Y22" s="374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0"/>
      <c r="Q23" s="1352" t="str">
        <f>B23</f>
        <v>自然及人文环境</v>
      </c>
      <c r="R23" s="705" t="s">
        <v>18</v>
      </c>
      <c r="S23" s="706">
        <f>F23</f>
        <v>100</v>
      </c>
      <c r="T23" s="705" t="s">
        <v>18</v>
      </c>
      <c r="U23" s="706">
        <f>H23</f>
        <v>100</v>
      </c>
      <c r="V23" s="705" t="s">
        <v>18</v>
      </c>
      <c r="W23" s="706">
        <f>J23</f>
        <v>100</v>
      </c>
      <c r="X23" s="1355"/>
      <c r="Y23" s="374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0"/>
      <c r="Q26" s="1352" t="str">
        <f t="shared" si="11"/>
        <v>朝向</v>
      </c>
      <c r="R26" s="705" t="s">
        <v>18</v>
      </c>
      <c r="S26" s="706">
        <f t="shared" si="12"/>
        <v>100</v>
      </c>
      <c r="T26" s="705" t="s">
        <v>18</v>
      </c>
      <c r="U26" s="706">
        <f t="shared" si="13"/>
        <v>100</v>
      </c>
      <c r="V26" s="705" t="s">
        <v>18</v>
      </c>
      <c r="W26" s="706">
        <f t="shared" si="14"/>
        <v>100</v>
      </c>
      <c r="X26" s="1355"/>
      <c r="Y26" s="374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0"/>
      <c r="Q27" s="1343">
        <f t="shared" si="11"/>
        <v>111</v>
      </c>
      <c r="R27" s="701" t="s">
        <v>18</v>
      </c>
      <c r="S27" s="702">
        <f t="shared" si="12"/>
        <v>100</v>
      </c>
      <c r="T27" s="701" t="s">
        <v>18</v>
      </c>
      <c r="U27" s="702">
        <f t="shared" si="13"/>
        <v>100</v>
      </c>
      <c r="V27" s="701" t="s">
        <v>18</v>
      </c>
      <c r="W27" s="702">
        <f t="shared" si="14"/>
        <v>100</v>
      </c>
      <c r="X27" s="703"/>
      <c r="Y27" s="374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0"/>
      <c r="Q28" s="1352">
        <f t="shared" si="11"/>
        <v>111</v>
      </c>
      <c r="R28" s="705" t="s">
        <v>18</v>
      </c>
      <c r="S28" s="706">
        <f t="shared" si="12"/>
        <v>100</v>
      </c>
      <c r="T28" s="705" t="s">
        <v>18</v>
      </c>
      <c r="U28" s="706">
        <f t="shared" si="13"/>
        <v>100</v>
      </c>
      <c r="V28" s="705" t="s">
        <v>18</v>
      </c>
      <c r="W28" s="706">
        <f t="shared" si="14"/>
        <v>100</v>
      </c>
      <c r="X28" s="1355"/>
      <c r="Y28" s="374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0"/>
      <c r="Q29" s="1352">
        <f t="shared" si="11"/>
        <v>111</v>
      </c>
      <c r="R29" s="705" t="s">
        <v>18</v>
      </c>
      <c r="S29" s="706">
        <f t="shared" si="12"/>
        <v>100</v>
      </c>
      <c r="T29" s="705" t="s">
        <v>18</v>
      </c>
      <c r="U29" s="706">
        <f t="shared" si="13"/>
        <v>100</v>
      </c>
      <c r="V29" s="705" t="s">
        <v>18</v>
      </c>
      <c r="W29" s="706">
        <f t="shared" si="14"/>
        <v>100</v>
      </c>
      <c r="X29" s="1355"/>
      <c r="Y29" s="374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0"/>
      <c r="Q30" s="1352">
        <f t="shared" si="11"/>
        <v>111</v>
      </c>
      <c r="R30" s="705" t="s">
        <v>18</v>
      </c>
      <c r="S30" s="706">
        <f t="shared" si="12"/>
        <v>100</v>
      </c>
      <c r="T30" s="705" t="s">
        <v>18</v>
      </c>
      <c r="U30" s="706">
        <f t="shared" si="13"/>
        <v>100</v>
      </c>
      <c r="V30" s="705" t="s">
        <v>18</v>
      </c>
      <c r="W30" s="706">
        <f t="shared" si="14"/>
        <v>100</v>
      </c>
      <c r="X30" s="1355"/>
      <c r="Y30" s="374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0"/>
      <c r="Q31" s="1352">
        <f t="shared" si="11"/>
        <v>111</v>
      </c>
      <c r="R31" s="705" t="s">
        <v>18</v>
      </c>
      <c r="S31" s="706">
        <f t="shared" si="12"/>
        <v>100</v>
      </c>
      <c r="T31" s="705" t="s">
        <v>18</v>
      </c>
      <c r="U31" s="706">
        <f t="shared" si="13"/>
        <v>100</v>
      </c>
      <c r="V31" s="705" t="s">
        <v>18</v>
      </c>
      <c r="W31" s="706">
        <f t="shared" si="14"/>
        <v>100</v>
      </c>
      <c r="X31" s="1355"/>
      <c r="Y31" s="374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4" t="s">
        <v>1696</v>
      </c>
      <c r="Q32" s="1352" t="str">
        <f t="shared" si="11"/>
        <v>建筑类型</v>
      </c>
      <c r="R32" s="705" t="s">
        <v>18</v>
      </c>
      <c r="S32" s="706">
        <f t="shared" si="12"/>
        <v>100</v>
      </c>
      <c r="T32" s="705" t="s">
        <v>18</v>
      </c>
      <c r="U32" s="706">
        <f t="shared" si="13"/>
        <v>100</v>
      </c>
      <c r="V32" s="705" t="s">
        <v>18</v>
      </c>
      <c r="W32" s="706">
        <f t="shared" si="14"/>
        <v>100</v>
      </c>
      <c r="X32" s="1355"/>
      <c r="Y32" s="374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5"/>
      <c r="Q34" s="1352" t="str">
        <f t="shared" si="11"/>
        <v>建筑结构</v>
      </c>
      <c r="R34" s="705" t="s">
        <v>18</v>
      </c>
      <c r="S34" s="706">
        <f t="shared" si="12"/>
        <v>100</v>
      </c>
      <c r="T34" s="705" t="s">
        <v>18</v>
      </c>
      <c r="U34" s="706">
        <f t="shared" si="13"/>
        <v>100</v>
      </c>
      <c r="V34" s="705" t="s">
        <v>18</v>
      </c>
      <c r="W34" s="706">
        <f t="shared" si="14"/>
        <v>100</v>
      </c>
      <c r="X34" s="1355"/>
      <c r="Y34" s="374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5"/>
      <c r="Q35" s="1352" t="str">
        <f t="shared" si="11"/>
        <v>建筑品质</v>
      </c>
      <c r="R35" s="705" t="s">
        <v>18</v>
      </c>
      <c r="S35" s="706">
        <f t="shared" si="12"/>
        <v>100</v>
      </c>
      <c r="T35" s="705" t="s">
        <v>18</v>
      </c>
      <c r="U35" s="706">
        <f t="shared" si="13"/>
        <v>100</v>
      </c>
      <c r="V35" s="705" t="s">
        <v>18</v>
      </c>
      <c r="W35" s="706">
        <f t="shared" si="14"/>
        <v>100</v>
      </c>
      <c r="X35" s="1355"/>
      <c r="Y35" s="374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5"/>
      <c r="Q36" s="1352" t="str">
        <f t="shared" si="11"/>
        <v>公共部分装修</v>
      </c>
      <c r="R36" s="705" t="s">
        <v>18</v>
      </c>
      <c r="S36" s="706">
        <f t="shared" si="12"/>
        <v>100</v>
      </c>
      <c r="T36" s="705" t="s">
        <v>18</v>
      </c>
      <c r="U36" s="706">
        <f t="shared" si="13"/>
        <v>100</v>
      </c>
      <c r="V36" s="705" t="s">
        <v>18</v>
      </c>
      <c r="W36" s="706">
        <f t="shared" si="14"/>
        <v>100</v>
      </c>
      <c r="X36" s="1355"/>
      <c r="Y36" s="374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5"/>
      <c r="Q37" s="1343"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5" t="s">
        <v>1696</v>
      </c>
      <c r="Q38" s="1352" t="str">
        <f t="shared" si="11"/>
        <v>物业管理</v>
      </c>
      <c r="R38" s="705" t="s">
        <v>18</v>
      </c>
      <c r="S38" s="706">
        <f t="shared" si="12"/>
        <v>100</v>
      </c>
      <c r="T38" s="705" t="s">
        <v>18</v>
      </c>
      <c r="U38" s="706">
        <f t="shared" si="13"/>
        <v>100</v>
      </c>
      <c r="V38" s="705" t="s">
        <v>18</v>
      </c>
      <c r="W38" s="706">
        <f t="shared" si="14"/>
        <v>100</v>
      </c>
      <c r="X38" s="1355"/>
      <c r="Y38" s="374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5"/>
      <c r="Q39" s="1352" t="str">
        <f t="shared" si="11"/>
        <v>市政基础设施</v>
      </c>
      <c r="R39" s="705" t="s">
        <v>18</v>
      </c>
      <c r="S39" s="706">
        <f t="shared" si="12"/>
        <v>100</v>
      </c>
      <c r="T39" s="705" t="s">
        <v>18</v>
      </c>
      <c r="U39" s="706">
        <f t="shared" si="13"/>
        <v>100</v>
      </c>
      <c r="V39" s="705" t="s">
        <v>18</v>
      </c>
      <c r="W39" s="706">
        <f t="shared" si="14"/>
        <v>100</v>
      </c>
      <c r="X39" s="1355"/>
      <c r="Y39" s="374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5"/>
      <c r="Q40" s="1352" t="str">
        <f t="shared" si="11"/>
        <v>房型</v>
      </c>
      <c r="R40" s="705" t="s">
        <v>18</v>
      </c>
      <c r="S40" s="706">
        <f t="shared" si="12"/>
        <v>100</v>
      </c>
      <c r="T40" s="705" t="s">
        <v>18</v>
      </c>
      <c r="U40" s="706">
        <f t="shared" si="13"/>
        <v>100</v>
      </c>
      <c r="V40" s="705" t="s">
        <v>18</v>
      </c>
      <c r="W40" s="706">
        <f t="shared" si="14"/>
        <v>100</v>
      </c>
      <c r="X40" s="1355"/>
      <c r="Y40" s="374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5"/>
      <c r="Q42" s="1352" t="str">
        <f t="shared" si="11"/>
        <v>内部装修</v>
      </c>
      <c r="R42" s="705" t="s">
        <v>18</v>
      </c>
      <c r="S42" s="706">
        <f t="shared" si="12"/>
        <v>100</v>
      </c>
      <c r="T42" s="705" t="s">
        <v>18</v>
      </c>
      <c r="U42" s="706">
        <f t="shared" si="13"/>
        <v>100</v>
      </c>
      <c r="V42" s="705" t="s">
        <v>18</v>
      </c>
      <c r="W42" s="706">
        <f t="shared" si="14"/>
        <v>100</v>
      </c>
      <c r="X42" s="1355"/>
      <c r="Y42" s="374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5"/>
      <c r="Q43" s="1352" t="str">
        <f t="shared" si="11"/>
        <v>内部装修维护情况</v>
      </c>
      <c r="R43" s="705" t="s">
        <v>18</v>
      </c>
      <c r="S43" s="706">
        <f t="shared" si="12"/>
        <v>100</v>
      </c>
      <c r="T43" s="705" t="s">
        <v>18</v>
      </c>
      <c r="U43" s="706">
        <f t="shared" si="13"/>
        <v>100</v>
      </c>
      <c r="V43" s="705" t="s">
        <v>18</v>
      </c>
      <c r="W43" s="706">
        <f t="shared" si="14"/>
        <v>100</v>
      </c>
      <c r="X43" s="1355"/>
      <c r="Y43" s="374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5"/>
      <c r="Q44" s="1343">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5"/>
      <c r="Q45" s="1352">
        <f t="shared" si="11"/>
        <v>111</v>
      </c>
      <c r="R45" s="705" t="s">
        <v>18</v>
      </c>
      <c r="S45" s="706">
        <f t="shared" si="12"/>
        <v>100</v>
      </c>
      <c r="T45" s="705" t="s">
        <v>18</v>
      </c>
      <c r="U45" s="706">
        <f t="shared" si="13"/>
        <v>100</v>
      </c>
      <c r="V45" s="705" t="s">
        <v>18</v>
      </c>
      <c r="W45" s="706">
        <f t="shared" si="14"/>
        <v>100</v>
      </c>
      <c r="X45" s="1355"/>
      <c r="Y45" s="374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6"/>
      <c r="Q46" s="1352">
        <f t="shared" si="11"/>
        <v>111</v>
      </c>
      <c r="R46" s="705" t="s">
        <v>17</v>
      </c>
      <c r="S46" s="706">
        <f t="shared" si="12"/>
        <v>100</v>
      </c>
      <c r="T46" s="705" t="s">
        <v>17</v>
      </c>
      <c r="U46" s="706">
        <f t="shared" si="13"/>
        <v>100</v>
      </c>
      <c r="V46" s="705" t="s">
        <v>17</v>
      </c>
      <c r="W46" s="706">
        <f t="shared" si="14"/>
        <v>100</v>
      </c>
      <c r="X46" s="1355"/>
      <c r="Y46" s="3748"/>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40" t="str">
        <f>A47</f>
        <v>成交单价（元/平方米）</v>
      </c>
      <c r="Q47" s="3740"/>
      <c r="R47" s="3741">
        <f>E47</f>
        <v>0</v>
      </c>
      <c r="S47" s="3741"/>
      <c r="T47" s="3741">
        <f>G47</f>
        <v>0</v>
      </c>
      <c r="U47" s="3741"/>
      <c r="V47" s="3741">
        <f>I47</f>
        <v>0</v>
      </c>
      <c r="W47" s="3741"/>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35"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35"/>
      <c r="AC5" s="3706"/>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35"/>
      <c r="AC6" s="3707"/>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2"/>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9" t="s">
        <v>1691</v>
      </c>
      <c r="Q15" s="1352" t="str">
        <f t="shared" si="6"/>
        <v>商业繁华度</v>
      </c>
      <c r="R15" s="705" t="s">
        <v>14</v>
      </c>
      <c r="S15" s="706">
        <f t="shared" si="0"/>
        <v>100</v>
      </c>
      <c r="T15" s="705" t="s">
        <v>14</v>
      </c>
      <c r="U15" s="706">
        <f t="shared" si="1"/>
        <v>100</v>
      </c>
      <c r="V15" s="705" t="s">
        <v>14</v>
      </c>
      <c r="W15" s="706">
        <f t="shared" si="2"/>
        <v>100</v>
      </c>
      <c r="X15" s="1355"/>
      <c r="Y15" s="374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0"/>
      <c r="Q22" s="1352"/>
      <c r="R22" s="705"/>
      <c r="S22" s="706"/>
      <c r="T22" s="705"/>
      <c r="U22" s="706"/>
      <c r="V22" s="705"/>
      <c r="W22" s="706"/>
      <c r="X22" s="1355"/>
      <c r="Y22" s="374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0"/>
      <c r="Q23" s="1352" t="str">
        <f>B23</f>
        <v>自然及人文环境</v>
      </c>
      <c r="R23" s="705" t="s">
        <v>14</v>
      </c>
      <c r="S23" s="706">
        <f>F23</f>
        <v>100</v>
      </c>
      <c r="T23" s="705" t="s">
        <v>14</v>
      </c>
      <c r="U23" s="706">
        <f>H23</f>
        <v>100</v>
      </c>
      <c r="V23" s="705" t="s">
        <v>14</v>
      </c>
      <c r="W23" s="706">
        <f>J23</f>
        <v>100</v>
      </c>
      <c r="X23" s="1355"/>
      <c r="Y23" s="374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0"/>
      <c r="Q25" s="1352" t="str">
        <f t="shared" ref="Q25:Q46" si="11">B25</f>
        <v>临街状况</v>
      </c>
      <c r="R25" s="705" t="s">
        <v>14</v>
      </c>
      <c r="S25" s="706">
        <f>F25</f>
        <v>100</v>
      </c>
      <c r="T25" s="705" t="s">
        <v>14</v>
      </c>
      <c r="U25" s="706">
        <f>H25</f>
        <v>100</v>
      </c>
      <c r="V25" s="705" t="s">
        <v>14</v>
      </c>
      <c r="W25" s="706">
        <f>J25</f>
        <v>100</v>
      </c>
      <c r="X25" s="1355"/>
      <c r="Y25" s="374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0"/>
      <c r="Q26" s="1352" t="str">
        <f t="shared" si="11"/>
        <v>平面位置/可视性</v>
      </c>
      <c r="R26" s="705" t="s">
        <v>14</v>
      </c>
      <c r="S26" s="706">
        <f>F26</f>
        <v>100</v>
      </c>
      <c r="T26" s="705" t="s">
        <v>14</v>
      </c>
      <c r="U26" s="706">
        <f>H26</f>
        <v>100</v>
      </c>
      <c r="V26" s="705" t="s">
        <v>14</v>
      </c>
      <c r="W26" s="706">
        <f>J26</f>
        <v>100</v>
      </c>
      <c r="X26" s="1355"/>
      <c r="Y26" s="374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0"/>
      <c r="Q27" s="1343" t="str">
        <f t="shared" si="11"/>
        <v>人流量</v>
      </c>
      <c r="R27" s="701" t="s">
        <v>14</v>
      </c>
      <c r="S27" s="702">
        <f>F27</f>
        <v>100</v>
      </c>
      <c r="T27" s="701" t="s">
        <v>14</v>
      </c>
      <c r="U27" s="702">
        <f>H27</f>
        <v>100</v>
      </c>
      <c r="V27" s="701" t="s">
        <v>14</v>
      </c>
      <c r="W27" s="702">
        <f>J27</f>
        <v>100</v>
      </c>
      <c r="X27" s="703"/>
      <c r="Y27" s="374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0"/>
      <c r="Q29" s="1352">
        <f t="shared" si="11"/>
        <v>111</v>
      </c>
      <c r="R29" s="705" t="s">
        <v>14</v>
      </c>
      <c r="S29" s="706">
        <f t="shared" si="12"/>
        <v>100</v>
      </c>
      <c r="T29" s="705" t="s">
        <v>14</v>
      </c>
      <c r="U29" s="706">
        <f t="shared" si="13"/>
        <v>100</v>
      </c>
      <c r="V29" s="705" t="s">
        <v>14</v>
      </c>
      <c r="W29" s="706">
        <f t="shared" si="14"/>
        <v>100</v>
      </c>
      <c r="X29" s="1355"/>
      <c r="Y29" s="374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4" t="s">
        <v>1696</v>
      </c>
      <c r="Q32" s="1352" t="str">
        <f t="shared" si="11"/>
        <v>商业类型</v>
      </c>
      <c r="R32" s="705" t="s">
        <v>14</v>
      </c>
      <c r="S32" s="706">
        <f t="shared" si="12"/>
        <v>100</v>
      </c>
      <c r="T32" s="705" t="s">
        <v>14</v>
      </c>
      <c r="U32" s="706">
        <f t="shared" si="13"/>
        <v>100</v>
      </c>
      <c r="V32" s="705" t="s">
        <v>14</v>
      </c>
      <c r="W32" s="706">
        <f t="shared" si="14"/>
        <v>100</v>
      </c>
      <c r="X32" s="1355"/>
      <c r="Y32" s="374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5"/>
      <c r="Q33" s="707" t="str">
        <f t="shared" si="11"/>
        <v>项目建筑规模</v>
      </c>
      <c r="R33" s="708" t="s">
        <v>14</v>
      </c>
      <c r="S33" s="709" t="e">
        <f t="shared" si="12"/>
        <v>#N/A</v>
      </c>
      <c r="T33" s="708" t="s">
        <v>14</v>
      </c>
      <c r="U33" s="709" t="e">
        <f t="shared" si="13"/>
        <v>#N/A</v>
      </c>
      <c r="V33" s="708" t="s">
        <v>14</v>
      </c>
      <c r="W33" s="709" t="e">
        <f t="shared" si="14"/>
        <v>#N/A</v>
      </c>
      <c r="X33" s="710"/>
      <c r="Y33" s="374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5"/>
      <c r="Q34" s="1352" t="str">
        <f t="shared" si="11"/>
        <v>建筑结构</v>
      </c>
      <c r="R34" s="705" t="s">
        <v>14</v>
      </c>
      <c r="S34" s="706">
        <f t="shared" si="12"/>
        <v>100</v>
      </c>
      <c r="T34" s="705" t="s">
        <v>14</v>
      </c>
      <c r="U34" s="706">
        <f t="shared" si="13"/>
        <v>100</v>
      </c>
      <c r="V34" s="705" t="s">
        <v>14</v>
      </c>
      <c r="W34" s="706">
        <f t="shared" si="14"/>
        <v>100</v>
      </c>
      <c r="X34" s="1355"/>
      <c r="Y34" s="374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5"/>
      <c r="Q35" s="1352" t="str">
        <f t="shared" si="11"/>
        <v>公共部分装修</v>
      </c>
      <c r="R35" s="705" t="s">
        <v>14</v>
      </c>
      <c r="S35" s="706">
        <f t="shared" si="12"/>
        <v>100</v>
      </c>
      <c r="T35" s="705" t="s">
        <v>14</v>
      </c>
      <c r="U35" s="706">
        <f t="shared" si="13"/>
        <v>100</v>
      </c>
      <c r="V35" s="705" t="s">
        <v>14</v>
      </c>
      <c r="W35" s="706">
        <f t="shared" si="14"/>
        <v>100</v>
      </c>
      <c r="X35" s="1355"/>
      <c r="Y35" s="374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5"/>
      <c r="Q36" s="1352" t="str">
        <f t="shared" si="11"/>
        <v>成新度</v>
      </c>
      <c r="R36" s="705" t="s">
        <v>14</v>
      </c>
      <c r="S36" s="706" t="e">
        <f t="shared" si="12"/>
        <v>#N/A</v>
      </c>
      <c r="T36" s="705" t="s">
        <v>14</v>
      </c>
      <c r="U36" s="706" t="e">
        <f t="shared" si="13"/>
        <v>#N/A</v>
      </c>
      <c r="V36" s="705" t="s">
        <v>14</v>
      </c>
      <c r="W36" s="706" t="e">
        <f t="shared" si="14"/>
        <v>#N/A</v>
      </c>
      <c r="X36" s="1355"/>
      <c r="Y36" s="374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5"/>
      <c r="Q37" s="1343"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5" t="s">
        <v>1696</v>
      </c>
      <c r="Q38" s="1352" t="str">
        <f t="shared" si="11"/>
        <v>业态</v>
      </c>
      <c r="R38" s="705" t="s">
        <v>14</v>
      </c>
      <c r="S38" s="706">
        <f t="shared" si="12"/>
        <v>100</v>
      </c>
      <c r="T38" s="705" t="s">
        <v>14</v>
      </c>
      <c r="U38" s="706">
        <f t="shared" si="13"/>
        <v>100</v>
      </c>
      <c r="V38" s="705" t="s">
        <v>14</v>
      </c>
      <c r="W38" s="706">
        <f t="shared" si="14"/>
        <v>100</v>
      </c>
      <c r="X38" s="1355"/>
      <c r="Y38" s="374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5"/>
      <c r="Q39" s="1352" t="str">
        <f t="shared" si="11"/>
        <v>层高</v>
      </c>
      <c r="R39" s="705" t="s">
        <v>14</v>
      </c>
      <c r="S39" s="706">
        <f t="shared" si="12"/>
        <v>100</v>
      </c>
      <c r="T39" s="705" t="s">
        <v>14</v>
      </c>
      <c r="U39" s="706">
        <f t="shared" si="13"/>
        <v>100</v>
      </c>
      <c r="V39" s="705" t="s">
        <v>14</v>
      </c>
      <c r="W39" s="706">
        <f t="shared" si="14"/>
        <v>100</v>
      </c>
      <c r="X39" s="1355"/>
      <c r="Y39" s="374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5"/>
      <c r="Q40" s="1352" t="str">
        <f t="shared" si="11"/>
        <v>单套建筑面积</v>
      </c>
      <c r="R40" s="705" t="s">
        <v>14</v>
      </c>
      <c r="S40" s="706">
        <f t="shared" si="12"/>
        <v>100</v>
      </c>
      <c r="T40" s="705" t="s">
        <v>14</v>
      </c>
      <c r="U40" s="706">
        <f t="shared" si="13"/>
        <v>100</v>
      </c>
      <c r="V40" s="705" t="s">
        <v>14</v>
      </c>
      <c r="W40" s="706">
        <f t="shared" si="14"/>
        <v>100</v>
      </c>
      <c r="X40" s="1355"/>
      <c r="Y40" s="374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5"/>
      <c r="Q42" s="1352" t="str">
        <f t="shared" si="11"/>
        <v>内部装修</v>
      </c>
      <c r="R42" s="705" t="s">
        <v>14</v>
      </c>
      <c r="S42" s="706">
        <f t="shared" si="12"/>
        <v>100</v>
      </c>
      <c r="T42" s="705" t="s">
        <v>14</v>
      </c>
      <c r="U42" s="706">
        <f t="shared" si="13"/>
        <v>100</v>
      </c>
      <c r="V42" s="705" t="s">
        <v>14</v>
      </c>
      <c r="W42" s="706">
        <f t="shared" si="14"/>
        <v>100</v>
      </c>
      <c r="X42" s="1355"/>
      <c r="Y42" s="374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5"/>
      <c r="Q43" s="1352" t="str">
        <f t="shared" si="11"/>
        <v>内部装修维护情况</v>
      </c>
      <c r="R43" s="705" t="s">
        <v>14</v>
      </c>
      <c r="S43" s="706">
        <f t="shared" si="12"/>
        <v>100</v>
      </c>
      <c r="T43" s="705" t="s">
        <v>14</v>
      </c>
      <c r="U43" s="706">
        <f t="shared" si="13"/>
        <v>100</v>
      </c>
      <c r="V43" s="705" t="s">
        <v>14</v>
      </c>
      <c r="W43" s="706">
        <f t="shared" si="14"/>
        <v>100</v>
      </c>
      <c r="X43" s="1355"/>
      <c r="Y43" s="374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5"/>
      <c r="Q44" s="1343">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5"/>
      <c r="Q45" s="1352">
        <f t="shared" si="11"/>
        <v>111</v>
      </c>
      <c r="R45" s="705" t="s">
        <v>14</v>
      </c>
      <c r="S45" s="706">
        <f t="shared" si="12"/>
        <v>100</v>
      </c>
      <c r="T45" s="705" t="s">
        <v>14</v>
      </c>
      <c r="U45" s="706">
        <f t="shared" si="13"/>
        <v>100</v>
      </c>
      <c r="V45" s="705" t="s">
        <v>14</v>
      </c>
      <c r="W45" s="706">
        <f t="shared" si="14"/>
        <v>100</v>
      </c>
      <c r="X45" s="1355"/>
      <c r="Y45" s="374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40" t="str">
        <f>A47</f>
        <v>成交单价（元/平方米）</v>
      </c>
      <c r="Q47" s="3740"/>
      <c r="R47" s="3735">
        <f>E47</f>
        <v>0</v>
      </c>
      <c r="S47" s="3735"/>
      <c r="T47" s="3735">
        <f>G47</f>
        <v>0</v>
      </c>
      <c r="U47" s="3735"/>
      <c r="V47" s="3735">
        <f>I47</f>
        <v>0</v>
      </c>
      <c r="W47" s="373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57" t="s">
        <v>1775</v>
      </c>
      <c r="Q4" s="3758"/>
      <c r="R4" s="3752" t="s">
        <v>1771</v>
      </c>
      <c r="S4" s="3753"/>
      <c r="T4" s="3752" t="s">
        <v>1772</v>
      </c>
      <c r="U4" s="3753"/>
      <c r="V4" s="3761" t="s">
        <v>1773</v>
      </c>
      <c r="W4" s="3761"/>
      <c r="X4" s="1958"/>
      <c r="Y4" s="3752" t="s">
        <v>1775</v>
      </c>
      <c r="Z4" s="3753"/>
      <c r="AA4" s="3751" t="s">
        <v>1771</v>
      </c>
      <c r="AB4" s="3751" t="s">
        <v>1772</v>
      </c>
      <c r="AC4" s="3754" t="s">
        <v>1773</v>
      </c>
    </row>
    <row r="5" spans="1:29">
      <c r="A5" s="358"/>
      <c r="B5" s="359"/>
      <c r="C5" s="3716" t="s">
        <v>1673</v>
      </c>
      <c r="D5" s="3717"/>
      <c r="E5" s="3714" t="s">
        <v>1674</v>
      </c>
      <c r="F5" s="3715"/>
      <c r="G5" s="3716" t="s">
        <v>1675</v>
      </c>
      <c r="H5" s="3717"/>
      <c r="I5" s="3716" t="s">
        <v>1676</v>
      </c>
      <c r="J5" s="3717"/>
      <c r="K5" s="559"/>
      <c r="L5" s="2715"/>
      <c r="M5" s="2716"/>
      <c r="N5" s="2716"/>
      <c r="O5" s="2716"/>
      <c r="P5" s="3759"/>
      <c r="Q5" s="3730"/>
      <c r="R5" s="3712"/>
      <c r="S5" s="3713"/>
      <c r="T5" s="3712"/>
      <c r="U5" s="3713"/>
      <c r="V5" s="3735"/>
      <c r="W5" s="3735"/>
      <c r="X5" s="1355"/>
      <c r="Y5" s="3712"/>
      <c r="Z5" s="3713"/>
      <c r="AA5" s="3706"/>
      <c r="AB5" s="3706"/>
      <c r="AC5" s="3755"/>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60"/>
      <c r="Q6" s="3732"/>
      <c r="R6" s="3712"/>
      <c r="S6" s="3713"/>
      <c r="T6" s="3733"/>
      <c r="U6" s="3734"/>
      <c r="V6" s="3735"/>
      <c r="W6" s="3735"/>
      <c r="X6" s="1355"/>
      <c r="Y6" s="3733"/>
      <c r="Z6" s="3734"/>
      <c r="AA6" s="3707"/>
      <c r="AB6" s="3707"/>
      <c r="AC6" s="3756"/>
    </row>
    <row r="7" spans="1:29" s="108" customFormat="1" ht="15" thickBot="1">
      <c r="A7" s="362" t="s">
        <v>1679</v>
      </c>
      <c r="B7" s="363"/>
      <c r="C7" s="364">
        <f>'数据-取费表'!B2</f>
        <v>45680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2"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2"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2"/>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9" t="s">
        <v>1691</v>
      </c>
      <c r="Q15" s="1352" t="str">
        <f t="shared" si="6"/>
        <v>办公集聚程度</v>
      </c>
      <c r="R15" s="705" t="s">
        <v>14</v>
      </c>
      <c r="S15" s="706">
        <f t="shared" si="0"/>
        <v>100</v>
      </c>
      <c r="T15" s="705" t="s">
        <v>14</v>
      </c>
      <c r="U15" s="706">
        <f t="shared" si="1"/>
        <v>100</v>
      </c>
      <c r="V15" s="705" t="s">
        <v>14</v>
      </c>
      <c r="W15" s="706">
        <f t="shared" si="2"/>
        <v>100</v>
      </c>
      <c r="X15" s="1355"/>
      <c r="Y15" s="374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0"/>
      <c r="Q22" s="1352"/>
      <c r="R22" s="705"/>
      <c r="S22" s="706"/>
      <c r="T22" s="705"/>
      <c r="U22" s="706"/>
      <c r="V22" s="705"/>
      <c r="W22" s="706"/>
      <c r="X22" s="1355"/>
      <c r="Y22" s="374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0"/>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0"/>
      <c r="Q25" s="1352" t="str">
        <f>B25</f>
        <v>毗邻道路的类型与等级</v>
      </c>
      <c r="R25" s="705" t="s">
        <v>14</v>
      </c>
      <c r="S25" s="706">
        <f>F25</f>
        <v>100</v>
      </c>
      <c r="T25" s="705" t="s">
        <v>14</v>
      </c>
      <c r="U25" s="706">
        <f>H25</f>
        <v>100</v>
      </c>
      <c r="V25" s="705" t="s">
        <v>14</v>
      </c>
      <c r="W25" s="706">
        <f>J25</f>
        <v>100</v>
      </c>
      <c r="X25" s="1355"/>
      <c r="Y25" s="374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0"/>
      <c r="Q26" s="1352"/>
      <c r="R26" s="705"/>
      <c r="S26" s="706"/>
      <c r="T26" s="705"/>
      <c r="U26" s="706"/>
      <c r="V26" s="705"/>
      <c r="W26" s="706"/>
      <c r="X26" s="1355"/>
      <c r="Y26" s="374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0"/>
      <c r="Q27" s="1352" t="str">
        <f t="shared" ref="Q27:Q47" si="11">B27</f>
        <v>楼层</v>
      </c>
      <c r="R27" s="705" t="s">
        <v>14</v>
      </c>
      <c r="S27" s="706">
        <f>F27</f>
        <v>100</v>
      </c>
      <c r="T27" s="705" t="s">
        <v>14</v>
      </c>
      <c r="U27" s="706">
        <f>H27</f>
        <v>100</v>
      </c>
      <c r="V27" s="705" t="s">
        <v>14</v>
      </c>
      <c r="W27" s="706">
        <f>J27</f>
        <v>100</v>
      </c>
      <c r="X27" s="1355"/>
      <c r="Y27" s="374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0"/>
      <c r="Q28" s="1343" t="str">
        <f t="shared" si="11"/>
        <v>朝向</v>
      </c>
      <c r="R28" s="701" t="s">
        <v>14</v>
      </c>
      <c r="S28" s="702">
        <f>F28</f>
        <v>100</v>
      </c>
      <c r="T28" s="701" t="s">
        <v>14</v>
      </c>
      <c r="U28" s="702">
        <f>H28</f>
        <v>100</v>
      </c>
      <c r="V28" s="701" t="s">
        <v>14</v>
      </c>
      <c r="W28" s="702">
        <f>J28</f>
        <v>100</v>
      </c>
      <c r="X28" s="703"/>
      <c r="Y28" s="374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0"/>
      <c r="Q29" s="1352">
        <f t="shared" si="11"/>
        <v>111</v>
      </c>
      <c r="R29" s="705" t="s">
        <v>14</v>
      </c>
      <c r="S29" s="706">
        <f t="shared" ref="S29:S47" si="12">F29</f>
        <v>100</v>
      </c>
      <c r="T29" s="705" t="s">
        <v>14</v>
      </c>
      <c r="U29" s="706">
        <f t="shared" ref="U29:U47" si="13">H29</f>
        <v>100</v>
      </c>
      <c r="V29" s="705" t="s">
        <v>14</v>
      </c>
      <c r="W29" s="706">
        <f t="shared" ref="W29:W47" si="14">J29</f>
        <v>100</v>
      </c>
      <c r="X29" s="1355"/>
      <c r="Y29" s="374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0"/>
      <c r="Q32" s="1352">
        <f t="shared" si="11"/>
        <v>111</v>
      </c>
      <c r="R32" s="705" t="s">
        <v>14</v>
      </c>
      <c r="S32" s="706">
        <f t="shared" si="12"/>
        <v>100</v>
      </c>
      <c r="T32" s="705" t="s">
        <v>14</v>
      </c>
      <c r="U32" s="706">
        <f t="shared" si="13"/>
        <v>100</v>
      </c>
      <c r="V32" s="705" t="s">
        <v>14</v>
      </c>
      <c r="W32" s="706">
        <f t="shared" si="14"/>
        <v>100</v>
      </c>
      <c r="X32" s="1355"/>
      <c r="Y32" s="374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4" t="s">
        <v>1696</v>
      </c>
      <c r="Q33" s="1352" t="str">
        <f t="shared" si="11"/>
        <v>建筑类型</v>
      </c>
      <c r="R33" s="705" t="s">
        <v>14</v>
      </c>
      <c r="S33" s="706">
        <f t="shared" si="12"/>
        <v>100</v>
      </c>
      <c r="T33" s="705" t="s">
        <v>14</v>
      </c>
      <c r="U33" s="706">
        <f t="shared" si="13"/>
        <v>100</v>
      </c>
      <c r="V33" s="705" t="s">
        <v>14</v>
      </c>
      <c r="W33" s="706">
        <f t="shared" si="14"/>
        <v>100</v>
      </c>
      <c r="X33" s="1355"/>
      <c r="Y33" s="374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5"/>
      <c r="Q35" s="1352" t="str">
        <f t="shared" si="11"/>
        <v>建筑结构</v>
      </c>
      <c r="R35" s="705" t="s">
        <v>14</v>
      </c>
      <c r="S35" s="706">
        <f t="shared" si="12"/>
        <v>100</v>
      </c>
      <c r="T35" s="705" t="s">
        <v>14</v>
      </c>
      <c r="U35" s="706">
        <f t="shared" si="13"/>
        <v>100</v>
      </c>
      <c r="V35" s="705" t="s">
        <v>14</v>
      </c>
      <c r="W35" s="706">
        <f t="shared" si="14"/>
        <v>100</v>
      </c>
      <c r="X35" s="1355"/>
      <c r="Y35" s="374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5"/>
      <c r="Q36" s="1352" t="str">
        <f t="shared" si="11"/>
        <v>公共部分装修</v>
      </c>
      <c r="R36" s="705" t="s">
        <v>14</v>
      </c>
      <c r="S36" s="706">
        <f t="shared" si="12"/>
        <v>100</v>
      </c>
      <c r="T36" s="705" t="s">
        <v>14</v>
      </c>
      <c r="U36" s="706">
        <f t="shared" si="13"/>
        <v>100</v>
      </c>
      <c r="V36" s="705" t="s">
        <v>14</v>
      </c>
      <c r="W36" s="706">
        <f t="shared" si="14"/>
        <v>100</v>
      </c>
      <c r="X36" s="1355"/>
      <c r="Y36" s="374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5"/>
      <c r="Q37" s="1352" t="str">
        <f t="shared" si="11"/>
        <v>成新度</v>
      </c>
      <c r="R37" s="705" t="s">
        <v>14</v>
      </c>
      <c r="S37" s="706" t="e">
        <f t="shared" si="12"/>
        <v>#N/A</v>
      </c>
      <c r="T37" s="705" t="s">
        <v>14</v>
      </c>
      <c r="U37" s="706" t="e">
        <f t="shared" si="13"/>
        <v>#N/A</v>
      </c>
      <c r="V37" s="705" t="s">
        <v>14</v>
      </c>
      <c r="W37" s="706" t="e">
        <f t="shared" si="14"/>
        <v>#N/A</v>
      </c>
      <c r="X37" s="1355"/>
      <c r="Y37" s="374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5"/>
      <c r="Q38" s="1343"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5" t="s">
        <v>1696</v>
      </c>
      <c r="Q39" s="1352" t="str">
        <f t="shared" si="11"/>
        <v>物业管理</v>
      </c>
      <c r="R39" s="705" t="s">
        <v>14</v>
      </c>
      <c r="S39" s="706">
        <f t="shared" si="12"/>
        <v>100</v>
      </c>
      <c r="T39" s="705" t="s">
        <v>14</v>
      </c>
      <c r="U39" s="706">
        <f t="shared" si="13"/>
        <v>100</v>
      </c>
      <c r="V39" s="705" t="s">
        <v>14</v>
      </c>
      <c r="W39" s="706">
        <f t="shared" si="14"/>
        <v>100</v>
      </c>
      <c r="X39" s="1355"/>
      <c r="Y39" s="374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5"/>
      <c r="Q40" s="1352" t="str">
        <f t="shared" si="11"/>
        <v>市政基础设施</v>
      </c>
      <c r="R40" s="705" t="s">
        <v>14</v>
      </c>
      <c r="S40" s="706">
        <f t="shared" si="12"/>
        <v>100</v>
      </c>
      <c r="T40" s="705" t="s">
        <v>14</v>
      </c>
      <c r="U40" s="706">
        <f t="shared" si="13"/>
        <v>100</v>
      </c>
      <c r="V40" s="705" t="s">
        <v>14</v>
      </c>
      <c r="W40" s="706">
        <f t="shared" si="14"/>
        <v>100</v>
      </c>
      <c r="X40" s="1355"/>
      <c r="Y40" s="374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5"/>
      <c r="Q41" s="1352" t="str">
        <f t="shared" si="11"/>
        <v>层高</v>
      </c>
      <c r="R41" s="705" t="s">
        <v>14</v>
      </c>
      <c r="S41" s="706">
        <f t="shared" si="12"/>
        <v>100</v>
      </c>
      <c r="T41" s="705" t="s">
        <v>14</v>
      </c>
      <c r="U41" s="706">
        <f t="shared" si="13"/>
        <v>100</v>
      </c>
      <c r="V41" s="705" t="s">
        <v>14</v>
      </c>
      <c r="W41" s="706">
        <f t="shared" si="14"/>
        <v>100</v>
      </c>
      <c r="X41" s="1355"/>
      <c r="Y41" s="374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5"/>
      <c r="Q43" s="1352" t="str">
        <f t="shared" si="11"/>
        <v>内部装修</v>
      </c>
      <c r="R43" s="705" t="s">
        <v>14</v>
      </c>
      <c r="S43" s="706">
        <f t="shared" si="12"/>
        <v>100</v>
      </c>
      <c r="T43" s="705" t="s">
        <v>14</v>
      </c>
      <c r="U43" s="706">
        <f t="shared" si="13"/>
        <v>100</v>
      </c>
      <c r="V43" s="705" t="s">
        <v>14</v>
      </c>
      <c r="W43" s="706">
        <f t="shared" si="14"/>
        <v>100</v>
      </c>
      <c r="X43" s="1355"/>
      <c r="Y43" s="374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5"/>
      <c r="Q44" s="1352" t="str">
        <f t="shared" si="11"/>
        <v>内部装修维护情况</v>
      </c>
      <c r="R44" s="705" t="s">
        <v>14</v>
      </c>
      <c r="S44" s="706">
        <f t="shared" si="12"/>
        <v>100</v>
      </c>
      <c r="T44" s="705" t="s">
        <v>14</v>
      </c>
      <c r="U44" s="706">
        <f t="shared" si="13"/>
        <v>100</v>
      </c>
      <c r="V44" s="705" t="s">
        <v>14</v>
      </c>
      <c r="W44" s="706">
        <f t="shared" si="14"/>
        <v>100</v>
      </c>
      <c r="X44" s="1355"/>
      <c r="Y44" s="374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5"/>
      <c r="Q45" s="1343">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6"/>
      <c r="Q47" s="1352">
        <f t="shared" si="11"/>
        <v>111</v>
      </c>
      <c r="R47" s="705" t="s">
        <v>14</v>
      </c>
      <c r="S47" s="706">
        <f t="shared" si="12"/>
        <v>100</v>
      </c>
      <c r="T47" s="705" t="s">
        <v>14</v>
      </c>
      <c r="U47" s="706">
        <f t="shared" si="13"/>
        <v>100</v>
      </c>
      <c r="V47" s="705" t="s">
        <v>14</v>
      </c>
      <c r="W47" s="706">
        <f t="shared" si="14"/>
        <v>100</v>
      </c>
      <c r="X47" s="1355"/>
      <c r="Y47" s="374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2" t="str">
        <f>A48</f>
        <v>成交单价（元/平方米）</v>
      </c>
      <c r="Q48" s="3740"/>
      <c r="R48" s="3741">
        <f>E48</f>
        <v>0</v>
      </c>
      <c r="S48" s="3741"/>
      <c r="T48" s="3741">
        <f>G48</f>
        <v>0</v>
      </c>
      <c r="U48" s="3741"/>
      <c r="V48" s="3741">
        <f>I48</f>
        <v>0</v>
      </c>
      <c r="W48" s="374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2"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2464.7399999999998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913"/>
      <c r="M4" s="914"/>
      <c r="N4" s="914"/>
      <c r="O4" s="914"/>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913"/>
      <c r="M5" s="914"/>
      <c r="N5" s="914"/>
      <c r="O5" s="914"/>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913"/>
      <c r="M6" s="914"/>
      <c r="N6" s="914"/>
      <c r="O6" s="914"/>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0"/>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3"/>
      <c r="Q16" s="1352"/>
      <c r="R16" s="705"/>
      <c r="S16" s="706"/>
      <c r="T16" s="705"/>
      <c r="U16" s="706"/>
      <c r="V16" s="705"/>
      <c r="W16" s="706"/>
      <c r="X16" s="1355"/>
      <c r="Y16" s="374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3"/>
      <c r="Q18" s="1352"/>
      <c r="R18" s="705"/>
      <c r="S18" s="706"/>
      <c r="T18" s="705"/>
      <c r="U18" s="706"/>
      <c r="V18" s="705"/>
      <c r="W18" s="706"/>
      <c r="X18" s="1355"/>
      <c r="Y18" s="374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3"/>
      <c r="Q20" s="1352"/>
      <c r="R20" s="705"/>
      <c r="S20" s="706"/>
      <c r="T20" s="705"/>
      <c r="U20" s="706"/>
      <c r="V20" s="705"/>
      <c r="W20" s="706"/>
      <c r="X20" s="1355"/>
      <c r="Y20" s="374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3"/>
      <c r="Q22" s="1352"/>
      <c r="R22" s="705"/>
      <c r="S22" s="706"/>
      <c r="T22" s="705"/>
      <c r="U22" s="706"/>
      <c r="V22" s="705"/>
      <c r="W22" s="706"/>
      <c r="X22" s="1355"/>
      <c r="Y22" s="374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3"/>
      <c r="Q24" s="1352"/>
      <c r="R24" s="705"/>
      <c r="S24" s="706"/>
      <c r="T24" s="705"/>
      <c r="U24" s="706"/>
      <c r="V24" s="705"/>
      <c r="W24" s="706"/>
      <c r="X24" s="1355"/>
      <c r="Y24" s="374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2">
        <f>B25</f>
        <v>111</v>
      </c>
      <c r="R25" s="705" t="s">
        <v>14</v>
      </c>
      <c r="S25" s="706">
        <f>F25</f>
        <v>100</v>
      </c>
      <c r="T25" s="705" t="s">
        <v>14</v>
      </c>
      <c r="U25" s="706">
        <f>H25</f>
        <v>100</v>
      </c>
      <c r="V25" s="705" t="s">
        <v>14</v>
      </c>
      <c r="W25" s="706">
        <f>J25</f>
        <v>100</v>
      </c>
      <c r="X25" s="1355"/>
      <c r="Y25" s="374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2">
        <f t="shared" ref="Q26:Q40" si="11">B26</f>
        <v>111</v>
      </c>
      <c r="R26" s="705" t="s">
        <v>14</v>
      </c>
      <c r="S26" s="706">
        <f>F26</f>
        <v>100</v>
      </c>
      <c r="T26" s="705" t="s">
        <v>14</v>
      </c>
      <c r="U26" s="706">
        <f>H26</f>
        <v>100</v>
      </c>
      <c r="V26" s="705" t="s">
        <v>14</v>
      </c>
      <c r="W26" s="706">
        <f>J26</f>
        <v>100</v>
      </c>
      <c r="X26" s="1355"/>
      <c r="Y26" s="374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3">
        <f t="shared" si="11"/>
        <v>111</v>
      </c>
      <c r="R27" s="701" t="s">
        <v>14</v>
      </c>
      <c r="S27" s="702">
        <f>F27</f>
        <v>100</v>
      </c>
      <c r="T27" s="701" t="s">
        <v>14</v>
      </c>
      <c r="U27" s="702">
        <f>H27</f>
        <v>100</v>
      </c>
      <c r="V27" s="701" t="s">
        <v>14</v>
      </c>
      <c r="W27" s="702">
        <f>J27</f>
        <v>100</v>
      </c>
      <c r="X27" s="703"/>
      <c r="Y27" s="374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2">
        <f t="shared" si="11"/>
        <v>111</v>
      </c>
      <c r="R28" s="705" t="s">
        <v>14</v>
      </c>
      <c r="S28" s="706">
        <f t="shared" ref="S28:S40" si="12">F28</f>
        <v>100</v>
      </c>
      <c r="T28" s="705" t="s">
        <v>14</v>
      </c>
      <c r="U28" s="706">
        <f t="shared" ref="U28:U40" si="13">H28</f>
        <v>100</v>
      </c>
      <c r="V28" s="705" t="s">
        <v>14</v>
      </c>
      <c r="W28" s="706">
        <f t="shared" ref="W28:W40" si="14">J28</f>
        <v>100</v>
      </c>
      <c r="X28" s="1355"/>
      <c r="Y28" s="374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6" t="s">
        <v>1696</v>
      </c>
      <c r="Q29" s="1352" t="str">
        <f t="shared" si="11"/>
        <v>建筑类型</v>
      </c>
      <c r="R29" s="705" t="s">
        <v>14</v>
      </c>
      <c r="S29" s="706">
        <f t="shared" si="12"/>
        <v>100</v>
      </c>
      <c r="T29" s="705" t="s">
        <v>14</v>
      </c>
      <c r="U29" s="706">
        <f t="shared" si="13"/>
        <v>100</v>
      </c>
      <c r="V29" s="705" t="s">
        <v>14</v>
      </c>
      <c r="W29" s="706">
        <f t="shared" si="14"/>
        <v>100</v>
      </c>
      <c r="X29" s="1355"/>
      <c r="Y29" s="374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2" t="str">
        <f t="shared" si="11"/>
        <v>建筑结构</v>
      </c>
      <c r="R31" s="705" t="s">
        <v>14</v>
      </c>
      <c r="S31" s="706">
        <f t="shared" si="12"/>
        <v>100</v>
      </c>
      <c r="T31" s="705" t="s">
        <v>14</v>
      </c>
      <c r="U31" s="706">
        <f t="shared" si="13"/>
        <v>100</v>
      </c>
      <c r="V31" s="705" t="s">
        <v>14</v>
      </c>
      <c r="W31" s="706">
        <f t="shared" si="14"/>
        <v>100</v>
      </c>
      <c r="X31" s="1355"/>
      <c r="Y31" s="374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2" t="str">
        <f t="shared" si="11"/>
        <v>公共部分装修</v>
      </c>
      <c r="R32" s="705" t="s">
        <v>14</v>
      </c>
      <c r="S32" s="706">
        <f t="shared" si="12"/>
        <v>100</v>
      </c>
      <c r="T32" s="705" t="s">
        <v>14</v>
      </c>
      <c r="U32" s="706">
        <f t="shared" si="13"/>
        <v>100</v>
      </c>
      <c r="V32" s="705" t="s">
        <v>14</v>
      </c>
      <c r="W32" s="706">
        <f t="shared" si="14"/>
        <v>100</v>
      </c>
      <c r="X32" s="1355"/>
      <c r="Y32" s="374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2" t="str">
        <f t="shared" si="11"/>
        <v>成新度</v>
      </c>
      <c r="R33" s="705" t="s">
        <v>14</v>
      </c>
      <c r="S33" s="706" t="e">
        <f t="shared" si="12"/>
        <v>#N/A</v>
      </c>
      <c r="T33" s="705" t="s">
        <v>14</v>
      </c>
      <c r="U33" s="706" t="e">
        <f t="shared" si="13"/>
        <v>#N/A</v>
      </c>
      <c r="V33" s="705" t="s">
        <v>14</v>
      </c>
      <c r="W33" s="706" t="e">
        <f t="shared" si="14"/>
        <v>#N/A</v>
      </c>
      <c r="X33" s="1355"/>
      <c r="Y33" s="374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3"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1696</v>
      </c>
      <c r="Q35" s="1352" t="str">
        <f t="shared" si="11"/>
        <v>市政基础设施</v>
      </c>
      <c r="R35" s="705" t="s">
        <v>14</v>
      </c>
      <c r="S35" s="706">
        <f t="shared" si="12"/>
        <v>100</v>
      </c>
      <c r="T35" s="705" t="s">
        <v>14</v>
      </c>
      <c r="U35" s="706">
        <f t="shared" si="13"/>
        <v>100</v>
      </c>
      <c r="V35" s="705" t="s">
        <v>14</v>
      </c>
      <c r="W35" s="706">
        <f t="shared" si="14"/>
        <v>100</v>
      </c>
      <c r="X35" s="1355"/>
      <c r="Y35" s="374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2" t="str">
        <f t="shared" si="11"/>
        <v>内部装修</v>
      </c>
      <c r="R36" s="705" t="s">
        <v>14</v>
      </c>
      <c r="S36" s="706">
        <f t="shared" si="12"/>
        <v>100</v>
      </c>
      <c r="T36" s="705" t="s">
        <v>14</v>
      </c>
      <c r="U36" s="706">
        <f t="shared" si="13"/>
        <v>100</v>
      </c>
      <c r="V36" s="705" t="s">
        <v>14</v>
      </c>
      <c r="W36" s="706">
        <f t="shared" si="14"/>
        <v>100</v>
      </c>
      <c r="X36" s="1355"/>
      <c r="Y36" s="374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2" t="str">
        <f t="shared" si="11"/>
        <v>内部装修状况</v>
      </c>
      <c r="R37" s="705" t="s">
        <v>14</v>
      </c>
      <c r="S37" s="706">
        <f t="shared" si="12"/>
        <v>100</v>
      </c>
      <c r="T37" s="705" t="s">
        <v>14</v>
      </c>
      <c r="U37" s="706">
        <f t="shared" si="13"/>
        <v>100</v>
      </c>
      <c r="V37" s="705" t="s">
        <v>14</v>
      </c>
      <c r="W37" s="706">
        <f t="shared" si="14"/>
        <v>100</v>
      </c>
      <c r="X37" s="1355"/>
      <c r="Y37" s="374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2">
        <f t="shared" si="11"/>
        <v>111</v>
      </c>
      <c r="R39" s="705" t="s">
        <v>14</v>
      </c>
      <c r="S39" s="706">
        <f t="shared" si="12"/>
        <v>100</v>
      </c>
      <c r="T39" s="705" t="s">
        <v>14</v>
      </c>
      <c r="U39" s="706">
        <f t="shared" si="13"/>
        <v>100</v>
      </c>
      <c r="V39" s="705" t="s">
        <v>14</v>
      </c>
      <c r="W39" s="706">
        <f t="shared" si="14"/>
        <v>100</v>
      </c>
      <c r="X39" s="1355"/>
      <c r="Y39" s="374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2">
        <f t="shared" si="11"/>
        <v>111</v>
      </c>
      <c r="R40" s="705" t="s">
        <v>14</v>
      </c>
      <c r="S40" s="706">
        <f t="shared" si="12"/>
        <v>100</v>
      </c>
      <c r="T40" s="705" t="s">
        <v>14</v>
      </c>
      <c r="U40" s="706">
        <f t="shared" si="13"/>
        <v>100</v>
      </c>
      <c r="V40" s="705" t="s">
        <v>14</v>
      </c>
      <c r="W40" s="706">
        <f t="shared" si="14"/>
        <v>100</v>
      </c>
      <c r="X40" s="1355"/>
      <c r="Y40" s="374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40" t="str">
        <f>A41</f>
        <v>成交单价（元/平方米）</v>
      </c>
      <c r="Q41" s="3740"/>
      <c r="R41" s="3741">
        <f>E41</f>
        <v>0</v>
      </c>
      <c r="S41" s="3741"/>
      <c r="T41" s="3741">
        <f>G41</f>
        <v>0</v>
      </c>
      <c r="U41" s="3741"/>
      <c r="V41" s="3741">
        <f>I41</f>
        <v>0</v>
      </c>
      <c r="W41" s="374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0"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0"/>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3"/>
      <c r="Q15" s="1352"/>
      <c r="R15" s="705"/>
      <c r="S15" s="706"/>
      <c r="T15" s="705"/>
      <c r="U15" s="706"/>
      <c r="V15" s="705"/>
      <c r="W15" s="706"/>
      <c r="X15" s="1355"/>
      <c r="Y15" s="374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3"/>
      <c r="Q17" s="1352"/>
      <c r="R17" s="705"/>
      <c r="S17" s="706"/>
      <c r="T17" s="705"/>
      <c r="U17" s="706"/>
      <c r="V17" s="705"/>
      <c r="W17" s="706"/>
      <c r="X17" s="1355"/>
      <c r="Y17" s="374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3"/>
      <c r="Q19" s="1352"/>
      <c r="R19" s="705"/>
      <c r="S19" s="706"/>
      <c r="T19" s="705"/>
      <c r="U19" s="706"/>
      <c r="V19" s="705"/>
      <c r="W19" s="706"/>
      <c r="X19" s="1355"/>
      <c r="Y19" s="374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3"/>
      <c r="Q21" s="1352"/>
      <c r="R21" s="705"/>
      <c r="S21" s="706"/>
      <c r="T21" s="705"/>
      <c r="U21" s="706"/>
      <c r="V21" s="705"/>
      <c r="W21" s="706"/>
      <c r="X21" s="1355"/>
      <c r="Y21" s="374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3"/>
      <c r="Q24" s="1352">
        <f t="shared" ref="Q24:Q36"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7"/>
      <c r="Q28" s="1352" t="str">
        <f t="shared" si="11"/>
        <v>公共部分装修</v>
      </c>
      <c r="R28" s="705" t="s">
        <v>14</v>
      </c>
      <c r="S28" s="706">
        <f t="shared" si="12"/>
        <v>100</v>
      </c>
      <c r="T28" s="705" t="s">
        <v>14</v>
      </c>
      <c r="U28" s="706">
        <f t="shared" si="13"/>
        <v>100</v>
      </c>
      <c r="V28" s="705" t="s">
        <v>14</v>
      </c>
      <c r="W28" s="706">
        <f t="shared" si="14"/>
        <v>100</v>
      </c>
      <c r="X28" s="1355"/>
      <c r="Y28" s="374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7"/>
      <c r="Q29" s="1352" t="str">
        <f t="shared" si="11"/>
        <v>成新率</v>
      </c>
      <c r="R29" s="705" t="s">
        <v>14</v>
      </c>
      <c r="S29" s="706" t="e">
        <f t="shared" si="12"/>
        <v>#N/A</v>
      </c>
      <c r="T29" s="705" t="s">
        <v>14</v>
      </c>
      <c r="U29" s="706" t="e">
        <f t="shared" si="13"/>
        <v>#N/A</v>
      </c>
      <c r="V29" s="705" t="s">
        <v>14</v>
      </c>
      <c r="W29" s="706" t="e">
        <f t="shared" si="14"/>
        <v>#N/A</v>
      </c>
      <c r="X29" s="1355"/>
      <c r="Y29" s="374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7"/>
      <c r="Q30" s="1352" t="str">
        <f t="shared" si="11"/>
        <v>物业等级</v>
      </c>
      <c r="R30" s="705" t="s">
        <v>14</v>
      </c>
      <c r="S30" s="706">
        <f t="shared" si="12"/>
        <v>100</v>
      </c>
      <c r="T30" s="705" t="s">
        <v>14</v>
      </c>
      <c r="U30" s="706">
        <f t="shared" si="13"/>
        <v>100</v>
      </c>
      <c r="V30" s="705" t="s">
        <v>14</v>
      </c>
      <c r="W30" s="706">
        <f t="shared" si="14"/>
        <v>100</v>
      </c>
      <c r="X30" s="1355"/>
      <c r="Y30" s="374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7"/>
      <c r="Q31" s="1343"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7" t="s">
        <v>1696</v>
      </c>
      <c r="Q32" s="1352" t="str">
        <f t="shared" si="11"/>
        <v>车位类型</v>
      </c>
      <c r="R32" s="705" t="s">
        <v>14</v>
      </c>
      <c r="S32" s="706">
        <f t="shared" si="12"/>
        <v>100</v>
      </c>
      <c r="T32" s="705" t="s">
        <v>14</v>
      </c>
      <c r="U32" s="706">
        <f t="shared" si="13"/>
        <v>100</v>
      </c>
      <c r="V32" s="705" t="s">
        <v>14</v>
      </c>
      <c r="W32" s="706">
        <f t="shared" si="14"/>
        <v>100</v>
      </c>
      <c r="X32" s="1355"/>
      <c r="Y32" s="374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7"/>
      <c r="Q33" s="1352" t="str">
        <f t="shared" si="11"/>
        <v>是否直接入户</v>
      </c>
      <c r="R33" s="705" t="s">
        <v>14</v>
      </c>
      <c r="S33" s="706">
        <f t="shared" si="12"/>
        <v>100</v>
      </c>
      <c r="T33" s="705" t="s">
        <v>14</v>
      </c>
      <c r="U33" s="706">
        <f t="shared" si="13"/>
        <v>100</v>
      </c>
      <c r="V33" s="705" t="s">
        <v>14</v>
      </c>
      <c r="W33" s="706">
        <f t="shared" si="14"/>
        <v>100</v>
      </c>
      <c r="X33" s="1355"/>
      <c r="Y33" s="374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7"/>
      <c r="Q36" s="1352">
        <f t="shared" si="11"/>
        <v>111</v>
      </c>
      <c r="R36" s="705" t="s">
        <v>14</v>
      </c>
      <c r="S36" s="706">
        <f t="shared" si="12"/>
        <v>100</v>
      </c>
      <c r="T36" s="705" t="s">
        <v>14</v>
      </c>
      <c r="U36" s="706">
        <f t="shared" si="13"/>
        <v>100</v>
      </c>
      <c r="V36" s="705" t="s">
        <v>14</v>
      </c>
      <c r="W36" s="706">
        <f t="shared" si="14"/>
        <v>100</v>
      </c>
      <c r="X36" s="1355"/>
      <c r="Y36" s="3747"/>
      <c r="Z36" s="1356">
        <f t="shared" si="15"/>
        <v>111</v>
      </c>
      <c r="AA36" s="1353">
        <f t="shared" si="3"/>
        <v>1</v>
      </c>
      <c r="AB36" s="1353">
        <f t="shared" si="4"/>
        <v>1</v>
      </c>
      <c r="AC36" s="1353">
        <f t="shared" si="5"/>
        <v>1</v>
      </c>
    </row>
    <row r="37" spans="1:29" ht="14.4">
      <c r="A37" s="430" t="s">
        <v>1844</v>
      </c>
      <c r="B37" s="1973" t="s">
        <v>3353</v>
      </c>
      <c r="C37" s="1154" t="s">
        <v>0</v>
      </c>
      <c r="D37" s="1155"/>
      <c r="E37" s="1156"/>
      <c r="F37" s="1157"/>
      <c r="G37" s="1158"/>
      <c r="H37" s="1159"/>
      <c r="I37" s="1156"/>
      <c r="J37" s="1159"/>
      <c r="K37" s="568"/>
      <c r="L37" s="2724"/>
      <c r="M37" s="2725"/>
      <c r="N37" s="2716"/>
      <c r="O37" s="2725"/>
      <c r="P37" s="3740" t="str">
        <f>A37</f>
        <v>成交单价</v>
      </c>
      <c r="Q37" s="3740"/>
      <c r="R37" s="3741">
        <f>E37</f>
        <v>0</v>
      </c>
      <c r="S37" s="3741"/>
      <c r="T37" s="3741">
        <f>G37</f>
        <v>0</v>
      </c>
      <c r="U37" s="3741"/>
      <c r="V37" s="3741">
        <f>I37</f>
        <v>0</v>
      </c>
      <c r="W37" s="374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7" t="str">
        <f>A39</f>
        <v>估价对象XX用房的比较价值（楼面单价，元/平方米）</v>
      </c>
      <c r="Q39" s="3738"/>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0"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0"/>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3"/>
      <c r="Q15" s="1352"/>
      <c r="R15" s="705"/>
      <c r="S15" s="706"/>
      <c r="T15" s="705"/>
      <c r="U15" s="706"/>
      <c r="V15" s="705"/>
      <c r="W15" s="706"/>
      <c r="X15" s="1355"/>
      <c r="Y15" s="374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3"/>
      <c r="Q17" s="1352"/>
      <c r="R17" s="705"/>
      <c r="S17" s="706"/>
      <c r="T17" s="705"/>
      <c r="U17" s="706"/>
      <c r="V17" s="705"/>
      <c r="W17" s="706"/>
      <c r="X17" s="1355"/>
      <c r="Y17" s="374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3"/>
      <c r="Q19" s="1352"/>
      <c r="R19" s="705"/>
      <c r="S19" s="706"/>
      <c r="T19" s="705"/>
      <c r="U19" s="706"/>
      <c r="V19" s="705"/>
      <c r="W19" s="706"/>
      <c r="X19" s="1355"/>
      <c r="Y19" s="374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3"/>
      <c r="Q21" s="1352"/>
      <c r="R21" s="705"/>
      <c r="S21" s="706"/>
      <c r="T21" s="705"/>
      <c r="U21" s="706"/>
      <c r="V21" s="705"/>
      <c r="W21" s="706"/>
      <c r="X21" s="1355"/>
      <c r="Y21" s="374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3"/>
      <c r="Q24" s="1352">
        <f t="shared" ref="Q24:Q34"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7"/>
      <c r="Q27" s="707" t="str">
        <f t="shared" si="11"/>
        <v>成新率</v>
      </c>
      <c r="R27" s="708" t="s">
        <v>14</v>
      </c>
      <c r="S27" s="709" t="e">
        <f t="shared" si="12"/>
        <v>#N/A</v>
      </c>
      <c r="T27" s="708" t="s">
        <v>14</v>
      </c>
      <c r="U27" s="709" t="e">
        <f t="shared" si="13"/>
        <v>#N/A</v>
      </c>
      <c r="V27" s="708" t="s">
        <v>14</v>
      </c>
      <c r="W27" s="709" t="e">
        <f t="shared" si="14"/>
        <v>#N/A</v>
      </c>
      <c r="X27" s="710"/>
      <c r="Y27" s="374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7"/>
      <c r="Q28" s="1352" t="str">
        <f t="shared" si="11"/>
        <v>物业等级</v>
      </c>
      <c r="R28" s="705" t="s">
        <v>14</v>
      </c>
      <c r="S28" s="706">
        <f t="shared" si="12"/>
        <v>100</v>
      </c>
      <c r="T28" s="705" t="s">
        <v>14</v>
      </c>
      <c r="U28" s="706">
        <f t="shared" si="13"/>
        <v>100</v>
      </c>
      <c r="V28" s="705" t="s">
        <v>14</v>
      </c>
      <c r="W28" s="706">
        <f t="shared" si="14"/>
        <v>100</v>
      </c>
      <c r="X28" s="1355"/>
      <c r="Y28" s="374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7"/>
      <c r="Q29" s="1352" t="str">
        <f t="shared" si="11"/>
        <v>有无电梯</v>
      </c>
      <c r="R29" s="705" t="s">
        <v>14</v>
      </c>
      <c r="S29" s="706">
        <f t="shared" si="12"/>
        <v>100</v>
      </c>
      <c r="T29" s="705" t="s">
        <v>14</v>
      </c>
      <c r="U29" s="706">
        <f t="shared" si="13"/>
        <v>100</v>
      </c>
      <c r="V29" s="705" t="s">
        <v>14</v>
      </c>
      <c r="W29" s="706">
        <f t="shared" si="14"/>
        <v>100</v>
      </c>
      <c r="X29" s="1355"/>
      <c r="Y29" s="374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7"/>
      <c r="Q30" s="1352" t="str">
        <f t="shared" si="11"/>
        <v>建筑面积</v>
      </c>
      <c r="R30" s="705" t="s">
        <v>14</v>
      </c>
      <c r="S30" s="706" t="e">
        <f t="shared" si="12"/>
        <v>#N/A</v>
      </c>
      <c r="T30" s="705" t="s">
        <v>14</v>
      </c>
      <c r="U30" s="706" t="e">
        <f t="shared" si="13"/>
        <v>#N/A</v>
      </c>
      <c r="V30" s="705" t="s">
        <v>14</v>
      </c>
      <c r="W30" s="706" t="e">
        <f t="shared" si="14"/>
        <v>#N/A</v>
      </c>
      <c r="X30" s="1355"/>
      <c r="Y30" s="374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7"/>
      <c r="Q31" s="1343"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7" t="s">
        <v>1696</v>
      </c>
      <c r="Q32" s="1352">
        <f t="shared" si="11"/>
        <v>111</v>
      </c>
      <c r="R32" s="705" t="s">
        <v>14</v>
      </c>
      <c r="S32" s="706">
        <f t="shared" si="12"/>
        <v>100</v>
      </c>
      <c r="T32" s="705" t="s">
        <v>14</v>
      </c>
      <c r="U32" s="706">
        <f t="shared" si="13"/>
        <v>100</v>
      </c>
      <c r="V32" s="705" t="s">
        <v>14</v>
      </c>
      <c r="W32" s="706">
        <f t="shared" si="14"/>
        <v>100</v>
      </c>
      <c r="X32" s="1355"/>
      <c r="Y32" s="374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7"/>
      <c r="Q33" s="1352">
        <f t="shared" si="11"/>
        <v>111</v>
      </c>
      <c r="R33" s="705" t="s">
        <v>14</v>
      </c>
      <c r="S33" s="706">
        <f t="shared" si="12"/>
        <v>100</v>
      </c>
      <c r="T33" s="705" t="s">
        <v>14</v>
      </c>
      <c r="U33" s="706">
        <f t="shared" si="13"/>
        <v>100</v>
      </c>
      <c r="V33" s="705" t="s">
        <v>14</v>
      </c>
      <c r="W33" s="706">
        <f t="shared" si="14"/>
        <v>100</v>
      </c>
      <c r="X33" s="1355"/>
      <c r="Y33" s="374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40" t="str">
        <f>A35</f>
        <v>成交单价（元/平方米）</v>
      </c>
      <c r="Q35" s="3740"/>
      <c r="R35" s="3741">
        <f>E35</f>
        <v>0</v>
      </c>
      <c r="S35" s="3741"/>
      <c r="T35" s="3741">
        <f>G35</f>
        <v>0</v>
      </c>
      <c r="U35" s="3741"/>
      <c r="V35" s="3741">
        <f>I35</f>
        <v>0</v>
      </c>
      <c r="W35" s="374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7" t="str">
        <f>A37</f>
        <v>估价对象XX用房的比较价值（楼面单价，元/平方米）</v>
      </c>
      <c r="Q37" s="3738"/>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30">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30"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30" s="108" customFormat="1" ht="15" thickBot="1">
      <c r="A7" s="362" t="s">
        <v>1679</v>
      </c>
      <c r="B7" s="363"/>
      <c r="C7" s="364">
        <f>'数据-取费表'!B2</f>
        <v>45680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40"/>
      <c r="Q10" s="1343" t="str">
        <f t="shared" si="6"/>
        <v>土地使用年限（年）</v>
      </c>
      <c r="R10" s="701" t="s">
        <v>14</v>
      </c>
      <c r="S10" s="702">
        <f t="shared" si="0"/>
        <v>133</v>
      </c>
      <c r="T10" s="701" t="s">
        <v>14</v>
      </c>
      <c r="U10" s="702">
        <f t="shared" si="1"/>
        <v>133</v>
      </c>
      <c r="V10" s="701" t="s">
        <v>14</v>
      </c>
      <c r="W10" s="702">
        <f t="shared" si="2"/>
        <v>133</v>
      </c>
      <c r="X10" s="703"/>
      <c r="Y10" s="3633"/>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0"/>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2" t="s">
        <v>1691</v>
      </c>
      <c r="Q15" s="1352" t="str">
        <f t="shared" si="6"/>
        <v>居住社区成熟度</v>
      </c>
      <c r="R15" s="705" t="s">
        <v>14</v>
      </c>
      <c r="S15" s="706">
        <f t="shared" si="0"/>
        <v>100</v>
      </c>
      <c r="T15" s="705" t="s">
        <v>14</v>
      </c>
      <c r="U15" s="706">
        <f t="shared" si="1"/>
        <v>100</v>
      </c>
      <c r="V15" s="705" t="s">
        <v>14</v>
      </c>
      <c r="W15" s="706">
        <f t="shared" si="2"/>
        <v>100</v>
      </c>
      <c r="X15" s="1355"/>
      <c r="Y15" s="374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3"/>
      <c r="Q17" s="1352" t="str">
        <f>B17</f>
        <v>商业繁华度</v>
      </c>
      <c r="R17" s="705" t="s">
        <v>14</v>
      </c>
      <c r="S17" s="706">
        <f>F17</f>
        <v>100</v>
      </c>
      <c r="T17" s="705" t="s">
        <v>14</v>
      </c>
      <c r="U17" s="706">
        <f>H17</f>
        <v>100</v>
      </c>
      <c r="V17" s="705" t="s">
        <v>14</v>
      </c>
      <c r="W17" s="706">
        <f>J17</f>
        <v>100</v>
      </c>
      <c r="X17" s="1355"/>
      <c r="Y17" s="374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3"/>
      <c r="Q19" s="1352" t="str">
        <f>B19</f>
        <v>办公集聚程度</v>
      </c>
      <c r="R19" s="705" t="s">
        <v>14</v>
      </c>
      <c r="S19" s="706">
        <f>F19</f>
        <v>100</v>
      </c>
      <c r="T19" s="705" t="s">
        <v>14</v>
      </c>
      <c r="U19" s="706">
        <f>H19</f>
        <v>100</v>
      </c>
      <c r="V19" s="705" t="s">
        <v>14</v>
      </c>
      <c r="W19" s="706">
        <f>J19</f>
        <v>100</v>
      </c>
      <c r="X19" s="1355"/>
      <c r="Y19" s="374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3"/>
      <c r="Q20" s="1352"/>
      <c r="R20" s="705"/>
      <c r="S20" s="706"/>
      <c r="T20" s="705"/>
      <c r="U20" s="706"/>
      <c r="V20" s="705"/>
      <c r="W20" s="706"/>
      <c r="X20" s="1355"/>
      <c r="Y20" s="374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3"/>
      <c r="Q21" s="1352" t="str">
        <f>B21</f>
        <v>交通便捷度</v>
      </c>
      <c r="R21" s="705" t="s">
        <v>14</v>
      </c>
      <c r="S21" s="706">
        <f>F21</f>
        <v>100</v>
      </c>
      <c r="T21" s="705" t="s">
        <v>14</v>
      </c>
      <c r="U21" s="706">
        <f>H21</f>
        <v>100</v>
      </c>
      <c r="V21" s="705" t="s">
        <v>14</v>
      </c>
      <c r="W21" s="706">
        <f>J21</f>
        <v>100</v>
      </c>
      <c r="X21" s="1355"/>
      <c r="Y21" s="374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3"/>
      <c r="Q23" s="1352" t="str">
        <f t="shared" ref="Q23:Q37" si="8">B23</f>
        <v>区域土地利用方向</v>
      </c>
      <c r="R23" s="705" t="s">
        <v>14</v>
      </c>
      <c r="S23" s="706">
        <f>F23</f>
        <v>100</v>
      </c>
      <c r="T23" s="705" t="s">
        <v>14</v>
      </c>
      <c r="U23" s="706">
        <f>H23</f>
        <v>100</v>
      </c>
      <c r="V23" s="705" t="s">
        <v>14</v>
      </c>
      <c r="W23" s="706">
        <f>J23</f>
        <v>100</v>
      </c>
      <c r="X23" s="1355"/>
      <c r="Y23" s="374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3"/>
      <c r="Q24" s="1352"/>
      <c r="R24" s="705"/>
      <c r="S24" s="706"/>
      <c r="T24" s="705"/>
      <c r="U24" s="706"/>
      <c r="V24" s="705"/>
      <c r="W24" s="706"/>
      <c r="X24" s="1355"/>
      <c r="Y24" s="374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3"/>
      <c r="Q25" s="1352" t="str">
        <f t="shared" si="8"/>
        <v>自然及人文环境状况</v>
      </c>
      <c r="R25" s="705" t="s">
        <v>14</v>
      </c>
      <c r="S25" s="706">
        <f>F25</f>
        <v>100</v>
      </c>
      <c r="T25" s="705" t="s">
        <v>14</v>
      </c>
      <c r="U25" s="706">
        <f>H25</f>
        <v>100</v>
      </c>
      <c r="V25" s="705" t="s">
        <v>14</v>
      </c>
      <c r="W25" s="706">
        <f>J25</f>
        <v>100</v>
      </c>
      <c r="X25" s="1355"/>
      <c r="Y25" s="374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3"/>
      <c r="Q26" s="1352"/>
      <c r="R26" s="705"/>
      <c r="S26" s="706"/>
      <c r="T26" s="705"/>
      <c r="U26" s="706"/>
      <c r="V26" s="705"/>
      <c r="W26" s="706"/>
      <c r="X26" s="1355"/>
      <c r="Y26" s="374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3"/>
      <c r="Q27" s="1343" t="str">
        <f t="shared" si="8"/>
        <v>公共配套设施</v>
      </c>
      <c r="R27" s="701" t="s">
        <v>14</v>
      </c>
      <c r="S27" s="702">
        <f>F27</f>
        <v>100</v>
      </c>
      <c r="T27" s="701" t="s">
        <v>14</v>
      </c>
      <c r="U27" s="702">
        <f>H27</f>
        <v>100</v>
      </c>
      <c r="V27" s="701" t="s">
        <v>14</v>
      </c>
      <c r="W27" s="702">
        <f>J27</f>
        <v>100</v>
      </c>
      <c r="X27" s="703"/>
      <c r="Y27" s="374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3"/>
      <c r="Q28" s="1343"/>
      <c r="R28" s="701"/>
      <c r="S28" s="702"/>
      <c r="T28" s="701"/>
      <c r="U28" s="702"/>
      <c r="V28" s="701"/>
      <c r="W28" s="702"/>
      <c r="X28" s="703"/>
      <c r="Y28" s="374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3"/>
      <c r="Q29" s="1343"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3"/>
      <c r="Q30" s="1343"/>
      <c r="R30" s="701"/>
      <c r="S30" s="702"/>
      <c r="T30" s="701"/>
      <c r="U30" s="702"/>
      <c r="V30" s="701"/>
      <c r="W30" s="702"/>
      <c r="X30" s="703"/>
      <c r="Y30" s="374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3"/>
      <c r="Q32" s="1352" t="str">
        <f t="shared" si="8"/>
        <v>毗邻道路的类型与等级</v>
      </c>
      <c r="R32" s="705" t="s">
        <v>14</v>
      </c>
      <c r="S32" s="706">
        <f t="shared" si="10"/>
        <v>100</v>
      </c>
      <c r="T32" s="705" t="s">
        <v>14</v>
      </c>
      <c r="U32" s="706">
        <f t="shared" si="11"/>
        <v>100</v>
      </c>
      <c r="V32" s="705" t="s">
        <v>14</v>
      </c>
      <c r="W32" s="706">
        <f t="shared" si="12"/>
        <v>100</v>
      </c>
      <c r="X32" s="1355"/>
      <c r="Y32" s="374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3"/>
      <c r="Q33" s="1352"/>
      <c r="R33" s="705"/>
      <c r="S33" s="706"/>
      <c r="T33" s="705"/>
      <c r="U33" s="706"/>
      <c r="V33" s="705"/>
      <c r="W33" s="706"/>
      <c r="X33" s="1355"/>
      <c r="Y33" s="374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3"/>
      <c r="Q34" s="1352" t="str">
        <f t="shared" si="8"/>
        <v>土地级别</v>
      </c>
      <c r="R34" s="705" t="s">
        <v>14</v>
      </c>
      <c r="S34" s="706">
        <f t="shared" si="10"/>
        <v>100</v>
      </c>
      <c r="T34" s="705" t="s">
        <v>14</v>
      </c>
      <c r="U34" s="706">
        <f t="shared" si="11"/>
        <v>100</v>
      </c>
      <c r="V34" s="705" t="s">
        <v>14</v>
      </c>
      <c r="W34" s="706">
        <f t="shared" si="12"/>
        <v>100</v>
      </c>
      <c r="X34" s="1355"/>
      <c r="Y34" s="374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3"/>
      <c r="Q35" s="1352">
        <f t="shared" si="8"/>
        <v>111</v>
      </c>
      <c r="R35" s="705" t="s">
        <v>14</v>
      </c>
      <c r="S35" s="706">
        <f t="shared" si="10"/>
        <v>100</v>
      </c>
      <c r="T35" s="705" t="s">
        <v>14</v>
      </c>
      <c r="U35" s="706">
        <f t="shared" si="11"/>
        <v>100</v>
      </c>
      <c r="V35" s="705" t="s">
        <v>14</v>
      </c>
      <c r="W35" s="706">
        <f t="shared" si="12"/>
        <v>100</v>
      </c>
      <c r="X35" s="1355"/>
      <c r="Y35" s="374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6" t="s">
        <v>1696</v>
      </c>
      <c r="Q36" s="1352">
        <f t="shared" si="8"/>
        <v>111</v>
      </c>
      <c r="R36" s="705" t="s">
        <v>14</v>
      </c>
      <c r="S36" s="706">
        <f t="shared" si="10"/>
        <v>100</v>
      </c>
      <c r="T36" s="705" t="s">
        <v>14</v>
      </c>
      <c r="U36" s="706">
        <f t="shared" si="11"/>
        <v>100</v>
      </c>
      <c r="V36" s="705" t="s">
        <v>14</v>
      </c>
      <c r="W36" s="706">
        <f t="shared" si="12"/>
        <v>100</v>
      </c>
      <c r="X36" s="1355"/>
      <c r="Y36" s="374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7"/>
      <c r="Q37" s="1352">
        <f t="shared" si="8"/>
        <v>111</v>
      </c>
      <c r="R37" s="708" t="s">
        <v>14</v>
      </c>
      <c r="S37" s="709">
        <f t="shared" si="10"/>
        <v>100</v>
      </c>
      <c r="T37" s="708" t="s">
        <v>14</v>
      </c>
      <c r="U37" s="709">
        <f t="shared" si="11"/>
        <v>100</v>
      </c>
      <c r="V37" s="708" t="s">
        <v>14</v>
      </c>
      <c r="W37" s="709">
        <f t="shared" si="12"/>
        <v>100</v>
      </c>
      <c r="X37" s="710"/>
      <c r="Y37" s="374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7"/>
      <c r="Q38" s="1352" t="str">
        <f>B38</f>
        <v>宗地面积</v>
      </c>
      <c r="R38" s="705" t="s">
        <v>14</v>
      </c>
      <c r="S38" s="706" t="e">
        <f t="shared" si="10"/>
        <v>#N/A</v>
      </c>
      <c r="T38" s="705" t="s">
        <v>14</v>
      </c>
      <c r="U38" s="706" t="e">
        <f t="shared" si="11"/>
        <v>#N/A</v>
      </c>
      <c r="V38" s="705" t="s">
        <v>14</v>
      </c>
      <c r="W38" s="706" t="e">
        <f t="shared" si="12"/>
        <v>#N/A</v>
      </c>
      <c r="X38" s="1355"/>
      <c r="Y38" s="374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7"/>
      <c r="Q39" s="1352" t="str">
        <f t="shared" ref="Q39:Q45" si="14">B39</f>
        <v>宗地形状</v>
      </c>
      <c r="R39" s="705" t="s">
        <v>14</v>
      </c>
      <c r="S39" s="706">
        <f t="shared" si="10"/>
        <v>100</v>
      </c>
      <c r="T39" s="705" t="s">
        <v>14</v>
      </c>
      <c r="U39" s="706">
        <f t="shared" si="11"/>
        <v>100</v>
      </c>
      <c r="V39" s="705" t="s">
        <v>14</v>
      </c>
      <c r="W39" s="706">
        <f t="shared" si="12"/>
        <v>100</v>
      </c>
      <c r="X39" s="1355"/>
      <c r="Y39" s="374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7"/>
      <c r="Q40" s="1352" t="str">
        <f t="shared" si="14"/>
        <v>临街宽度及深度</v>
      </c>
      <c r="R40" s="705" t="s">
        <v>14</v>
      </c>
      <c r="S40" s="706">
        <f t="shared" si="10"/>
        <v>100</v>
      </c>
      <c r="T40" s="705" t="s">
        <v>14</v>
      </c>
      <c r="U40" s="706">
        <f t="shared" si="11"/>
        <v>100</v>
      </c>
      <c r="V40" s="705" t="s">
        <v>14</v>
      </c>
      <c r="W40" s="706">
        <f t="shared" si="12"/>
        <v>100</v>
      </c>
      <c r="X40" s="1355"/>
      <c r="Y40" s="374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7"/>
      <c r="Q41" s="1352"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7" t="s">
        <v>1696</v>
      </c>
      <c r="Q42" s="1352" t="str">
        <f t="shared" si="14"/>
        <v>工程地质条件</v>
      </c>
      <c r="R42" s="705" t="s">
        <v>14</v>
      </c>
      <c r="S42" s="706">
        <f t="shared" si="10"/>
        <v>100</v>
      </c>
      <c r="T42" s="705" t="s">
        <v>14</v>
      </c>
      <c r="U42" s="706">
        <f t="shared" si="11"/>
        <v>100</v>
      </c>
      <c r="V42" s="705" t="s">
        <v>14</v>
      </c>
      <c r="W42" s="706">
        <f t="shared" si="12"/>
        <v>100</v>
      </c>
      <c r="X42" s="1355"/>
      <c r="Y42" s="374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7"/>
      <c r="Q43" s="1352">
        <f t="shared" si="14"/>
        <v>111</v>
      </c>
      <c r="R43" s="705" t="s">
        <v>14</v>
      </c>
      <c r="S43" s="706">
        <f t="shared" si="10"/>
        <v>100</v>
      </c>
      <c r="T43" s="705" t="s">
        <v>14</v>
      </c>
      <c r="U43" s="706">
        <f t="shared" si="11"/>
        <v>100</v>
      </c>
      <c r="V43" s="705" t="s">
        <v>14</v>
      </c>
      <c r="W43" s="706">
        <f t="shared" si="12"/>
        <v>100</v>
      </c>
      <c r="X43" s="1355"/>
      <c r="Y43" s="374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7"/>
      <c r="Q44" s="1352">
        <f t="shared" si="14"/>
        <v>111</v>
      </c>
      <c r="R44" s="705" t="s">
        <v>14</v>
      </c>
      <c r="S44" s="706">
        <f t="shared" si="10"/>
        <v>100</v>
      </c>
      <c r="T44" s="705" t="s">
        <v>14</v>
      </c>
      <c r="U44" s="706">
        <f t="shared" si="11"/>
        <v>100</v>
      </c>
      <c r="V44" s="705" t="s">
        <v>14</v>
      </c>
      <c r="W44" s="706">
        <f t="shared" si="12"/>
        <v>100</v>
      </c>
      <c r="X44" s="1355"/>
      <c r="Y44" s="374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7"/>
      <c r="Q45" s="1352">
        <f t="shared" si="14"/>
        <v>111</v>
      </c>
      <c r="R45" s="708" t="s">
        <v>14</v>
      </c>
      <c r="S45" s="709">
        <f t="shared" si="10"/>
        <v>100</v>
      </c>
      <c r="T45" s="708" t="s">
        <v>14</v>
      </c>
      <c r="U45" s="709">
        <f t="shared" si="11"/>
        <v>100</v>
      </c>
      <c r="V45" s="708" t="s">
        <v>14</v>
      </c>
      <c r="W45" s="709">
        <f t="shared" si="12"/>
        <v>100</v>
      </c>
      <c r="X45" s="710"/>
      <c r="Y45" s="374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40" t="str">
        <f>A46</f>
        <v>成交单价</v>
      </c>
      <c r="Q46" s="3740"/>
      <c r="R46" s="3735">
        <f>E46</f>
        <v>0</v>
      </c>
      <c r="S46" s="3735"/>
      <c r="T46" s="3735">
        <f>G46</f>
        <v>0</v>
      </c>
      <c r="U46" s="3735"/>
      <c r="V46" s="3735">
        <f>I46</f>
        <v>0</v>
      </c>
      <c r="W46" s="373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0" t="str">
        <f>A47</f>
        <v>比较价值（元/平方米）</v>
      </c>
      <c r="Q47" s="3740"/>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7" t="str">
        <f>A48</f>
        <v>估价对象XX用房的比较价值（楼面单价，元/平方米）</v>
      </c>
      <c r="Q48" s="3738"/>
      <c r="R48" s="3769" t="e">
        <f>ROUND(IF(D47="简单平均",AVERAGE(R47:W47),R47*F47+T47*H47+V47*J47),0)</f>
        <v>#DIV/0!</v>
      </c>
      <c r="S48" s="3769"/>
      <c r="T48" s="3769"/>
      <c r="U48" s="3769"/>
      <c r="V48" s="3769"/>
      <c r="W48" s="376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3" t="s">
        <v>1887</v>
      </c>
      <c r="H55" s="377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2464.7399999999998</v>
      </c>
      <c r="F56" s="886" t="e">
        <f t="shared" ref="F56:F64" si="15">ROUND(B56*E56/10000,0)</f>
        <v>#DIV/0!</v>
      </c>
      <c r="G56" s="3722"/>
      <c r="H56" s="374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2464.7399999999998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71" t="s">
        <v>1919</v>
      </c>
      <c r="D6" s="3772"/>
      <c r="E6" s="3773" t="s">
        <v>1919</v>
      </c>
      <c r="F6" s="3774"/>
      <c r="G6" s="3771" t="s">
        <v>1919</v>
      </c>
      <c r="H6" s="3772"/>
      <c r="I6" s="3771" t="s">
        <v>1919</v>
      </c>
      <c r="J6" s="3772"/>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40"/>
      <c r="Q10" s="1343" t="str">
        <f t="shared" si="6"/>
        <v>土地使用年限（年）</v>
      </c>
      <c r="R10" s="701" t="s">
        <v>14</v>
      </c>
      <c r="S10" s="702">
        <f t="shared" si="0"/>
        <v>133</v>
      </c>
      <c r="T10" s="701" t="s">
        <v>14</v>
      </c>
      <c r="U10" s="702">
        <f t="shared" si="1"/>
        <v>133</v>
      </c>
      <c r="V10" s="701" t="s">
        <v>14</v>
      </c>
      <c r="W10" s="702">
        <f t="shared" si="2"/>
        <v>133</v>
      </c>
      <c r="X10" s="703"/>
      <c r="Y10" s="3633"/>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3"/>
      <c r="Q19" s="1352" t="str">
        <f t="shared" ref="Q19:Q33" si="8">B19</f>
        <v>区域土地利用方向</v>
      </c>
      <c r="R19" s="705" t="s">
        <v>14</v>
      </c>
      <c r="S19" s="706">
        <f>F19</f>
        <v>100</v>
      </c>
      <c r="T19" s="705" t="s">
        <v>14</v>
      </c>
      <c r="U19" s="706">
        <f>H19</f>
        <v>100</v>
      </c>
      <c r="V19" s="705" t="s">
        <v>14</v>
      </c>
      <c r="W19" s="706">
        <f>J19</f>
        <v>100</v>
      </c>
      <c r="X19" s="1355"/>
      <c r="Y19" s="374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3"/>
      <c r="Q20" s="1352"/>
      <c r="R20" s="705"/>
      <c r="S20" s="706"/>
      <c r="T20" s="705"/>
      <c r="U20" s="706"/>
      <c r="V20" s="705"/>
      <c r="W20" s="706"/>
      <c r="X20" s="1355"/>
      <c r="Y20" s="374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3"/>
      <c r="Q21" s="1352" t="str">
        <f t="shared" si="8"/>
        <v>环境状况</v>
      </c>
      <c r="R21" s="705" t="s">
        <v>14</v>
      </c>
      <c r="S21" s="706">
        <f>F21</f>
        <v>100</v>
      </c>
      <c r="T21" s="705" t="s">
        <v>14</v>
      </c>
      <c r="U21" s="706">
        <f>H21</f>
        <v>100</v>
      </c>
      <c r="V21" s="705" t="s">
        <v>14</v>
      </c>
      <c r="W21" s="706">
        <f>J21</f>
        <v>100</v>
      </c>
      <c r="X21" s="1355"/>
      <c r="Y21" s="374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3"/>
      <c r="Q23" s="1343" t="str">
        <f t="shared" si="8"/>
        <v>公共配套设施</v>
      </c>
      <c r="R23" s="701" t="s">
        <v>14</v>
      </c>
      <c r="S23" s="702">
        <f>F23</f>
        <v>100</v>
      </c>
      <c r="T23" s="701" t="s">
        <v>14</v>
      </c>
      <c r="U23" s="702">
        <f>H23</f>
        <v>100</v>
      </c>
      <c r="V23" s="701" t="s">
        <v>14</v>
      </c>
      <c r="W23" s="702">
        <f>J23</f>
        <v>100</v>
      </c>
      <c r="X23" s="703"/>
      <c r="Y23" s="374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3"/>
      <c r="Q24" s="1343"/>
      <c r="R24" s="701"/>
      <c r="S24" s="702"/>
      <c r="T24" s="701"/>
      <c r="U24" s="702"/>
      <c r="V24" s="701"/>
      <c r="W24" s="702"/>
      <c r="X24" s="703"/>
      <c r="Y24" s="374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3"/>
      <c r="Q25" s="1343"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3"/>
      <c r="Q26" s="1343"/>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3"/>
      <c r="Q28" s="1352" t="str">
        <f t="shared" si="8"/>
        <v>毗邻道路的类型与等级</v>
      </c>
      <c r="R28" s="705" t="s">
        <v>14</v>
      </c>
      <c r="S28" s="706">
        <f t="shared" si="10"/>
        <v>100</v>
      </c>
      <c r="T28" s="705" t="s">
        <v>14</v>
      </c>
      <c r="U28" s="706">
        <f t="shared" si="11"/>
        <v>100</v>
      </c>
      <c r="V28" s="705" t="s">
        <v>14</v>
      </c>
      <c r="W28" s="706">
        <f t="shared" si="12"/>
        <v>100</v>
      </c>
      <c r="X28" s="1355"/>
      <c r="Y28" s="374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3"/>
      <c r="Q29" s="1352"/>
      <c r="R29" s="705"/>
      <c r="S29" s="706"/>
      <c r="T29" s="705"/>
      <c r="U29" s="706"/>
      <c r="V29" s="705"/>
      <c r="W29" s="706"/>
      <c r="X29" s="1355"/>
      <c r="Y29" s="374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3"/>
      <c r="Q30" s="1352" t="str">
        <f t="shared" si="8"/>
        <v>土地级别</v>
      </c>
      <c r="R30" s="705" t="s">
        <v>14</v>
      </c>
      <c r="S30" s="706">
        <f t="shared" si="10"/>
        <v>100</v>
      </c>
      <c r="T30" s="705" t="s">
        <v>14</v>
      </c>
      <c r="U30" s="706">
        <f t="shared" si="11"/>
        <v>100</v>
      </c>
      <c r="V30" s="705" t="s">
        <v>14</v>
      </c>
      <c r="W30" s="706">
        <f t="shared" si="12"/>
        <v>100</v>
      </c>
      <c r="X30" s="1355"/>
      <c r="Y30" s="374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3"/>
      <c r="Q31" s="1352">
        <f t="shared" si="8"/>
        <v>111</v>
      </c>
      <c r="R31" s="705" t="s">
        <v>14</v>
      </c>
      <c r="S31" s="706">
        <f t="shared" si="10"/>
        <v>100</v>
      </c>
      <c r="T31" s="705" t="s">
        <v>14</v>
      </c>
      <c r="U31" s="706">
        <f t="shared" si="11"/>
        <v>100</v>
      </c>
      <c r="V31" s="705" t="s">
        <v>14</v>
      </c>
      <c r="W31" s="706">
        <f t="shared" si="12"/>
        <v>100</v>
      </c>
      <c r="X31" s="1355"/>
      <c r="Y31" s="374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6" t="s">
        <v>1696</v>
      </c>
      <c r="Q32" s="1352">
        <f t="shared" si="8"/>
        <v>111</v>
      </c>
      <c r="R32" s="705" t="s">
        <v>14</v>
      </c>
      <c r="S32" s="706">
        <f t="shared" si="10"/>
        <v>100</v>
      </c>
      <c r="T32" s="705" t="s">
        <v>14</v>
      </c>
      <c r="U32" s="706">
        <f t="shared" si="11"/>
        <v>100</v>
      </c>
      <c r="V32" s="705" t="s">
        <v>14</v>
      </c>
      <c r="W32" s="706">
        <f t="shared" si="12"/>
        <v>100</v>
      </c>
      <c r="X32" s="1355"/>
      <c r="Y32" s="374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7"/>
      <c r="Q33" s="1352">
        <f t="shared" si="8"/>
        <v>111</v>
      </c>
      <c r="R33" s="708" t="s">
        <v>14</v>
      </c>
      <c r="S33" s="709">
        <f t="shared" si="10"/>
        <v>100</v>
      </c>
      <c r="T33" s="708" t="s">
        <v>14</v>
      </c>
      <c r="U33" s="709">
        <f t="shared" si="11"/>
        <v>100</v>
      </c>
      <c r="V33" s="708" t="s">
        <v>14</v>
      </c>
      <c r="W33" s="709">
        <f t="shared" si="12"/>
        <v>100</v>
      </c>
      <c r="X33" s="710"/>
      <c r="Y33" s="374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7"/>
      <c r="Q34" s="1352" t="str">
        <f>B34</f>
        <v>宗地面积</v>
      </c>
      <c r="R34" s="705" t="s">
        <v>14</v>
      </c>
      <c r="S34" s="706" t="e">
        <f t="shared" si="10"/>
        <v>#N/A</v>
      </c>
      <c r="T34" s="705" t="s">
        <v>14</v>
      </c>
      <c r="U34" s="706" t="e">
        <f t="shared" si="11"/>
        <v>#N/A</v>
      </c>
      <c r="V34" s="705" t="s">
        <v>14</v>
      </c>
      <c r="W34" s="706" t="e">
        <f t="shared" si="12"/>
        <v>#N/A</v>
      </c>
      <c r="X34" s="1355"/>
      <c r="Y34" s="374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7"/>
      <c r="Q35" s="1352" t="str">
        <f t="shared" ref="Q35:Q40" si="14">B35</f>
        <v>宗地形状</v>
      </c>
      <c r="R35" s="705" t="s">
        <v>14</v>
      </c>
      <c r="S35" s="706">
        <f t="shared" si="10"/>
        <v>100</v>
      </c>
      <c r="T35" s="705" t="s">
        <v>14</v>
      </c>
      <c r="U35" s="706">
        <f t="shared" si="11"/>
        <v>100</v>
      </c>
      <c r="V35" s="705" t="s">
        <v>14</v>
      </c>
      <c r="W35" s="706">
        <f t="shared" si="12"/>
        <v>100</v>
      </c>
      <c r="X35" s="1355"/>
      <c r="Y35" s="374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7"/>
      <c r="Q36" s="1352"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7" t="s">
        <v>1696</v>
      </c>
      <c r="Q37" s="1352" t="str">
        <f t="shared" si="14"/>
        <v>工程地质条件</v>
      </c>
      <c r="R37" s="705" t="s">
        <v>14</v>
      </c>
      <c r="S37" s="706">
        <f t="shared" si="10"/>
        <v>100</v>
      </c>
      <c r="T37" s="705" t="s">
        <v>14</v>
      </c>
      <c r="U37" s="706">
        <f t="shared" si="11"/>
        <v>100</v>
      </c>
      <c r="V37" s="705" t="s">
        <v>14</v>
      </c>
      <c r="W37" s="706">
        <f t="shared" si="12"/>
        <v>100</v>
      </c>
      <c r="X37" s="1355"/>
      <c r="Y37" s="374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7"/>
      <c r="Q38" s="1352">
        <f t="shared" si="14"/>
        <v>111</v>
      </c>
      <c r="R38" s="705" t="s">
        <v>14</v>
      </c>
      <c r="S38" s="706">
        <f t="shared" si="10"/>
        <v>100</v>
      </c>
      <c r="T38" s="705" t="s">
        <v>14</v>
      </c>
      <c r="U38" s="706">
        <f t="shared" si="11"/>
        <v>100</v>
      </c>
      <c r="V38" s="705" t="s">
        <v>14</v>
      </c>
      <c r="W38" s="706">
        <f t="shared" si="12"/>
        <v>100</v>
      </c>
      <c r="X38" s="1355"/>
      <c r="Y38" s="374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7"/>
      <c r="Q39" s="1352">
        <f t="shared" si="14"/>
        <v>111</v>
      </c>
      <c r="R39" s="705" t="s">
        <v>14</v>
      </c>
      <c r="S39" s="706">
        <f t="shared" si="10"/>
        <v>100</v>
      </c>
      <c r="T39" s="705" t="s">
        <v>14</v>
      </c>
      <c r="U39" s="706">
        <f t="shared" si="11"/>
        <v>100</v>
      </c>
      <c r="V39" s="705" t="s">
        <v>14</v>
      </c>
      <c r="W39" s="706">
        <f t="shared" si="12"/>
        <v>100</v>
      </c>
      <c r="X39" s="1355"/>
      <c r="Y39" s="374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7"/>
      <c r="Q40" s="1352">
        <f t="shared" si="14"/>
        <v>111</v>
      </c>
      <c r="R40" s="708" t="s">
        <v>14</v>
      </c>
      <c r="S40" s="709">
        <f t="shared" si="10"/>
        <v>100</v>
      </c>
      <c r="T40" s="708" t="s">
        <v>14</v>
      </c>
      <c r="U40" s="709">
        <f t="shared" si="11"/>
        <v>100</v>
      </c>
      <c r="V40" s="708" t="s">
        <v>14</v>
      </c>
      <c r="W40" s="709">
        <f t="shared" si="12"/>
        <v>100</v>
      </c>
      <c r="X40" s="710"/>
      <c r="Y40" s="374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40" t="str">
        <f>A41</f>
        <v>成交单价</v>
      </c>
      <c r="Q41" s="3740"/>
      <c r="R41" s="3735">
        <f>E41</f>
        <v>0</v>
      </c>
      <c r="S41" s="3735"/>
      <c r="T41" s="3735">
        <f>G41</f>
        <v>0</v>
      </c>
      <c r="U41" s="3735"/>
      <c r="V41" s="3735">
        <f>I41</f>
        <v>0</v>
      </c>
      <c r="W41" s="373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0" t="str">
        <f>A42</f>
        <v>比较价值（元/平方米）</v>
      </c>
      <c r="Q42" s="3740"/>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7" t="str">
        <f>A43</f>
        <v>估价对象XX用房的比较价值（楼面单价，元/平方米）</v>
      </c>
      <c r="Q43" s="3738"/>
      <c r="R43" s="3769" t="e">
        <f>ROUND(IF(D42="简单平均",AVERAGE(R42:W42),R42*F42+T42*H42+V42*J42),0)</f>
        <v>#DIV/0!</v>
      </c>
      <c r="S43" s="3769"/>
      <c r="T43" s="3769"/>
      <c r="U43" s="3769"/>
      <c r="V43" s="3769"/>
      <c r="W43" s="376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3" t="s">
        <v>1887</v>
      </c>
      <c r="H50" s="377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2464.7399999999998</v>
      </c>
      <c r="F51" s="639" t="e">
        <f t="shared" ref="F51:F60" si="15">ROUND(B51*E51/10000,0)</f>
        <v>#DIV/0!</v>
      </c>
      <c r="G51" s="3722"/>
      <c r="H51" s="374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3333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8" t="s">
        <v>2084</v>
      </c>
      <c r="D1" s="3779"/>
      <c r="E1" s="3779"/>
      <c r="F1" s="3779"/>
      <c r="G1" s="3779"/>
      <c r="H1" s="3779"/>
      <c r="I1" s="3779"/>
      <c r="J1" s="3779"/>
      <c r="K1" s="3779"/>
      <c r="L1" s="3779"/>
      <c r="M1" s="3779"/>
      <c r="N1" s="3779"/>
      <c r="O1" s="3779"/>
      <c r="P1" s="3779"/>
      <c r="Q1" s="3779"/>
      <c r="R1" s="3779"/>
      <c r="S1" s="378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估价结果一览表（市场价值不需“结果表-1”）</v>
      </c>
      <c r="B3" s="3480"/>
      <c r="C3" s="3480"/>
      <c r="D3" s="3480"/>
      <c r="E3" s="3480"/>
    </row>
    <row r="4" spans="1:5" ht="18" thickBot="1">
      <c r="A4" s="1493"/>
      <c r="B4" s="3478" t="s">
        <v>917</v>
      </c>
      <c r="C4" s="3478"/>
      <c r="D4" s="3478"/>
      <c r="E4" s="1493"/>
    </row>
    <row r="5" spans="1:5" ht="16.2" thickTop="1">
      <c r="A5" s="1491"/>
      <c r="B5" s="3476" t="s">
        <v>909</v>
      </c>
      <c r="C5" s="1494" t="s">
        <v>910</v>
      </c>
      <c r="D5" s="850" t="e">
        <f ca="1">结果表!H101</f>
        <v>#REF!</v>
      </c>
      <c r="E5" s="1491"/>
    </row>
    <row r="6" spans="1:5" ht="15.6">
      <c r="A6" s="1491"/>
      <c r="B6" s="3476"/>
      <c r="C6" s="1494" t="s">
        <v>911</v>
      </c>
      <c r="D6" s="850" t="e">
        <f ca="1">NUMBERSTRING(INT(D5*10000),2)&amp;"元整"</f>
        <v>#REF!</v>
      </c>
      <c r="E6" s="1491"/>
    </row>
    <row r="7" spans="1:5" ht="15.6">
      <c r="A7" s="1491"/>
      <c r="B7" s="3481"/>
      <c r="C7" s="1495" t="s">
        <v>912</v>
      </c>
      <c r="D7" s="851" t="e">
        <f ca="1">结果表!H102</f>
        <v>#REF!</v>
      </c>
      <c r="E7" s="1491"/>
    </row>
    <row r="8" spans="1:5" ht="15.6">
      <c r="A8" s="1491"/>
      <c r="B8" s="3482" t="str">
        <f>结果表!E103</f>
        <v>2.估价师知悉的法定优先受偿款</v>
      </c>
      <c r="C8" s="1496" t="s">
        <v>913</v>
      </c>
      <c r="D8" s="851">
        <f>结果表!H103</f>
        <v>0</v>
      </c>
      <c r="E8" s="1491"/>
    </row>
    <row r="9" spans="1:5" ht="15.6">
      <c r="A9" s="1491"/>
      <c r="B9" s="348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5" t="str">
        <f>结果表!E107</f>
        <v>3.房地产抵押价值</v>
      </c>
      <c r="C13" s="1499" t="s">
        <v>910</v>
      </c>
      <c r="D13" s="853" t="e">
        <f ca="1">结果表!H107</f>
        <v>#REF!</v>
      </c>
      <c r="E13" s="1491"/>
    </row>
    <row r="14" spans="1:5" ht="15.6">
      <c r="A14" s="1491"/>
      <c r="B14" s="3476"/>
      <c r="C14" s="1494" t="s">
        <v>911</v>
      </c>
      <c r="D14" s="850" t="e">
        <f ca="1">NUMBERSTRING(INT(D13*10000),2)&amp;"元整"</f>
        <v>#REF!</v>
      </c>
      <c r="E14" s="1491"/>
    </row>
    <row r="15" spans="1:5" ht="15.6">
      <c r="A15" s="1491"/>
      <c r="B15" s="3481"/>
      <c r="C15" s="1495" t="s">
        <v>921</v>
      </c>
      <c r="D15" s="859" t="e">
        <f ca="1">结果表!H108</f>
        <v>#REF!</v>
      </c>
      <c r="E15" s="1491"/>
    </row>
    <row r="16" spans="1:5" ht="15.6">
      <c r="A16" s="1491"/>
      <c r="B16" s="3482" t="str">
        <f>结果表!E109</f>
        <v>——</v>
      </c>
      <c r="C16" s="1499" t="s">
        <v>922</v>
      </c>
      <c r="D16" s="1500" t="str">
        <f>结果表!H109</f>
        <v>——</v>
      </c>
      <c r="E16" s="1491"/>
    </row>
    <row r="17" spans="1:5" ht="15.6">
      <c r="A17" s="1491"/>
      <c r="B17" s="3483"/>
      <c r="C17" s="1494" t="s">
        <v>923</v>
      </c>
      <c r="D17" s="850" t="e">
        <f>NUMBERSTRING(INT(D16*10000),2)&amp;"元整"</f>
        <v>#VALUE!</v>
      </c>
      <c r="E17" s="1491"/>
    </row>
    <row r="18" spans="1:5" ht="15.6">
      <c r="A18" s="1491"/>
      <c r="B18" s="3484"/>
      <c r="C18" s="1495" t="s">
        <v>912</v>
      </c>
      <c r="D18" s="859" t="str">
        <f>结果表!H110</f>
        <v>——</v>
      </c>
      <c r="E18" s="1491"/>
    </row>
    <row r="19" spans="1:5" ht="15.6">
      <c r="A19" s="1491"/>
      <c r="B19" s="3475" t="str">
        <f>结果表!E111</f>
        <v>——</v>
      </c>
      <c r="C19" s="1499" t="s">
        <v>910</v>
      </c>
      <c r="D19" s="851" t="str">
        <f>结果表!H111</f>
        <v>——</v>
      </c>
      <c r="E19" s="1491"/>
    </row>
    <row r="20" spans="1:5" ht="15.6">
      <c r="A20" s="1491"/>
      <c r="B20" s="3476"/>
      <c r="C20" s="1494" t="s">
        <v>923</v>
      </c>
      <c r="D20" s="850" t="e">
        <f>NUMBERSTRING(INT(D19*10000),2)&amp;"元整"</f>
        <v>#VALUE!</v>
      </c>
      <c r="E20" s="1491"/>
    </row>
    <row r="21" spans="1:5" ht="16.2" thickBot="1">
      <c r="A21" s="1491"/>
      <c r="B21" s="347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88" t="s">
        <v>2606</v>
      </c>
      <c r="B20" s="3781" t="s">
        <v>2627</v>
      </c>
      <c r="C20" s="3103" t="s">
        <v>2438</v>
      </c>
      <c r="D20" s="3104"/>
      <c r="E20" s="3105">
        <v>1</v>
      </c>
      <c r="F20" s="3106" t="s">
        <v>2439</v>
      </c>
      <c r="G20" s="3106"/>
    </row>
    <row r="21" spans="1:13" ht="19.5" customHeight="1">
      <c r="A21" s="3789"/>
      <c r="B21" s="3782"/>
      <c r="C21" s="3107" t="s">
        <v>2440</v>
      </c>
      <c r="D21" s="3108"/>
      <c r="E21" s="3109">
        <v>1</v>
      </c>
      <c r="F21" s="3106" t="s">
        <v>2441</v>
      </c>
      <c r="G21" s="3106"/>
    </row>
    <row r="22" spans="1:13" ht="19.5" customHeight="1">
      <c r="A22" s="3789"/>
      <c r="B22" s="3782"/>
      <c r="C22" s="3107" t="s">
        <v>2442</v>
      </c>
      <c r="D22" s="3108"/>
      <c r="E22" s="3109">
        <v>0.9</v>
      </c>
      <c r="F22" s="3106" t="s">
        <v>2443</v>
      </c>
      <c r="G22" s="3106"/>
    </row>
    <row r="23" spans="1:13" ht="19.5" customHeight="1">
      <c r="A23" s="3789"/>
      <c r="B23" s="3782"/>
      <c r="C23" s="3107" t="s">
        <v>2444</v>
      </c>
      <c r="D23" s="3108"/>
      <c r="E23" s="3109">
        <v>0.9</v>
      </c>
      <c r="F23" s="3106" t="s">
        <v>2445</v>
      </c>
      <c r="G23" s="3106"/>
    </row>
    <row r="24" spans="1:13" ht="19.5" customHeight="1">
      <c r="A24" s="3789"/>
      <c r="B24" s="3782"/>
      <c r="C24" s="3107" t="s">
        <v>2446</v>
      </c>
      <c r="D24" s="3108"/>
      <c r="E24" s="3109">
        <v>0.8</v>
      </c>
      <c r="F24" s="3106" t="s">
        <v>2447</v>
      </c>
      <c r="G24" s="3106"/>
    </row>
    <row r="25" spans="1:13" ht="19.5" customHeight="1" thickBot="1">
      <c r="A25" s="3790"/>
      <c r="B25" s="3783"/>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84" t="s">
        <v>2630</v>
      </c>
      <c r="B27" s="3781" t="s">
        <v>2611</v>
      </c>
      <c r="C27" s="3103" t="s">
        <v>2451</v>
      </c>
      <c r="D27" s="3104"/>
      <c r="E27" s="3105">
        <v>1</v>
      </c>
      <c r="F27" s="3106" t="s">
        <v>2452</v>
      </c>
      <c r="G27" s="3106"/>
    </row>
    <row r="28" spans="1:13" ht="19.5" customHeight="1">
      <c r="A28" s="3785"/>
      <c r="B28" s="3782"/>
      <c r="C28" s="3107" t="s">
        <v>2453</v>
      </c>
      <c r="D28" s="3108"/>
      <c r="E28" s="3109">
        <v>1</v>
      </c>
      <c r="F28" s="3106" t="s">
        <v>2454</v>
      </c>
      <c r="G28" s="3106"/>
    </row>
    <row r="29" spans="1:13" ht="19.5" customHeight="1">
      <c r="A29" s="3785"/>
      <c r="B29" s="3782"/>
      <c r="C29" s="3107" t="s">
        <v>2455</v>
      </c>
      <c r="D29" s="3108"/>
      <c r="E29" s="3109">
        <v>0.8</v>
      </c>
      <c r="F29" s="3106" t="s">
        <v>2456</v>
      </c>
      <c r="G29" s="3106"/>
    </row>
    <row r="30" spans="1:13" ht="19.5" customHeight="1">
      <c r="A30" s="3785"/>
      <c r="B30" s="3782"/>
      <c r="C30" s="3107" t="s">
        <v>2457</v>
      </c>
      <c r="D30" s="3108"/>
      <c r="E30" s="3109">
        <v>0.8</v>
      </c>
      <c r="F30" s="3106" t="s">
        <v>2458</v>
      </c>
      <c r="G30" s="3106"/>
    </row>
    <row r="31" spans="1:13" ht="19.5" customHeight="1">
      <c r="A31" s="3785"/>
      <c r="B31" s="3782"/>
      <c r="C31" s="3107" t="s">
        <v>2459</v>
      </c>
      <c r="D31" s="3108"/>
      <c r="E31" s="3109">
        <v>0.8</v>
      </c>
      <c r="F31" s="3106" t="s">
        <v>2460</v>
      </c>
      <c r="G31" s="3106"/>
    </row>
    <row r="32" spans="1:13" ht="19.5" customHeight="1">
      <c r="A32" s="3785"/>
      <c r="B32" s="3782"/>
      <c r="C32" s="3107" t="s">
        <v>2461</v>
      </c>
      <c r="D32" s="3108"/>
      <c r="E32" s="3109">
        <v>0.7</v>
      </c>
      <c r="F32" s="3106" t="s">
        <v>2462</v>
      </c>
      <c r="G32" s="3106"/>
    </row>
    <row r="33" spans="1:7" ht="19.5" customHeight="1">
      <c r="A33" s="3785"/>
      <c r="B33" s="3782"/>
      <c r="C33" s="3107" t="s">
        <v>2463</v>
      </c>
      <c r="D33" s="3108"/>
      <c r="E33" s="3109">
        <v>0.8</v>
      </c>
      <c r="F33" s="3106" t="s">
        <v>2464</v>
      </c>
      <c r="G33" s="3106"/>
    </row>
    <row r="34" spans="1:7" ht="19.5" customHeight="1">
      <c r="A34" s="3785"/>
      <c r="B34" s="3782"/>
      <c r="C34" s="3107" t="s">
        <v>2465</v>
      </c>
      <c r="D34" s="3108"/>
      <c r="E34" s="3109">
        <v>0.6</v>
      </c>
      <c r="F34" s="3106" t="s">
        <v>2466</v>
      </c>
      <c r="G34" s="3106"/>
    </row>
    <row r="35" spans="1:7" ht="19.5" customHeight="1">
      <c r="A35" s="3785"/>
      <c r="B35" s="3782"/>
      <c r="C35" s="3107" t="s">
        <v>2467</v>
      </c>
      <c r="D35" s="3108"/>
      <c r="E35" s="3109">
        <v>0.2</v>
      </c>
      <c r="F35" s="3106" t="s">
        <v>2468</v>
      </c>
      <c r="G35" s="3106"/>
    </row>
    <row r="36" spans="1:7" ht="19.5" customHeight="1">
      <c r="A36" s="3785"/>
      <c r="B36" s="3782"/>
      <c r="C36" s="3107" t="s">
        <v>2469</v>
      </c>
      <c r="D36" s="3108"/>
      <c r="E36" s="3109">
        <v>0.2</v>
      </c>
      <c r="F36" s="3106" t="s">
        <v>2470</v>
      </c>
      <c r="G36" s="3106"/>
    </row>
    <row r="37" spans="1:7" ht="19.5" customHeight="1">
      <c r="A37" s="3785"/>
      <c r="B37" s="3787" t="s">
        <v>2631</v>
      </c>
      <c r="C37" s="3107" t="s">
        <v>2471</v>
      </c>
      <c r="D37" s="3108"/>
      <c r="E37" s="3109">
        <v>0.6</v>
      </c>
      <c r="F37" s="3106" t="s">
        <v>2472</v>
      </c>
      <c r="G37" s="3106"/>
    </row>
    <row r="38" spans="1:7" ht="19.5" customHeight="1">
      <c r="A38" s="3785"/>
      <c r="B38" s="3782"/>
      <c r="C38" s="3107" t="s">
        <v>2473</v>
      </c>
      <c r="D38" s="3108"/>
      <c r="E38" s="3109">
        <v>0.6</v>
      </c>
      <c r="F38" s="3106" t="s">
        <v>2474</v>
      </c>
      <c r="G38" s="3106"/>
    </row>
    <row r="39" spans="1:7" ht="19.5" customHeight="1" thickBot="1">
      <c r="A39" s="3786"/>
      <c r="B39" s="3783"/>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88" t="s">
        <v>2609</v>
      </c>
      <c r="B41" s="3781" t="s">
        <v>2633</v>
      </c>
      <c r="C41" s="3103" t="s">
        <v>2478</v>
      </c>
      <c r="D41" s="3104"/>
      <c r="E41" s="3105">
        <v>1</v>
      </c>
      <c r="F41" s="3106" t="s">
        <v>2479</v>
      </c>
      <c r="G41" s="3106"/>
    </row>
    <row r="42" spans="1:7" ht="19.5" customHeight="1">
      <c r="A42" s="3789"/>
      <c r="B42" s="3782"/>
      <c r="C42" s="3107" t="s">
        <v>2480</v>
      </c>
      <c r="D42" s="3108"/>
      <c r="E42" s="3109">
        <v>1</v>
      </c>
      <c r="F42" s="3106" t="s">
        <v>2481</v>
      </c>
      <c r="G42" s="3106"/>
    </row>
    <row r="43" spans="1:7" ht="19.5" customHeight="1">
      <c r="A43" s="3789"/>
      <c r="B43" s="3791"/>
      <c r="C43" s="3107" t="s">
        <v>2482</v>
      </c>
      <c r="D43" s="3108"/>
      <c r="E43" s="3109">
        <v>1.5</v>
      </c>
      <c r="F43" s="3106" t="s">
        <v>2483</v>
      </c>
      <c r="G43" s="3106"/>
    </row>
    <row r="44" spans="1:7" ht="19.5" customHeight="1">
      <c r="A44" s="3789"/>
      <c r="B44" s="3118" t="s">
        <v>2634</v>
      </c>
      <c r="C44" s="3107" t="s">
        <v>2635</v>
      </c>
      <c r="D44" s="3108"/>
      <c r="E44" s="3109">
        <v>2</v>
      </c>
      <c r="F44" s="3106" t="s">
        <v>2484</v>
      </c>
      <c r="G44" s="3106"/>
    </row>
    <row r="45" spans="1:7" ht="19.5" customHeight="1">
      <c r="A45" s="3789"/>
      <c r="B45" s="3787" t="s">
        <v>2636</v>
      </c>
      <c r="C45" s="3107" t="s">
        <v>2485</v>
      </c>
      <c r="D45" s="3108"/>
      <c r="E45" s="3109">
        <v>1</v>
      </c>
      <c r="F45" s="3106" t="s">
        <v>2486</v>
      </c>
      <c r="G45" s="3106"/>
    </row>
    <row r="46" spans="1:7" ht="19.5" customHeight="1">
      <c r="A46" s="3789"/>
      <c r="B46" s="3782"/>
      <c r="C46" s="3107" t="s">
        <v>2487</v>
      </c>
      <c r="D46" s="3108"/>
      <c r="E46" s="3109">
        <v>1</v>
      </c>
      <c r="F46" s="3106" t="s">
        <v>2488</v>
      </c>
      <c r="G46" s="3106"/>
    </row>
    <row r="47" spans="1:7" ht="19.5" customHeight="1">
      <c r="A47" s="3789"/>
      <c r="B47" s="3782"/>
      <c r="C47" s="3107" t="s">
        <v>2489</v>
      </c>
      <c r="D47" s="3108"/>
      <c r="E47" s="3109">
        <v>1</v>
      </c>
      <c r="F47" s="3106" t="s">
        <v>2490</v>
      </c>
      <c r="G47" s="3106"/>
    </row>
    <row r="48" spans="1:7" ht="19.5" customHeight="1">
      <c r="A48" s="3789"/>
      <c r="B48" s="3782"/>
      <c r="C48" s="3107" t="s">
        <v>2491</v>
      </c>
      <c r="D48" s="3108"/>
      <c r="E48" s="3109">
        <v>1</v>
      </c>
      <c r="F48" s="3106" t="s">
        <v>2492</v>
      </c>
      <c r="G48" s="3106"/>
    </row>
    <row r="49" spans="1:7" ht="19.5" customHeight="1">
      <c r="A49" s="3789"/>
      <c r="B49" s="3782"/>
      <c r="C49" s="3107" t="s">
        <v>2493</v>
      </c>
      <c r="D49" s="3108"/>
      <c r="E49" s="3109">
        <v>1</v>
      </c>
      <c r="F49" s="3106" t="s">
        <v>2494</v>
      </c>
      <c r="G49" s="3106"/>
    </row>
    <row r="50" spans="1:7" ht="19.5" customHeight="1">
      <c r="A50" s="3789"/>
      <c r="B50" s="3782"/>
      <c r="C50" s="3107" t="s">
        <v>2495</v>
      </c>
      <c r="D50" s="3108"/>
      <c r="E50" s="3109">
        <v>1</v>
      </c>
      <c r="F50" s="3106" t="s">
        <v>2496</v>
      </c>
      <c r="G50" s="3106"/>
    </row>
    <row r="51" spans="1:7" ht="19.5" customHeight="1" thickBot="1">
      <c r="A51" s="3790"/>
      <c r="B51" s="3783"/>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4.4">
      <c r="A72" s="3118"/>
      <c r="B72" s="3118"/>
      <c r="C72" s="3118" t="s">
        <v>2649</v>
      </c>
      <c r="D72" s="3118"/>
      <c r="E72" s="3118" t="s">
        <v>2620</v>
      </c>
      <c r="F72" s="3118" t="s">
        <v>2620</v>
      </c>
    </row>
    <row r="73" spans="1:7" ht="14.4">
      <c r="A73" s="3118">
        <v>1</v>
      </c>
      <c r="B73" s="3787" t="s">
        <v>2650</v>
      </c>
      <c r="C73" s="3092" t="s">
        <v>2651</v>
      </c>
      <c r="D73" s="3092" t="s">
        <v>2652</v>
      </c>
      <c r="E73" s="3118">
        <v>0.2</v>
      </c>
      <c r="F73" s="3118">
        <v>25</v>
      </c>
    </row>
    <row r="74" spans="1:7" ht="24">
      <c r="A74" s="3118">
        <v>2</v>
      </c>
      <c r="B74" s="3782"/>
      <c r="C74" s="3092" t="s">
        <v>2653</v>
      </c>
      <c r="D74" s="3092" t="s">
        <v>2654</v>
      </c>
      <c r="E74" s="3118">
        <v>0.2</v>
      </c>
      <c r="F74" s="3118">
        <v>25</v>
      </c>
    </row>
    <row r="75" spans="1:7" ht="24">
      <c r="A75" s="3118">
        <v>3</v>
      </c>
      <c r="B75" s="3782"/>
      <c r="C75" s="3092" t="s">
        <v>2655</v>
      </c>
      <c r="D75" s="3092" t="s">
        <v>2656</v>
      </c>
      <c r="E75" s="3118">
        <v>0.2</v>
      </c>
      <c r="F75" s="3118">
        <v>25</v>
      </c>
    </row>
    <row r="76" spans="1:7" ht="14.4">
      <c r="A76" s="3118">
        <v>4</v>
      </c>
      <c r="B76" s="3782"/>
      <c r="C76" s="3092" t="s">
        <v>2657</v>
      </c>
      <c r="D76" s="3092" t="s">
        <v>2658</v>
      </c>
      <c r="E76" s="3118">
        <v>0.15</v>
      </c>
      <c r="F76" s="3118">
        <v>20</v>
      </c>
    </row>
    <row r="77" spans="1:7" ht="24">
      <c r="A77" s="3118">
        <v>5</v>
      </c>
      <c r="B77" s="3782"/>
      <c r="C77" s="3092" t="s">
        <v>2659</v>
      </c>
      <c r="D77" s="3092" t="s">
        <v>2660</v>
      </c>
      <c r="E77" s="3118">
        <v>0.15</v>
      </c>
      <c r="F77" s="3118">
        <v>20</v>
      </c>
    </row>
    <row r="78" spans="1:7" ht="24">
      <c r="A78" s="3118">
        <v>6</v>
      </c>
      <c r="B78" s="3782"/>
      <c r="C78" s="3092" t="s">
        <v>2661</v>
      </c>
      <c r="D78" s="3092" t="s">
        <v>2662</v>
      </c>
      <c r="E78" s="3118">
        <v>0.15</v>
      </c>
      <c r="F78" s="3118">
        <v>20</v>
      </c>
    </row>
    <row r="79" spans="1:7" ht="24">
      <c r="A79" s="3118">
        <v>7</v>
      </c>
      <c r="B79" s="3782"/>
      <c r="C79" s="3092" t="s">
        <v>2663</v>
      </c>
      <c r="D79" s="3092" t="s">
        <v>2664</v>
      </c>
      <c r="E79" s="3118">
        <v>0.15</v>
      </c>
      <c r="F79" s="3118">
        <v>20</v>
      </c>
    </row>
    <row r="80" spans="1:7" ht="24">
      <c r="A80" s="3118">
        <v>8</v>
      </c>
      <c r="B80" s="3782"/>
      <c r="C80" s="3092" t="s">
        <v>2665</v>
      </c>
      <c r="D80" s="3092" t="s">
        <v>2666</v>
      </c>
      <c r="E80" s="3118">
        <v>0.1</v>
      </c>
      <c r="F80" s="3118">
        <v>15</v>
      </c>
    </row>
    <row r="81" spans="1:6" ht="24">
      <c r="A81" s="3118">
        <v>9</v>
      </c>
      <c r="B81" s="3782"/>
      <c r="C81" s="3092" t="s">
        <v>2667</v>
      </c>
      <c r="D81" s="3092" t="s">
        <v>2668</v>
      </c>
      <c r="E81" s="3118">
        <v>0.1</v>
      </c>
      <c r="F81" s="3118">
        <v>15</v>
      </c>
    </row>
    <row r="82" spans="1:6" ht="24">
      <c r="A82" s="3118">
        <v>10</v>
      </c>
      <c r="B82" s="3782"/>
      <c r="C82" s="3092" t="s">
        <v>2669</v>
      </c>
      <c r="D82" s="3092" t="s">
        <v>2670</v>
      </c>
      <c r="E82" s="3118">
        <v>0.1</v>
      </c>
      <c r="F82" s="3118">
        <v>15</v>
      </c>
    </row>
    <row r="83" spans="1:6" ht="24">
      <c r="A83" s="3118">
        <v>11</v>
      </c>
      <c r="B83" s="3782"/>
      <c r="C83" s="3092" t="s">
        <v>2671</v>
      </c>
      <c r="D83" s="3092" t="s">
        <v>2672</v>
      </c>
      <c r="E83" s="3118">
        <v>0.1</v>
      </c>
      <c r="F83" s="3118">
        <v>15</v>
      </c>
    </row>
    <row r="84" spans="1:6" ht="24">
      <c r="A84" s="3118">
        <v>12</v>
      </c>
      <c r="B84" s="3782"/>
      <c r="C84" s="3092" t="s">
        <v>2673</v>
      </c>
      <c r="D84" s="3092" t="s">
        <v>2674</v>
      </c>
      <c r="E84" s="3118">
        <v>0.1</v>
      </c>
      <c r="F84" s="3118">
        <v>15</v>
      </c>
    </row>
    <row r="85" spans="1:6" ht="24">
      <c r="A85" s="3118">
        <v>13</v>
      </c>
      <c r="B85" s="3782"/>
      <c r="C85" s="3092" t="s">
        <v>2675</v>
      </c>
      <c r="D85" s="3092" t="s">
        <v>2676</v>
      </c>
      <c r="E85" s="3118">
        <v>0.1</v>
      </c>
      <c r="F85" s="3118">
        <v>15</v>
      </c>
    </row>
    <row r="86" spans="1:6" ht="24">
      <c r="A86" s="3118">
        <v>14</v>
      </c>
      <c r="B86" s="3782"/>
      <c r="C86" s="3092" t="s">
        <v>2677</v>
      </c>
      <c r="D86" s="3092" t="s">
        <v>2678</v>
      </c>
      <c r="E86" s="3118">
        <v>0.1</v>
      </c>
      <c r="F86" s="3118">
        <v>15</v>
      </c>
    </row>
    <row r="87" spans="1:6" ht="24">
      <c r="A87" s="3118">
        <v>15</v>
      </c>
      <c r="B87" s="3782"/>
      <c r="C87" s="3092" t="s">
        <v>2679</v>
      </c>
      <c r="D87" s="3092" t="s">
        <v>2680</v>
      </c>
      <c r="E87" s="3118">
        <v>0.1</v>
      </c>
      <c r="F87" s="3118">
        <v>15</v>
      </c>
    </row>
    <row r="88" spans="1:6" ht="24">
      <c r="A88" s="3118">
        <v>16</v>
      </c>
      <c r="B88" s="3782"/>
      <c r="C88" s="3092" t="s">
        <v>2681</v>
      </c>
      <c r="D88" s="3092" t="s">
        <v>2682</v>
      </c>
      <c r="E88" s="3118">
        <v>0.1</v>
      </c>
      <c r="F88" s="3118">
        <v>15</v>
      </c>
    </row>
    <row r="89" spans="1:6" ht="24">
      <c r="A89" s="3118">
        <v>17</v>
      </c>
      <c r="B89" s="3791"/>
      <c r="C89" s="3092" t="s">
        <v>2683</v>
      </c>
      <c r="D89" s="3092" t="s">
        <v>2684</v>
      </c>
      <c r="E89" s="3118">
        <v>0.1</v>
      </c>
      <c r="F89" s="3118">
        <v>15</v>
      </c>
    </row>
    <row r="90" spans="1:6" ht="14.4">
      <c r="A90" s="3118">
        <v>18</v>
      </c>
      <c r="B90" s="3787" t="s">
        <v>2685</v>
      </c>
      <c r="C90" s="3092" t="s">
        <v>2686</v>
      </c>
      <c r="D90" s="3092" t="s">
        <v>2687</v>
      </c>
      <c r="E90" s="3118">
        <v>0.2</v>
      </c>
      <c r="F90" s="3118">
        <v>25</v>
      </c>
    </row>
    <row r="91" spans="1:6" ht="24">
      <c r="A91" s="3118">
        <v>19</v>
      </c>
      <c r="B91" s="3782"/>
      <c r="C91" s="3092" t="s">
        <v>2688</v>
      </c>
      <c r="D91" s="3092" t="s">
        <v>2689</v>
      </c>
      <c r="E91" s="3118">
        <v>0.2</v>
      </c>
      <c r="F91" s="3118">
        <v>25</v>
      </c>
    </row>
    <row r="92" spans="1:6" ht="14.4">
      <c r="A92" s="3118">
        <v>20</v>
      </c>
      <c r="B92" s="3782"/>
      <c r="C92" s="3092" t="s">
        <v>2690</v>
      </c>
      <c r="D92" s="3092" t="s">
        <v>2691</v>
      </c>
      <c r="E92" s="3118">
        <v>0.15</v>
      </c>
      <c r="F92" s="3118">
        <v>20</v>
      </c>
    </row>
    <row r="93" spans="1:6" ht="24">
      <c r="A93" s="3118">
        <v>21</v>
      </c>
      <c r="B93" s="3782"/>
      <c r="C93" s="3092" t="s">
        <v>2692</v>
      </c>
      <c r="D93" s="3092" t="s">
        <v>2693</v>
      </c>
      <c r="E93" s="3118">
        <v>0.15</v>
      </c>
      <c r="F93" s="3118">
        <v>20</v>
      </c>
    </row>
    <row r="94" spans="1:6" ht="24">
      <c r="A94" s="3118">
        <v>22</v>
      </c>
      <c r="B94" s="3782"/>
      <c r="C94" s="3092" t="s">
        <v>2694</v>
      </c>
      <c r="D94" s="3092" t="s">
        <v>2695</v>
      </c>
      <c r="E94" s="3118">
        <v>0.15</v>
      </c>
      <c r="F94" s="3118">
        <v>20</v>
      </c>
    </row>
    <row r="95" spans="1:6" ht="36">
      <c r="A95" s="3118">
        <v>23</v>
      </c>
      <c r="B95" s="3782"/>
      <c r="C95" s="3092" t="s">
        <v>2696</v>
      </c>
      <c r="D95" s="3092" t="s">
        <v>2697</v>
      </c>
      <c r="E95" s="3118">
        <v>0.15</v>
      </c>
      <c r="F95" s="3118">
        <v>20</v>
      </c>
    </row>
    <row r="96" spans="1:6" ht="24">
      <c r="A96" s="3118">
        <v>24</v>
      </c>
      <c r="B96" s="3782"/>
      <c r="C96" s="3092" t="s">
        <v>2698</v>
      </c>
      <c r="D96" s="3092" t="s">
        <v>2699</v>
      </c>
      <c r="E96" s="3118">
        <v>0.1</v>
      </c>
      <c r="F96" s="3118">
        <v>15</v>
      </c>
    </row>
    <row r="97" spans="1:6" ht="24">
      <c r="A97" s="3118">
        <v>25</v>
      </c>
      <c r="B97" s="3782"/>
      <c r="C97" s="3092" t="s">
        <v>2700</v>
      </c>
      <c r="D97" s="3092" t="s">
        <v>2701</v>
      </c>
      <c r="E97" s="3118">
        <v>0.1</v>
      </c>
      <c r="F97" s="3118">
        <v>15</v>
      </c>
    </row>
    <row r="98" spans="1:6" ht="24">
      <c r="A98" s="3118">
        <v>26</v>
      </c>
      <c r="B98" s="3782"/>
      <c r="C98" s="3092" t="s">
        <v>2702</v>
      </c>
      <c r="D98" s="3092" t="s">
        <v>2703</v>
      </c>
      <c r="E98" s="3118">
        <v>0.1</v>
      </c>
      <c r="F98" s="3118">
        <v>15</v>
      </c>
    </row>
    <row r="99" spans="1:6" ht="24">
      <c r="A99" s="3118">
        <v>27</v>
      </c>
      <c r="B99" s="3782"/>
      <c r="C99" s="3092" t="s">
        <v>2704</v>
      </c>
      <c r="D99" s="3092" t="s">
        <v>2705</v>
      </c>
      <c r="E99" s="3118">
        <v>0.1</v>
      </c>
      <c r="F99" s="3118">
        <v>15</v>
      </c>
    </row>
    <row r="100" spans="1:6" ht="24">
      <c r="A100" s="3118">
        <v>28</v>
      </c>
      <c r="B100" s="3782"/>
      <c r="C100" s="3092" t="s">
        <v>2706</v>
      </c>
      <c r="D100" s="3092" t="s">
        <v>2707</v>
      </c>
      <c r="E100" s="3118">
        <v>0.1</v>
      </c>
      <c r="F100" s="3118">
        <v>15</v>
      </c>
    </row>
    <row r="101" spans="1:6" ht="24">
      <c r="A101" s="3118">
        <v>29</v>
      </c>
      <c r="B101" s="3782"/>
      <c r="C101" s="3092" t="s">
        <v>2708</v>
      </c>
      <c r="D101" s="3092" t="s">
        <v>2709</v>
      </c>
      <c r="E101" s="3118">
        <v>0.1</v>
      </c>
      <c r="F101" s="3118">
        <v>15</v>
      </c>
    </row>
    <row r="102" spans="1:6" ht="24">
      <c r="A102" s="3118">
        <v>30</v>
      </c>
      <c r="B102" s="3782"/>
      <c r="C102" s="3092" t="s">
        <v>2710</v>
      </c>
      <c r="D102" s="3092" t="s">
        <v>2711</v>
      </c>
      <c r="E102" s="3118">
        <v>0.1</v>
      </c>
      <c r="F102" s="3118">
        <v>15</v>
      </c>
    </row>
    <row r="103" spans="1:6" ht="24">
      <c r="A103" s="3118">
        <v>31</v>
      </c>
      <c r="B103" s="3782"/>
      <c r="C103" s="3092" t="s">
        <v>2712</v>
      </c>
      <c r="D103" s="3092" t="s">
        <v>2713</v>
      </c>
      <c r="E103" s="3118">
        <v>0.1</v>
      </c>
      <c r="F103" s="3118">
        <v>15</v>
      </c>
    </row>
    <row r="104" spans="1:6" ht="24">
      <c r="A104" s="3118">
        <v>32</v>
      </c>
      <c r="B104" s="3782"/>
      <c r="C104" s="3092" t="s">
        <v>2714</v>
      </c>
      <c r="D104" s="3092" t="s">
        <v>2715</v>
      </c>
      <c r="E104" s="3118">
        <v>0.1</v>
      </c>
      <c r="F104" s="3118">
        <v>15</v>
      </c>
    </row>
    <row r="105" spans="1:6" ht="24">
      <c r="A105" s="3118">
        <v>33</v>
      </c>
      <c r="B105" s="3782"/>
      <c r="C105" s="3092" t="s">
        <v>2716</v>
      </c>
      <c r="D105" s="3092" t="s">
        <v>2717</v>
      </c>
      <c r="E105" s="3118">
        <v>0.1</v>
      </c>
      <c r="F105" s="3118">
        <v>15</v>
      </c>
    </row>
    <row r="106" spans="1:6" ht="24">
      <c r="A106" s="3118">
        <v>34</v>
      </c>
      <c r="B106" s="3791"/>
      <c r="C106" s="3092" t="s">
        <v>2718</v>
      </c>
      <c r="D106" s="3092" t="s">
        <v>2719</v>
      </c>
      <c r="E106" s="3118">
        <v>0.1</v>
      </c>
      <c r="F106" s="3118">
        <v>15</v>
      </c>
    </row>
    <row r="107" spans="1:6" ht="36">
      <c r="A107" s="3118">
        <v>35</v>
      </c>
      <c r="B107" s="3787" t="s">
        <v>2720</v>
      </c>
      <c r="C107" s="3118" t="s">
        <v>2721</v>
      </c>
      <c r="D107" s="3092" t="s">
        <v>2722</v>
      </c>
      <c r="E107" s="3118">
        <v>0.15</v>
      </c>
      <c r="F107" s="3118">
        <v>20</v>
      </c>
    </row>
    <row r="108" spans="1:6" ht="24">
      <c r="A108" s="3118">
        <v>36</v>
      </c>
      <c r="B108" s="3782"/>
      <c r="C108" s="3118" t="s">
        <v>2723</v>
      </c>
      <c r="D108" s="3092" t="s">
        <v>2724</v>
      </c>
      <c r="E108" s="3118">
        <v>0.15</v>
      </c>
      <c r="F108" s="3118">
        <v>20</v>
      </c>
    </row>
    <row r="109" spans="1:6" ht="24">
      <c r="A109" s="3118">
        <v>37</v>
      </c>
      <c r="B109" s="3782"/>
      <c r="C109" s="3118" t="s">
        <v>2725</v>
      </c>
      <c r="D109" s="3092" t="s">
        <v>2726</v>
      </c>
      <c r="E109" s="3118">
        <v>0.15</v>
      </c>
      <c r="F109" s="3118">
        <v>20</v>
      </c>
    </row>
    <row r="110" spans="1:6" ht="24">
      <c r="A110" s="3118">
        <v>38</v>
      </c>
      <c r="B110" s="3782"/>
      <c r="C110" s="3118" t="s">
        <v>2727</v>
      </c>
      <c r="D110" s="3092" t="s">
        <v>2728</v>
      </c>
      <c r="E110" s="3118">
        <v>0.1</v>
      </c>
      <c r="F110" s="3118">
        <v>15</v>
      </c>
    </row>
    <row r="111" spans="1:6" ht="24">
      <c r="A111" s="3118">
        <v>39</v>
      </c>
      <c r="B111" s="3782"/>
      <c r="C111" s="3118" t="s">
        <v>2729</v>
      </c>
      <c r="D111" s="3092" t="s">
        <v>2730</v>
      </c>
      <c r="E111" s="3118">
        <v>0.1</v>
      </c>
      <c r="F111" s="3118">
        <v>15</v>
      </c>
    </row>
    <row r="112" spans="1:6" ht="24">
      <c r="A112" s="3118">
        <v>40</v>
      </c>
      <c r="B112" s="3791"/>
      <c r="C112" s="3118" t="s">
        <v>2731</v>
      </c>
      <c r="D112" s="3092" t="s">
        <v>2732</v>
      </c>
      <c r="E112" s="3118">
        <v>0.1</v>
      </c>
      <c r="F112" s="3118">
        <v>15</v>
      </c>
    </row>
    <row r="113" spans="1:6" ht="24">
      <c r="A113" s="3118">
        <v>41</v>
      </c>
      <c r="B113" s="3792" t="s">
        <v>2733</v>
      </c>
      <c r="C113" s="3118" t="s">
        <v>2734</v>
      </c>
      <c r="D113" s="3092" t="s">
        <v>2735</v>
      </c>
      <c r="E113" s="3118">
        <v>0.1</v>
      </c>
      <c r="F113" s="3118">
        <v>15</v>
      </c>
    </row>
    <row r="114" spans="1:6" ht="24">
      <c r="A114" s="3118">
        <v>42</v>
      </c>
      <c r="B114" s="3792"/>
      <c r="C114" s="3118" t="s">
        <v>2736</v>
      </c>
      <c r="D114" s="3092" t="s">
        <v>2737</v>
      </c>
      <c r="E114" s="3118">
        <v>0.1</v>
      </c>
      <c r="F114" s="3118">
        <v>15</v>
      </c>
    </row>
    <row r="115" spans="1:6" ht="24">
      <c r="A115" s="3118">
        <v>43</v>
      </c>
      <c r="B115" s="3792"/>
      <c r="C115" s="3118" t="s">
        <v>2738</v>
      </c>
      <c r="D115" s="3092" t="s">
        <v>2739</v>
      </c>
      <c r="E115" s="3118">
        <v>0.1</v>
      </c>
      <c r="F115" s="3118">
        <v>15</v>
      </c>
    </row>
    <row r="116" spans="1:6" ht="24">
      <c r="A116" s="3118">
        <v>44</v>
      </c>
      <c r="B116" s="3787" t="s">
        <v>2740</v>
      </c>
      <c r="C116" s="3118" t="s">
        <v>2741</v>
      </c>
      <c r="D116" s="3092" t="s">
        <v>2742</v>
      </c>
      <c r="E116" s="3118">
        <v>0.1</v>
      </c>
      <c r="F116" s="3118">
        <v>15</v>
      </c>
    </row>
    <row r="117" spans="1:6" ht="24">
      <c r="A117" s="3118">
        <v>45</v>
      </c>
      <c r="B117" s="3791"/>
      <c r="C117" s="3092" t="s">
        <v>2743</v>
      </c>
      <c r="D117" s="3092" t="s">
        <v>2744</v>
      </c>
      <c r="E117" s="3118">
        <v>0.1</v>
      </c>
      <c r="F117" s="3118">
        <v>15</v>
      </c>
    </row>
    <row r="118" spans="1:6" ht="24">
      <c r="A118" s="3118">
        <v>46</v>
      </c>
      <c r="B118" s="3787" t="s">
        <v>2745</v>
      </c>
      <c r="C118" s="3118" t="s">
        <v>2746</v>
      </c>
      <c r="D118" s="3092" t="s">
        <v>2747</v>
      </c>
      <c r="E118" s="3118">
        <v>0.1</v>
      </c>
      <c r="F118" s="3118">
        <v>15</v>
      </c>
    </row>
    <row r="119" spans="1:6" ht="24">
      <c r="A119" s="3118">
        <v>47</v>
      </c>
      <c r="B119" s="3791"/>
      <c r="C119" s="3118" t="s">
        <v>2748</v>
      </c>
      <c r="D119" s="3092" t="s">
        <v>2749</v>
      </c>
      <c r="E119" s="3118">
        <v>0.1</v>
      </c>
      <c r="F119" s="3118">
        <v>15</v>
      </c>
    </row>
    <row r="120" spans="1:6" ht="24">
      <c r="A120" s="3118">
        <v>48</v>
      </c>
      <c r="B120" s="3787" t="s">
        <v>2750</v>
      </c>
      <c r="C120" s="3118" t="s">
        <v>2751</v>
      </c>
      <c r="D120" s="3092" t="s">
        <v>2752</v>
      </c>
      <c r="E120" s="3118">
        <v>0.1</v>
      </c>
      <c r="F120" s="3118">
        <v>15</v>
      </c>
    </row>
    <row r="121" spans="1:6" ht="24">
      <c r="A121" s="3118">
        <v>49</v>
      </c>
      <c r="B121" s="3791"/>
      <c r="C121" s="3118" t="s">
        <v>2753</v>
      </c>
      <c r="D121" s="3092" t="s">
        <v>2754</v>
      </c>
      <c r="E121" s="3118">
        <v>0.1</v>
      </c>
      <c r="F121" s="3118">
        <v>15</v>
      </c>
    </row>
    <row r="122" spans="1:6" ht="24">
      <c r="A122" s="3118">
        <v>50</v>
      </c>
      <c r="B122" s="3792" t="s">
        <v>2755</v>
      </c>
      <c r="C122" s="3118" t="s">
        <v>2756</v>
      </c>
      <c r="D122" s="3092" t="s">
        <v>2757</v>
      </c>
      <c r="E122" s="3118">
        <v>0.1</v>
      </c>
      <c r="F122" s="3118">
        <v>15</v>
      </c>
    </row>
    <row r="123" spans="1:6" ht="24">
      <c r="A123" s="3118">
        <v>51</v>
      </c>
      <c r="B123" s="3792"/>
      <c r="C123" s="3118" t="s">
        <v>2758</v>
      </c>
      <c r="D123" s="3092" t="s">
        <v>2759</v>
      </c>
      <c r="E123" s="3118">
        <v>0.1</v>
      </c>
      <c r="F123" s="3118">
        <v>15</v>
      </c>
    </row>
    <row r="124" spans="1:6" ht="24">
      <c r="A124" s="3118">
        <v>52</v>
      </c>
      <c r="B124" s="3792" t="s">
        <v>2760</v>
      </c>
      <c r="C124" s="3118" t="s">
        <v>2761</v>
      </c>
      <c r="D124" s="3092" t="s">
        <v>2762</v>
      </c>
      <c r="E124" s="3118">
        <v>0.1</v>
      </c>
      <c r="F124" s="3118">
        <v>15</v>
      </c>
    </row>
    <row r="125" spans="1:6" ht="24">
      <c r="A125" s="3118">
        <v>53</v>
      </c>
      <c r="B125" s="3792"/>
      <c r="C125" s="3118" t="s">
        <v>2763</v>
      </c>
      <c r="D125" s="3092" t="s">
        <v>2764</v>
      </c>
      <c r="E125" s="3118">
        <v>0.1</v>
      </c>
      <c r="F125" s="3118">
        <v>15</v>
      </c>
    </row>
    <row r="126" spans="1:6" ht="24">
      <c r="A126" s="3118">
        <v>54</v>
      </c>
      <c r="B126" s="3118" t="s">
        <v>2765</v>
      </c>
      <c r="C126" s="3118" t="s">
        <v>2766</v>
      </c>
      <c r="D126" s="3092" t="s">
        <v>2767</v>
      </c>
      <c r="E126" s="3118">
        <v>0.1</v>
      </c>
      <c r="F126" s="3118">
        <v>15</v>
      </c>
    </row>
    <row r="127" spans="1:6" ht="24">
      <c r="A127" s="3118">
        <v>55</v>
      </c>
      <c r="B127" s="3792" t="s">
        <v>2768</v>
      </c>
      <c r="C127" s="3118" t="s">
        <v>2769</v>
      </c>
      <c r="D127" s="3092" t="s">
        <v>2770</v>
      </c>
      <c r="E127" s="3118">
        <v>0.1</v>
      </c>
      <c r="F127" s="3118">
        <v>15</v>
      </c>
    </row>
    <row r="128" spans="1:6" ht="24">
      <c r="A128" s="3118">
        <v>56</v>
      </c>
      <c r="B128" s="3792"/>
      <c r="C128" s="3118" t="s">
        <v>2771</v>
      </c>
      <c r="D128" s="3092" t="s">
        <v>2772</v>
      </c>
      <c r="E128" s="3118">
        <v>0.1</v>
      </c>
      <c r="F128" s="3118">
        <v>15</v>
      </c>
    </row>
    <row r="129" spans="1:6" ht="24">
      <c r="A129" s="3118">
        <v>57</v>
      </c>
      <c r="B129" s="3792"/>
      <c r="C129" s="3118" t="s">
        <v>2773</v>
      </c>
      <c r="D129" s="3092" t="s">
        <v>2774</v>
      </c>
      <c r="E129" s="3118">
        <v>0.1</v>
      </c>
      <c r="F129" s="3118">
        <v>15</v>
      </c>
    </row>
    <row r="130" spans="1:6" ht="24">
      <c r="A130" s="3118">
        <v>58</v>
      </c>
      <c r="B130" s="3792" t="s">
        <v>2775</v>
      </c>
      <c r="C130" s="3118" t="s">
        <v>2776</v>
      </c>
      <c r="D130" s="3092" t="s">
        <v>2777</v>
      </c>
      <c r="E130" s="3118">
        <v>0.1</v>
      </c>
      <c r="F130" s="3118">
        <v>15</v>
      </c>
    </row>
    <row r="131" spans="1:6" ht="24">
      <c r="A131" s="3118">
        <v>59</v>
      </c>
      <c r="B131" s="3792"/>
      <c r="C131" s="3118" t="s">
        <v>2778</v>
      </c>
      <c r="D131" s="3092" t="s">
        <v>2779</v>
      </c>
      <c r="E131" s="3118">
        <v>0.1</v>
      </c>
      <c r="F131" s="3118">
        <v>15</v>
      </c>
    </row>
    <row r="132" spans="1:6" ht="24">
      <c r="A132" s="3118">
        <v>60</v>
      </c>
      <c r="B132" s="3787" t="s">
        <v>2780</v>
      </c>
      <c r="C132" s="3118" t="s">
        <v>2781</v>
      </c>
      <c r="D132" s="3092" t="s">
        <v>2782</v>
      </c>
      <c r="E132" s="3118">
        <v>0.1</v>
      </c>
      <c r="F132" s="3118">
        <v>15</v>
      </c>
    </row>
    <row r="133" spans="1:6" ht="24">
      <c r="A133" s="3118">
        <v>61</v>
      </c>
      <c r="B133" s="3791"/>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24">
      <c r="A135" s="3118">
        <v>63</v>
      </c>
      <c r="B135" s="3792" t="s">
        <v>2788</v>
      </c>
      <c r="C135" s="3118" t="s">
        <v>2789</v>
      </c>
      <c r="D135" s="3092" t="s">
        <v>2790</v>
      </c>
      <c r="E135" s="3118">
        <v>0.1</v>
      </c>
      <c r="F135" s="3118">
        <v>15</v>
      </c>
    </row>
    <row r="136" spans="1:6" ht="24">
      <c r="A136" s="3118">
        <v>64</v>
      </c>
      <c r="B136" s="3792"/>
      <c r="C136" s="3118" t="s">
        <v>2791</v>
      </c>
      <c r="D136" s="3092" t="s">
        <v>2792</v>
      </c>
      <c r="E136" s="3118">
        <v>0.1</v>
      </c>
      <c r="F136" s="3118">
        <v>15</v>
      </c>
    </row>
    <row r="137" spans="1:6" ht="24">
      <c r="A137" s="3118">
        <v>65</v>
      </c>
      <c r="B137" s="3118" t="s">
        <v>2793</v>
      </c>
      <c r="C137" s="3118" t="s">
        <v>2794</v>
      </c>
      <c r="D137" s="3092" t="s">
        <v>2795</v>
      </c>
      <c r="E137" s="3118">
        <v>0.1</v>
      </c>
      <c r="F137" s="3118">
        <v>15</v>
      </c>
    </row>
    <row r="138" spans="1:6" ht="14.4">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1.2302</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1.1198999999999999</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28740</v>
      </c>
      <c r="C2" s="2" t="s">
        <v>106</v>
      </c>
      <c r="D2" s="199"/>
      <c r="E2" s="199"/>
      <c r="F2" s="199"/>
      <c r="G2" s="199"/>
    </row>
    <row r="3" spans="1:7" s="200" customFormat="1" ht="18" customHeight="1" thickBot="1">
      <c r="A3" s="203" t="s">
        <v>58</v>
      </c>
      <c r="B3" s="204">
        <f ca="1">ROUND(B2*10000/'数据-汇总表'!E3,0)</f>
        <v>116605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47</v>
      </c>
      <c r="D10" s="845">
        <f>'数据-汇总表'!E6</f>
        <v>2464.7399999999998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2464.7399999999998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1375</v>
      </c>
      <c r="D22" s="235">
        <f ca="1">C26</f>
        <v>1.6000000000000001E-3</v>
      </c>
      <c r="E22" s="236" t="s">
        <v>99</v>
      </c>
      <c r="F22" s="237">
        <f ca="1">'数据-取费表'!B40</f>
        <v>4.3499999999999997E-2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1359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6.4">
      <c r="A27" s="777" t="s">
        <v>342</v>
      </c>
      <c r="B27" s="244" t="s">
        <v>85</v>
      </c>
      <c r="C27" s="245">
        <f>C28</f>
        <v>2529</v>
      </c>
      <c r="D27" s="235">
        <f>C29</f>
        <v>6.0000000000000001E-3</v>
      </c>
      <c r="E27" s="236" t="s">
        <v>99</v>
      </c>
      <c r="F27" s="246">
        <f>'数据-取费表'!Q16</f>
        <v>0.12</v>
      </c>
      <c r="G27" s="247" t="s">
        <v>431</v>
      </c>
    </row>
    <row r="28" spans="1:7" s="214" customFormat="1" ht="13.5" customHeight="1">
      <c r="A28" s="780" t="s">
        <v>349</v>
      </c>
      <c r="B28" s="248" t="s">
        <v>424</v>
      </c>
      <c r="C28" s="249">
        <f>ROUND((C5+C19+C20)*F27*'数据-取费表'!B21/'数据-取费表'!B20,0)</f>
        <v>2529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28062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529</v>
      </c>
      <c r="D34" s="217"/>
      <c r="E34" s="220"/>
      <c r="F34" s="257">
        <f>IF('数据-取费表'!B24=0,1,'数据-取费表'!N16)</f>
        <v>1</v>
      </c>
      <c r="G34" s="219" t="s">
        <v>89</v>
      </c>
    </row>
    <row r="35" spans="1:7" ht="13.5" customHeight="1">
      <c r="A35" s="780" t="s">
        <v>351</v>
      </c>
      <c r="B35" s="215" t="s">
        <v>33</v>
      </c>
      <c r="C35" s="220">
        <f>ROUND(C34*F35,0)</f>
        <v>53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49</v>
      </c>
      <c r="D37" s="217">
        <f>'数据-汇总表'!E3</f>
        <v>2464.7399999999998</v>
      </c>
      <c r="E37" s="249">
        <f>'数据-取费表'!B35</f>
        <v>200</v>
      </c>
      <c r="F37" s="259"/>
      <c r="G37" s="261" t="s">
        <v>92</v>
      </c>
    </row>
    <row r="38" spans="1:7" ht="13.5" customHeight="1">
      <c r="A38" s="780" t="s">
        <v>354</v>
      </c>
      <c r="B38" s="215" t="s">
        <v>36</v>
      </c>
      <c r="C38" s="220">
        <f>ROUND(C34*F38,0)</f>
        <v>16</v>
      </c>
      <c r="D38" s="220"/>
      <c r="E38" s="220"/>
      <c r="F38" s="259">
        <f>'数据-取费表'!B36</f>
        <v>0.03</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14</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1.1000000000000001E-3</v>
      </c>
      <c r="D44" s="238"/>
      <c r="E44" s="238"/>
      <c r="F44" s="239"/>
      <c r="G44" s="3659"/>
    </row>
    <row r="45" spans="1:7" s="214" customFormat="1" ht="13.5" customHeight="1">
      <c r="A45" s="777" t="s">
        <v>341</v>
      </c>
      <c r="B45" s="244" t="s">
        <v>85</v>
      </c>
      <c r="C45" s="245">
        <f>C46</f>
        <v>79</v>
      </c>
      <c r="D45" s="235">
        <f>C47</f>
        <v>6.0000000000000001E-3</v>
      </c>
      <c r="E45" s="236" t="s">
        <v>102</v>
      </c>
      <c r="F45" s="246"/>
      <c r="G45" s="247" t="s">
        <v>434</v>
      </c>
    </row>
    <row r="46" spans="1:7" s="214" customFormat="1" ht="13.5" customHeight="1">
      <c r="A46" s="780" t="s">
        <v>349</v>
      </c>
      <c r="B46" s="248" t="s">
        <v>427</v>
      </c>
      <c r="C46" s="249">
        <f>ROUND((C33+C39)*F27,0)</f>
        <v>79</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846</v>
      </c>
      <c r="D49" s="232"/>
      <c r="E49" s="232"/>
      <c r="F49" s="264"/>
      <c r="G49" s="234" t="s">
        <v>435</v>
      </c>
    </row>
    <row r="50" spans="1:7" s="258" customFormat="1" ht="24">
      <c r="A50" s="777" t="s">
        <v>344</v>
      </c>
      <c r="B50" s="210" t="s">
        <v>97</v>
      </c>
      <c r="C50" s="232"/>
      <c r="D50" s="232"/>
      <c r="E50" s="232"/>
      <c r="F50" s="264">
        <f>IF('数据-取费表'!B24=0,'数据-取费表'!N16,1)</f>
        <v>0.80100000000000005</v>
      </c>
      <c r="G50" s="247" t="s">
        <v>98</v>
      </c>
    </row>
    <row r="51" spans="1:7" ht="16.5" customHeight="1">
      <c r="A51" s="777" t="s">
        <v>345</v>
      </c>
      <c r="B51" s="210" t="s">
        <v>105</v>
      </c>
      <c r="C51" s="232">
        <f ca="1">ROUND(C49*F50,0)</f>
        <v>678</v>
      </c>
      <c r="D51" s="232"/>
      <c r="E51" s="232"/>
      <c r="F51" s="264"/>
      <c r="G51" s="234" t="s">
        <v>37</v>
      </c>
    </row>
    <row r="52" spans="1:7" s="208" customFormat="1" ht="16.8" thickBot="1">
      <c r="A52" s="265" t="s">
        <v>38</v>
      </c>
      <c r="B52" s="266"/>
      <c r="C52" s="267">
        <f ca="1">C31+C51</f>
        <v>28740</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5" t="s">
        <v>2838</v>
      </c>
      <c r="B1" s="3795"/>
      <c r="C1" s="3795"/>
      <c r="D1" s="3795"/>
      <c r="E1" s="3795"/>
      <c r="F1" s="3795"/>
      <c r="G1" s="3796"/>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1.4"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93"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1.4" thickBot="1">
      <c r="A4" s="3794"/>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1.4"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1.4"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1.4"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1.4"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7" t="s">
        <v>3180</v>
      </c>
      <c r="B1" s="3797"/>
    </row>
    <row r="2" spans="1:7" ht="15" thickBot="1">
      <c r="A2" s="3255"/>
      <c r="B2" s="3255"/>
    </row>
    <row r="3" spans="1:7" ht="15" thickBot="1">
      <c r="A3" s="3255"/>
      <c r="B3" s="3255"/>
      <c r="C3" s="3256" t="s">
        <v>2810</v>
      </c>
      <c r="D3" s="3256" t="s">
        <v>2866</v>
      </c>
      <c r="E3" s="3256" t="s">
        <v>2812</v>
      </c>
      <c r="F3" s="3256" t="s">
        <v>2867</v>
      </c>
      <c r="G3" s="3256" t="s">
        <v>2630</v>
      </c>
    </row>
    <row r="4" spans="1:7" ht="1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8" t="s">
        <v>3231</v>
      </c>
      <c r="B1" s="3798"/>
      <c r="C1" s="3798"/>
      <c r="D1" s="3798"/>
      <c r="E1" s="3798"/>
      <c r="F1" s="3799"/>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3221">
        <f>基准地价修正!G23</f>
        <v>45680</v>
      </c>
      <c r="B1" s="3210" t="s">
        <v>3379</v>
      </c>
      <c r="C1" s="3211"/>
      <c r="D1" s="3211"/>
      <c r="E1" s="3211"/>
      <c r="F1" s="3211"/>
      <c r="G1" s="3211"/>
      <c r="H1" s="3211"/>
      <c r="I1" s="3211"/>
      <c r="J1" s="3165"/>
      <c r="K1" s="3211" t="s">
        <v>454</v>
      </c>
      <c r="L1" s="3211"/>
      <c r="M1" s="3211"/>
      <c r="N1" s="3211"/>
      <c r="O1" s="3211"/>
      <c r="P1" s="3211"/>
      <c r="Q1" s="3165"/>
      <c r="R1" s="3800" t="s">
        <v>456</v>
      </c>
      <c r="S1" s="3801"/>
      <c r="T1" s="3801"/>
      <c r="U1" s="3801"/>
      <c r="V1" s="3801"/>
      <c r="W1" s="3801"/>
      <c r="X1" s="3165"/>
      <c r="Y1" s="3800" t="s">
        <v>457</v>
      </c>
      <c r="Z1" s="3801"/>
      <c r="AA1" s="3801"/>
      <c r="AB1" s="3801"/>
      <c r="AC1" s="3801"/>
      <c r="AD1" s="3801"/>
    </row>
    <row r="2" spans="1:30" s="3143" customFormat="1" ht="1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3.2">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3382</v>
      </c>
    </row>
    <row r="24" spans="1:30" s="3009" customFormat="1">
      <c r="I24" s="3208" t="s">
        <v>2824</v>
      </c>
    </row>
    <row r="25" spans="1:30" s="3009" customFormat="1"/>
    <row r="26" spans="1:30" s="3209" customFormat="1" ht="13.2">
      <c r="B26" s="3210" t="s">
        <v>3380</v>
      </c>
      <c r="C26" s="3211"/>
      <c r="D26" s="3211"/>
      <c r="E26" s="3211"/>
      <c r="F26" s="3211"/>
      <c r="G26" s="3211"/>
      <c r="H26" s="3211"/>
      <c r="I26" s="3211"/>
      <c r="J26" s="3165"/>
      <c r="K26" s="3211" t="s">
        <v>2825</v>
      </c>
      <c r="L26" s="3211"/>
      <c r="M26" s="3211"/>
      <c r="N26" s="3211"/>
      <c r="O26" s="3211"/>
      <c r="P26" s="3211"/>
      <c r="Q26" s="3165"/>
      <c r="R26" s="3800" t="s">
        <v>2826</v>
      </c>
      <c r="S26" s="3801"/>
      <c r="T26" s="3801"/>
      <c r="U26" s="3801"/>
      <c r="V26" s="3801"/>
      <c r="W26" s="3801"/>
      <c r="X26" s="3165"/>
      <c r="Y26" s="3800" t="s">
        <v>2827</v>
      </c>
      <c r="Z26" s="3801"/>
      <c r="AA26" s="3801"/>
      <c r="AB26" s="3801"/>
      <c r="AC26" s="3801"/>
      <c r="AD26" s="3801"/>
    </row>
    <row r="27" spans="1:30" s="3143" customFormat="1" ht="1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3.2">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45680</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5" t="str">
        <f>IF(项目基本情况!B9="房地产市场价值","估价结果一览表","结果表-2")</f>
        <v>估价结果一览表</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房地产市场价值</v>
      </c>
      <c r="I2" s="3486"/>
    </row>
    <row r="3" spans="1:9" ht="15.6">
      <c r="A3" s="3487"/>
      <c r="B3" s="3487"/>
      <c r="C3" s="3487"/>
      <c r="D3" s="854" t="s">
        <v>925</v>
      </c>
      <c r="E3" s="854" t="s">
        <v>931</v>
      </c>
      <c r="F3" s="854" t="s">
        <v>925</v>
      </c>
      <c r="G3" s="854" t="s">
        <v>926</v>
      </c>
      <c r="H3" s="854" t="s">
        <v>925</v>
      </c>
      <c r="I3" s="854" t="s">
        <v>926</v>
      </c>
    </row>
    <row r="4" spans="1:9" ht="15">
      <c r="A4" s="1505" t="str">
        <f>项目基本情况!S2</f>
        <v>北京市房地产</v>
      </c>
      <c r="B4" s="854">
        <f>项目基本情况!C17</f>
        <v>2464.7399999999998</v>
      </c>
      <c r="C4" s="854">
        <f>项目基本情况!C18</f>
        <v>3333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7" t="s">
        <v>927</v>
      </c>
      <c r="B5" s="3487"/>
      <c r="C5" s="3487"/>
      <c r="D5" s="3487" t="e">
        <f ca="1">结果表!D119</f>
        <v>#REF!</v>
      </c>
      <c r="E5" s="3487"/>
      <c r="F5" s="3487" t="e">
        <f ca="1">结果表!F119</f>
        <v>#REF!</v>
      </c>
      <c r="G5" s="3487"/>
      <c r="H5" s="3487" t="e">
        <f ca="1">结果表!H119</f>
        <v>#REF!</v>
      </c>
      <c r="I5" s="3487"/>
    </row>
    <row r="6" spans="1:9" ht="15.6">
      <c r="A6" s="3488" t="str">
        <f>结果表!A120</f>
        <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6">
      <c r="A8" s="3488" t="str">
        <f>结果表!A122</f>
        <v/>
      </c>
      <c r="B8" s="3488"/>
      <c r="C8" s="3488"/>
      <c r="D8" s="3488" t="e">
        <f ca="1">结果表!D122</f>
        <v>#REF!</v>
      </c>
      <c r="E8" s="3488"/>
      <c r="F8" s="3488"/>
      <c r="G8" s="3488"/>
      <c r="H8" s="3488"/>
      <c r="I8" s="3488"/>
    </row>
    <row r="9" spans="1:9" ht="15">
      <c r="A9" s="3487" t="s">
        <v>927</v>
      </c>
      <c r="B9" s="3487"/>
      <c r="C9" s="3487"/>
      <c r="D9" s="3487" t="e">
        <f ca="1">结果表!D123</f>
        <v>#REF!</v>
      </c>
      <c r="E9" s="3487"/>
      <c r="F9" s="3487"/>
      <c r="G9" s="3487"/>
      <c r="H9" s="3487"/>
      <c r="I9" s="3487"/>
    </row>
    <row r="10" spans="1:9" ht="15.6">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6">
      <c r="A12" s="3488" t="str">
        <f>结果表!A126</f>
        <v/>
      </c>
      <c r="B12" s="3488"/>
      <c r="C12" s="3488"/>
      <c r="D12" s="3488" t="str">
        <f>结果表!D126</f>
        <v>——</v>
      </c>
      <c r="E12" s="3488"/>
      <c r="F12" s="3488"/>
      <c r="G12" s="3488"/>
      <c r="H12" s="3488"/>
      <c r="I12" s="3488"/>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4" t="s">
        <v>949</v>
      </c>
      <c r="B1" s="3494"/>
      <c r="C1" s="3494"/>
      <c r="D1" s="3494"/>
    </row>
    <row r="2" spans="1:4" ht="17.399999999999999">
      <c r="A2" s="3495" t="s">
        <v>933</v>
      </c>
      <c r="B2" s="3495"/>
      <c r="C2" s="3495"/>
      <c r="D2" s="349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5" t="s">
        <v>939</v>
      </c>
      <c r="B6" s="3495"/>
      <c r="C6" s="3495"/>
      <c r="D6" s="349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6" t="s">
        <v>942</v>
      </c>
      <c r="B11" s="3497"/>
      <c r="C11" s="3497"/>
      <c r="D11" s="3497"/>
    </row>
    <row r="12" spans="1:4" ht="15.6">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7" t="str">
        <f>IF(项目基本情况!B8="抵押","3.抵押双方在办理抵押登记手续时，应使用本公司出具的正式《房地产评估报告》，特提醒报告使用者注意。","——")</f>
        <v>——</v>
      </c>
      <c r="B13" s="3498"/>
      <c r="C13" s="3498"/>
      <c r="D13" s="3498"/>
    </row>
    <row r="14" spans="1:4" ht="15.75" customHeight="1">
      <c r="A14" s="3497" t="str">
        <f>IF(项目基本情况!B8="抵押","4.本次评估估价师所知悉的法定优先受偿款情况说明如下：","——")</f>
        <v>——</v>
      </c>
      <c r="B14" s="3498"/>
      <c r="C14" s="3498"/>
      <c r="D14" s="3498"/>
    </row>
    <row r="15" spans="1:4" ht="42" customHeight="1">
      <c r="A15" s="3497" t="str">
        <f>IF(项目基本情况!B8="抵押","（1）"&amp;CONCATENATE(项目基本情况!L20,项目基本情况!L21,项目基本情况!L22),"——")</f>
        <v>——</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8" t="s">
        <v>956</v>
      </c>
      <c r="B15" s="3503" t="s">
        <v>109</v>
      </c>
      <c r="C15" s="3504"/>
    </row>
    <row r="16" spans="1:7" ht="14.4">
      <c r="A16" s="3509"/>
      <c r="B16" s="3503" t="s">
        <v>42</v>
      </c>
      <c r="C16" s="3504"/>
    </row>
    <row r="17" spans="1:3" ht="14.4">
      <c r="A17" s="3509"/>
      <c r="B17" s="3506" t="s">
        <v>957</v>
      </c>
      <c r="C17" s="1532" t="s">
        <v>956</v>
      </c>
    </row>
    <row r="18" spans="1:3" ht="14.4">
      <c r="A18" s="3509"/>
      <c r="B18" s="3506"/>
      <c r="C18" s="1532" t="s">
        <v>958</v>
      </c>
    </row>
    <row r="19" spans="1:3" ht="14.4">
      <c r="A19" s="3509"/>
      <c r="B19" s="3506"/>
      <c r="C19" s="1532" t="s">
        <v>959</v>
      </c>
    </row>
    <row r="20" spans="1:3" ht="14.4">
      <c r="A20" s="3510"/>
      <c r="B20" s="3505" t="s">
        <v>960</v>
      </c>
      <c r="C20" s="3504"/>
    </row>
    <row r="21" spans="1:3" ht="14.4">
      <c r="A21" s="1533" t="s">
        <v>961</v>
      </c>
      <c r="B21" s="1534"/>
      <c r="C21" s="1535"/>
    </row>
    <row r="22" spans="1:3" ht="14.4">
      <c r="A22" s="3507" t="s">
        <v>962</v>
      </c>
      <c r="B22" s="3505" t="s">
        <v>963</v>
      </c>
      <c r="C22" s="3504"/>
    </row>
    <row r="23" spans="1:3" ht="14.4">
      <c r="A23" s="3507"/>
      <c r="B23" s="3505" t="s">
        <v>964</v>
      </c>
      <c r="C23" s="3504"/>
    </row>
    <row r="24" spans="1:3" ht="14.4">
      <c r="A24" s="3507"/>
      <c r="B24" s="3505" t="s">
        <v>965</v>
      </c>
      <c r="C24" s="3504"/>
    </row>
    <row r="25" spans="1:3" ht="14.4">
      <c r="A25" s="3507"/>
      <c r="B25" s="3506" t="s">
        <v>966</v>
      </c>
      <c r="C25" s="1532" t="s">
        <v>967</v>
      </c>
    </row>
    <row r="26" spans="1:3" ht="14.4">
      <c r="A26" s="3507"/>
      <c r="B26" s="3506"/>
      <c r="C26" s="1532" t="s">
        <v>968</v>
      </c>
    </row>
    <row r="27" spans="1:3" ht="14.4">
      <c r="A27" s="3507"/>
      <c r="B27" s="3506"/>
      <c r="C27" s="1532" t="s">
        <v>969</v>
      </c>
    </row>
    <row r="28" spans="1:3" ht="14.4">
      <c r="A28" s="3507"/>
      <c r="B28" s="3506"/>
      <c r="C28" s="1532" t="s">
        <v>970</v>
      </c>
    </row>
    <row r="29" spans="1:3" ht="14.4">
      <c r="A29" s="3507"/>
      <c r="B29" s="3506"/>
      <c r="C29" s="1532" t="s">
        <v>971</v>
      </c>
    </row>
    <row r="30" spans="1:3" ht="14.4">
      <c r="A30" s="3507"/>
      <c r="B30" s="3506"/>
      <c r="C30" s="1532" t="s">
        <v>972</v>
      </c>
    </row>
    <row r="31" spans="1:3" ht="14.4">
      <c r="A31" s="3507"/>
      <c r="B31" s="3506"/>
      <c r="C31" s="1532" t="s">
        <v>973</v>
      </c>
    </row>
    <row r="32" spans="1:3" ht="14.4">
      <c r="A32" s="3507"/>
      <c r="B32" s="3506"/>
      <c r="C32" s="1532" t="s">
        <v>974</v>
      </c>
    </row>
    <row r="33" spans="1:3" ht="14.4">
      <c r="A33" s="3507"/>
      <c r="B33" s="350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3"/>
      <c r="E18" s="3513" t="s">
        <v>2162</v>
      </c>
      <c r="F18" s="3512"/>
      <c r="G18" s="351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常用公式</vt:lpstr>
      <vt:lpstr>项目基本情况</vt:lpstr>
      <vt:lpstr>数据-基础表</vt:lpstr>
      <vt:lpstr>数据-汇总表</vt:lpstr>
      <vt:lpstr>数据-取费表</vt:lpstr>
      <vt:lpstr>估价对象房地状况</vt:lpstr>
      <vt:lpstr>系统读取表</vt:lpstr>
      <vt:lpstr>结果表</vt:lpstr>
      <vt:lpstr>汇总表</vt:lpstr>
      <vt:lpstr>成本法-仓库5.6</vt:lpstr>
      <vt:lpstr>成本法-办公楼1</vt:lpstr>
      <vt:lpstr>基准地价修正</vt:lpstr>
      <vt:lpstr>成本法</vt:lpstr>
      <vt:lpstr>假设开发法</vt:lpstr>
      <vt:lpstr>收益法</vt:lpstr>
      <vt:lpstr>收益法 -办公楼1</vt:lpstr>
      <vt:lpstr>收益法-仓库5.6</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'成本法-办公楼1'!Print_Area</vt:lpstr>
      <vt:lpstr>'成本法-仓库5.6'!Print_Area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-办公楼1'!Print_Area</vt:lpstr>
      <vt:lpstr>'收益法（汇总）'!Print_Area</vt:lpstr>
      <vt:lpstr>'收益法-仓库5.6'!Print_Area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2025-02-05T06:23:24Z</dcterms:modified>
</cp:coreProperties>
</file>